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wwg+T4V629NMs+nMEl/PyoIvszQ=="/>
    </ext>
  </extLst>
</workbook>
</file>

<file path=xl/sharedStrings.xml><?xml version="1.0" encoding="utf-8"?>
<sst xmlns="http://schemas.openxmlformats.org/spreadsheetml/2006/main" count="7011" uniqueCount="2718">
  <si>
    <t>note</t>
  </si>
  <si>
    <t>auteur</t>
  </si>
  <si>
    <t>avis</t>
  </si>
  <si>
    <t>assureur</t>
  </si>
  <si>
    <t>produit</t>
  </si>
  <si>
    <t>type</t>
  </si>
  <si>
    <t>date_publication</t>
  </si>
  <si>
    <t>date_exp</t>
  </si>
  <si>
    <t>avis_en</t>
  </si>
  <si>
    <t>avis_cor</t>
  </si>
  <si>
    <t>avis_cor_en</t>
  </si>
  <si>
    <t>dh-79392</t>
  </si>
  <si>
    <t>J'ai contacté Néoliane pour un problème de télétransmission toujours non réglé à l'heure actuelle. Rali a traité ma demande avec efficacité et m'a fourni les conseils nécessaires pour débloquer la situation. Nous attendons maintenant que tout rentre dans l'ordre !</t>
  </si>
  <si>
    <t>Santiane</t>
  </si>
  <si>
    <t>sante</t>
  </si>
  <si>
    <t>train</t>
  </si>
  <si>
    <t>23/09/2019</t>
  </si>
  <si>
    <t>01/09/2019</t>
  </si>
  <si>
    <t>cadran-c-138198</t>
  </si>
  <si>
    <t>Espace perso très pratique pour la signature du contrat d'assurance
Service client très rapide et efficace qui a bien répondu à toutes mes questions
Mais difficulté à trouver le numéro de téléphone du service client, à indiquer plus clairement et rapidement sur le site</t>
  </si>
  <si>
    <t>L'olivier Assurance</t>
  </si>
  <si>
    <t>auto</t>
  </si>
  <si>
    <t>25/10/2021</t>
  </si>
  <si>
    <t>01/10/2021</t>
  </si>
  <si>
    <t>yaka-81224</t>
  </si>
  <si>
    <t xml:space="preserve">Pendant 8 ans : niquel, rendement pas mal pour un fond garanti (un peu moins de 3% annuel). Mais depuis plusieurs mois c'est n'importe quoi, je ne reçois plus de relevé de compte, alors même que j'ai fais des virements de 4500 euros débités sur mon compte : impossible de savoir ce qu'est devenu cet argent. J'ai du me rendre en agence (Gratte-ciel Villeurbanne), M. Robert a pris en note ma demande, puis 1 semaine après il me redemande la date et la valeur exacte de mes versements. Un conseiller en finance qui ne peut même pas avoir accès aux mouvements bancaires de sa structure, et qui perd des infos données par un de ses clients !! 
Et aujourd'hui je reçois un courrier postal m'indiquant que j'ai fais une demande d'avance (une sorte de pret aupres de AFER, permis par le fait que mes avoirs chez eux constituent une garantie). Et qu'ils m'ont envoyé un chèque pour que je puisse profiter de cette avance. Pourtant je n'ai rien demandé et rien reçu !! De la pure invention qui sort de je ne sais où !!! Toute administration peut faire des erreurs, mais là c'est quand même leur boulot la finance ! 
C'est pour ça que je me mets à parle de AFER sur les forums : n'y allez pas ça sent très mauvais. Mettez votre argent ailleurs, car de mon côté je ne sais pas si je reverrai le mien. </t>
  </si>
  <si>
    <t>Afer</t>
  </si>
  <si>
    <t>vie</t>
  </si>
  <si>
    <t>21/11/2019</t>
  </si>
  <si>
    <t>01/11/2019</t>
  </si>
  <si>
    <t>acbernard-65856</t>
  </si>
  <si>
    <t>Contrat souscrit plus résilier 5 jours avant le jour la date d'effet du contrat alors qu'ils ont résilié mon ancien contrat, pour cause de 2 sinistres dans les 2 ans, ils ne prennent pas en compte le sinistre non responsable et le comptes comme sinistre.
Service client mal aimbale</t>
  </si>
  <si>
    <t>Direct Assurance</t>
  </si>
  <si>
    <t>30/07/2018</t>
  </si>
  <si>
    <t>01/07/2018</t>
  </si>
  <si>
    <t>pasbil-122004</t>
  </si>
  <si>
    <t xml:space="preserve">Comme beaucoup de personnes je suis scandalisé par cette pratique qui consiste à résilier un conducteur après un unique accident. 
J'ai été pris dans un carambolage dû à un sanglier quelques voitures plus loin. Petit accident mais longeron déplacé, voiture irréparable économiquement. Depuis le temps que je paie une assurance tout risque, je me dis que cela va enfin servir à quelque chose. 2300€ remboursés. 7 mois plus tard je reçois une lettre m'informant que je suis résilié pour cause d'accidents TROP FREQUENTS. C'était mon UNIQUE accident depuis que j'ai le permis... Maintenant pour trouver une nouvelle assurance à un tarif abordable avec cette étiquette de délinquant, ca va être coton. Merci de me torpiller mon dossier d'assuré, pour des raisons totalement illégitimes. Je comprend les motifs de rentabilité, mais dans ce cas pourquoi ne pas simplement augmenter mes cotisations de manière à me rendre rentable ? Si je n'adhère pas à cette augmentation je quitterais de toute façon de moi même. Les conséquences de cette résiliation avec un motif abusif, sont trop importantes pour traiter ce type de sujet aussi légèrement. Merci aussi de m'avoir laisser payer pendant 7 mois mes cotisations pour rien (avec le préavis 8) au lieu de me résilier tout de suite après l'accident. Car il faut le préciser, je n'ai pas encore remplacé ma voiture. Je veux rester en "bon termes" avec mon assureur. Je laisse du coup filer mes cotisations au lieu de suspendre ou résilier mon contrat, en attendant de me rééquiper...
Merci, la prochaine fois je saurais ce que je dois faire. Plutot que de la jouer fairplay, je résilierai mon assurance le premier pour vous couper l'herbe sous le pied. J'éviterais l'étiquette de délinquant en évitant votre lettre de résiliation, et j'éviterai de payer des cotisations pour rien. Avec vos pratiques vous poussez les gens à user d'astuces mesquines et à tricher avec le système. Merci. </t>
  </si>
  <si>
    <t>Eurofil</t>
  </si>
  <si>
    <t>01/07/2021</t>
  </si>
  <si>
    <t>guylaine-17243</t>
  </si>
  <si>
    <t>Deux tout petits sinistres en 5 ans (une tentative de cambriolage et un petit dégât des eaux, et me voilà priée d'aller voir ailleurs... Pour être assurer à la MAAF, il faut s'engager à n'avoir aucun sinistre, sous peine d'être immédiatement résilié ! Une honte !</t>
  </si>
  <si>
    <t>MAAF</t>
  </si>
  <si>
    <t>habitation</t>
  </si>
  <si>
    <t>21/08/2019</t>
  </si>
  <si>
    <t>01/08/2019</t>
  </si>
  <si>
    <t>laetitia-d-107198</t>
  </si>
  <si>
    <t>Toutes les assurances on baissait ou n on pas augmenter leur tarifs du à la pandémie sauf vous. Je trouve que c'est abuser. Sachant que au mois de mars dernier on était confinés et donc on utiliser moins notre voiture</t>
  </si>
  <si>
    <t>19/03/2021</t>
  </si>
  <si>
    <t>01/03/2021</t>
  </si>
  <si>
    <t>stephane-c-133725</t>
  </si>
  <si>
    <t xml:space="preserve">Je suis Très satisfait du tarif pour un véhicule assuré tous risques et de la facilité à remplir les documents demandés afin d’obtenir votre tarif ainsi que la signature du contrat </t>
  </si>
  <si>
    <t>AMV</t>
  </si>
  <si>
    <t>moto</t>
  </si>
  <si>
    <t>21/09/2021</t>
  </si>
  <si>
    <t>01/09/2021</t>
  </si>
  <si>
    <t>rebert-t-129760</t>
  </si>
  <si>
    <t>Très satisfait, rapide, efficace et surtout à faible coût.
J’ai été très bien éclairer et très bien accueilli chez L’Olivier Assurance et en 30 minutes j’ai été assuré.
Merci beaucoup !!</t>
  </si>
  <si>
    <t>27/08/2021</t>
  </si>
  <si>
    <t>01/08/2021</t>
  </si>
  <si>
    <t>choupytout-81951</t>
  </si>
  <si>
    <t xml:space="preserve">Assure au cm depuis 42 ans , en habitation principale + 6 autres contrats, un cambriolage en 42 ans, montant de l'indemnisation 10 000 euros et toujours en attente après 4 ans ... a fuir au plus vite ... et ce en étant d'accord avec leurs expert ... alors imaginez sinon ... </t>
  </si>
  <si>
    <t>Crédit Mutuel</t>
  </si>
  <si>
    <t>16/12/2019</t>
  </si>
  <si>
    <t>01/12/2019</t>
  </si>
  <si>
    <t>melissa-g-106795</t>
  </si>
  <si>
    <t>je suis insatisfaite, j'ai demandé par téléphone courant février la résiliation de mon contrat d'habitation et ai envoyé un courrier, la somme a tout de même été prélevée alors que je n'ai pas signé le contrat.</t>
  </si>
  <si>
    <t>16/03/2021</t>
  </si>
  <si>
    <t>martin-g-127606</t>
  </si>
  <si>
    <t>Je trouve cela cher pour le moment, j'espérais contracter une assurance à un prix inférieur, j'espère que la prestation d'assurance sera à la hauteur.</t>
  </si>
  <si>
    <t>11/08/2021</t>
  </si>
  <si>
    <t>cecile--d-126248</t>
  </si>
  <si>
    <t xml:space="preserve">Je suis satisfait pour le moment , j’espère que ma satisfaction durera surtout en cas de sinistre ou de renseignements auprès du service client. 
Très surprise par côté pratique et agréable du site est pratique </t>
  </si>
  <si>
    <t>03/08/2021</t>
  </si>
  <si>
    <t>romain-103355</t>
  </si>
  <si>
    <t xml:space="preserve">Accueil très agréable, personnel efficace et très à l'écoute. Le temps d'attente au téléphone est plutôt court et les réponses aux différentes questions posées sont très précises et très claires. Très bien !
</t>
  </si>
  <si>
    <t>MGP</t>
  </si>
  <si>
    <t>28/01/2021</t>
  </si>
  <si>
    <t>01/01/2021</t>
  </si>
  <si>
    <t>bob-52832</t>
  </si>
  <si>
    <t xml:space="preserve">Absence de remboursement malgré  de très nombreuses réclamations, impossible de joindre un conseiller, manque de professionnalisme, tarifs excessifs. Il s'agit très probablement de la pire mutuelle du marché.  </t>
  </si>
  <si>
    <t>Mgen</t>
  </si>
  <si>
    <t>28/02/2017</t>
  </si>
  <si>
    <t>01/02/2017</t>
  </si>
  <si>
    <t>kinou42-111141</t>
  </si>
  <si>
    <t xml:space="preserve">Une  mutuelle très bien toujours remboursé très rapidement. 
Le service client est très bien et à l’écoute.
Jamais eu de souci particulier 
Je recommande. 
</t>
  </si>
  <si>
    <t>Génération</t>
  </si>
  <si>
    <t>21/04/2021</t>
  </si>
  <si>
    <t>01/04/2021</t>
  </si>
  <si>
    <t>hwz-122661</t>
  </si>
  <si>
    <t>Rapidité pour s’assurer via le site AMV puis simplicité à gérer son espace personnel.
L’efficacité et la rapidité pour résilier l’assurance en cours d’année.</t>
  </si>
  <si>
    <t>07/07/2021</t>
  </si>
  <si>
    <t>mika-117719</t>
  </si>
  <si>
    <t xml:space="preserve">A FUIR ABSOLUMENT !! LE SERVICE CLIENT LE PLUS INCOMPÉTENT JAMAIS VU. AUCUNE CONSIDÉRATION POUR LEUR CLIENT ! DES HEURES PASSER AU TÉLÉPHONE SANS RÉPONSE. Juste bon à vous fare souscrire des contrat puis vous laisse à l'abandon ! C'EST HONTEUX DE SE CONSIDÉRER COMME PRO QUAND ON EST AUSSI INCOMPÉTENT !! BON COURAGE ! </t>
  </si>
  <si>
    <t>Allianz</t>
  </si>
  <si>
    <t>21/06/2021</t>
  </si>
  <si>
    <t>01/06/2021</t>
  </si>
  <si>
    <t>luna-96741</t>
  </si>
  <si>
    <t xml:space="preserve">J'ai téléphoner pour avoir des renseignements concernant mes assurances et je suis tombée sur Madame Lamia qui a eue beaucoup de patience et qui m'a très bien expliqué mes contrats.
</t>
  </si>
  <si>
    <t>27/08/2020</t>
  </si>
  <si>
    <t>01/08/2020</t>
  </si>
  <si>
    <t>didi-81707</t>
  </si>
  <si>
    <t xml:space="preserve">Je suis cliente chez SOGESUR depuis 2015 (j'ai 3 contrats chez eux). En septembre 2019, j'ai connu mon premier dégât des eaux. Une première enveloppe m'a été virée sur mon compte. Mais j'ai demandé une expertise sur place pour réévaluer cette première estimation à la hausse. L'expert est venu le 29/10/2019 et depuis aucune nouvelle de leur part. Tous mes appels ne servent à rien car le "dossier est en attente". Je suis très énervée et en difficulté à cause de cette situation. Depuis toutes ces années de cotisations, il s'agit de mon premier sinistre et impossible d'avoir une réponse définitive pour clôturer ce dossier. Je ne recommande pas du tout cette assurance, et je pense même résilier mes contrats chez eux. 
</t>
  </si>
  <si>
    <t>Sogessur</t>
  </si>
  <si>
    <t>06/12/2019</t>
  </si>
  <si>
    <t>michel-111158</t>
  </si>
  <si>
    <t>Mutuelle avec 0 réactivité. il manque toujours un papier, un justificatif alors que tout est télétransmis. il faut toujours une ordonnance. Il faut suivre chaque remboursement, relancer....
Mutuelle qui gagne du temps et en fait perdre a ses clients. 
J'ai changé de mutuelle en début d'année et enfin une mutuelle réactive qui rembourse en temps et en heure.
Aucun remords d'avoir quitté cette mutuelle. 
Je vous déconseille d'adhérer.</t>
  </si>
  <si>
    <t>Néoliane Santé</t>
  </si>
  <si>
    <t>christophe--94552</t>
  </si>
  <si>
    <t xml:space="preserve">Je suis satisfait du service en ligne rapport qualité prix très abordable avec ce qui faut pour la sécurité des autres et de moi même je hâte d’être assuré chez vous </t>
  </si>
  <si>
    <t>18/07/2020</t>
  </si>
  <si>
    <t>01/07/2020</t>
  </si>
  <si>
    <t>citizenben-94586</t>
  </si>
  <si>
    <t>Assuré depuis 20 ans (d'abord Filia puis MAIF), 50% de bonus, en 2018 (mauvaise année) on m'éclate un phare (vandalisme), qui m'est comptabilisé en accident de la circulation, donc malus !!! 2 mois plus tard mon fils prends la voiture et heurte le véhicule devant lui dans un bouchon : re-malus.
Alors que le premier est un bris de glace (non malussé), le second devrait être non-malussé lui aussi car premier après une longue période à 50%. Aucune réponse à mes appels et messages. Malgré mes demandes, aucune explication ni réponse de leur part.
Je me retrouve donc avec un malus pendant 9 ans avant de récupérer mes 50% (surcoût de 1254€) et l'impossibilité de changer d'assureur tant que mon relevé d'information fait état de 2 accidents responsables.
Il me reste à contacter le médiateur et mon conseiller juridique, dommage que la MAIF devienne plus assureur que mutualiste...</t>
  </si>
  <si>
    <t>MAIF</t>
  </si>
  <si>
    <t>19/07/2020</t>
  </si>
  <si>
    <t>ilias-m-104988</t>
  </si>
  <si>
    <t>Devis simple et rapide. Le prix est très intéressant également. Jusqu'à maintenant je suis satisfait du service qu'on m'a vendu pour mon logement personnel.</t>
  </si>
  <si>
    <t>lambert-j-109068</t>
  </si>
  <si>
    <t>Simple et efficace...je recommande car pas cher!!
Je suis très content d'avoir connu les furets et olivier assurance.  
J'ai assuré une Laguna 2 pour 21 e</t>
  </si>
  <si>
    <t>03/04/2021</t>
  </si>
  <si>
    <t>r78500-54816</t>
  </si>
  <si>
    <t>Habitant depuis mai 2015 en région Poitou Charente, j'étais propriétaire d'un appartement vide en région parisienne. Au printemps 2016, au moment des fortes pluies qui ont frappé la France, mes voisins du dessous m'ont informé qu'ils avaient subi un dégât des eaux sur leur balcon et que j'en étais responsable. J'ai alors contacté la Matmut qui assurait mon appartement pour la procédure de constat à l'amiable que j'étais obligé de gérer à distance.
Septembre 2016, me voici convoqué pour l'expertise en région parisienne et j'ai alors été obligé de demander une journée que j'ai dû rattraper, j'ai subi des frais de déplacement (essence, péage) nourriture au restaurant (je ne pouvais pas cuisiner dans mon appartement vide) sans compter la fatigue 1200 Km en 48 heures après un peu moins d'une semaine de travail.
Les deux experts ont conclu sans le moindre doute que ma responsabilité dans ce sinistre était totalement écartée et en ont fait la démonstration lors de l'entrevue contradictoire.
J'avais donc subi 165 Euros de frais (essence, péage, restaurant) sans compter la fatigue du déplacement et l'obligation de surcharger une prochaine semaine de travail pour rattraper les heures perdues, pour rien du tout. J'ai donc demandé à la Matmut de se retourner contre l'assureur de mes voisins pour être dédommagé des frais indûment subis dans cette affaire.
La Matmut a refusé de faire une telle procédure et m'a laissé entendre que je pouvais porter une réclamation. J'ai donc effectué et même réitéré cette réclamation, mais en pure perte. Croyant naïvement que la "fidélité était récompensée à la Matmut", j'ai rappelé que mes parents avaient souscrit dès le début des années 70, un contrat habitation et qu'indépendamment de mes parents, j'étais moi-même client depuis 1996.
Pourtant, à chaque fois, il m'a été expliqué que pour maintenir des tarifs compétitifs, la Matmut ne pouvait m'accorder ce geste commercial.
Autrement-dit, la Matmut a refusé de récompenser 40 ans de fidélité en payant une modique note de 165 Euros alors que dans le même temps, pour nous démontrer le contraire, elle a dépensé en novembre 2016, entre 30 000 et 50 000 Euros par spot de 30 secondes pendant plusieurs semaines pour nous affirmer qu'"à la Matmut la fidélité est récompensée".
A l'occasion d'une prochaine acquisition immobilière, je suis sur le point de souscrire un nouveau contrat d'assurance habitation, mais je me demande s'il n'est pas préférable d'être nouveau client ailleurs qu'ancien à la Matmut.</t>
  </si>
  <si>
    <t>Matmut</t>
  </si>
  <si>
    <t>20/05/2017</t>
  </si>
  <si>
    <t>01/05/2017</t>
  </si>
  <si>
    <t>christophe-r-131893</t>
  </si>
  <si>
    <t xml:space="preserve">Je suis satisfais , je souhaiterai que la garantie démarre fin du mois de septembre vers le 25/09/2021.
tarif impeccable et interlocuteur formidable.
 </t>
  </si>
  <si>
    <t>Zen'Up</t>
  </si>
  <si>
    <t>credit</t>
  </si>
  <si>
    <t>08/09/2021</t>
  </si>
  <si>
    <t>lages-a-138428</t>
  </si>
  <si>
    <t>Service au top! C'est parti pour un 2ème véhicule chez eux et j'en suis ravie. J'ai eu un réel accompagnement par téléphone et de très bons conseils. Je recommande vivement!</t>
  </si>
  <si>
    <t>27/10/2021</t>
  </si>
  <si>
    <t>magyar59-55140</t>
  </si>
  <si>
    <t>Contrat souscrit en janvier...je n ai toujours pas ma carte verte definitive malgre multiples courrien et lettres R-AR!!!</t>
  </si>
  <si>
    <t>05/06/2017</t>
  </si>
  <si>
    <t>01/06/2017</t>
  </si>
  <si>
    <t>muriel-g-111971</t>
  </si>
  <si>
    <t>Il serait temps de revoir vos prix surtout en cette période de pandémie. Pour ma part, étant en télétravail, je n'effectue plus mes trajets domicile/travail. Merci de prendre en considération cela. N'hésitez pas à m'appeler.</t>
  </si>
  <si>
    <t>GMF</t>
  </si>
  <si>
    <t>28/04/2021</t>
  </si>
  <si>
    <t>maxence-b-132387</t>
  </si>
  <si>
    <t xml:space="preserve">Bonjour merci Je suis satisfait du prix le service et rapide simple et efficace j’espère que le service en ligne sera joignable facilement en cas d’accident </t>
  </si>
  <si>
    <t>11/09/2021</t>
  </si>
  <si>
    <t>benjamin-c-109967</t>
  </si>
  <si>
    <t xml:space="preserve">Je suis très satisfait des propositions et de la réactivité de l’assurance je recommence beaucoup les prix son très interessant rien à redire cordialement Benjamin </t>
  </si>
  <si>
    <t>APRIL Moto</t>
  </si>
  <si>
    <t>10/04/2021</t>
  </si>
  <si>
    <t>mrtoulemonde69-74687</t>
  </si>
  <si>
    <t xml:space="preserve">attention tout va bien jusqu'au moment ou il vous arrive un problème avec votre véhicule surtout ne vous le faite pas voler  cheque de banque ou pas il feront tout pour ne pas vous rembourser la valeur de votre véhicule allant jusqu'à vous amener dans une procédure sans fin je déconseille la macif </t>
  </si>
  <si>
    <t>MACIF</t>
  </si>
  <si>
    <t>02/04/2019</t>
  </si>
  <si>
    <t>01/04/2019</t>
  </si>
  <si>
    <t>ncathy93-57665</t>
  </si>
  <si>
    <t xml:space="preserve">Je me suis faite démarchée en ayant rempli un formulaire sur internet. L'inscription a été faite très rapidement et le commercial était très avenant. Cependant, comme je me suis rendue compte que je pouvais être sur une autre mutuelle en étant ayant droit, j'ai voulu annulé mon contrat le lendemain. 
Ce fut le début des galères, j'en suis à ma 3ème demande, 4 appels téléphoniques, plus d'un mois que j'attends un mail de confirmation. Les personnes qui répondent au téléphone donnent toutes des informations contradictoires, ne savent pas résoudre le problème, font patienter, font des fausses promesses. A ce jour, pas de télétransmission automatique car il y a 2 mutuelles enregistrées chez la sécurité sociale. </t>
  </si>
  <si>
    <t>28/09/2017</t>
  </si>
  <si>
    <t>01/09/2017</t>
  </si>
  <si>
    <t>jf37-65499</t>
  </si>
  <si>
    <t>selon les agences on n' a jamais le même devis. C'est plus cher que les autres assurances et avec les mêmes garanties. Pas plus.</t>
  </si>
  <si>
    <t>15/07/2018</t>
  </si>
  <si>
    <t>richardabibon1-58793</t>
  </si>
  <si>
    <t xml:space="preserve">je viens de me faire virer pour trop de dégâts des eaux (3 en 2 ans). me voilà sans assurance tandis que mon voisin du dessus, responsable,  est toujours assuré. </t>
  </si>
  <si>
    <t>13/11/2017</t>
  </si>
  <si>
    <t>01/11/2017</t>
  </si>
  <si>
    <t>fessard-d-116302</t>
  </si>
  <si>
    <t>Je suis satisfaite de l'aide que j'ai pu recevoir. Apres plusieurs recherche pour la meilleure assurance auto je suis contente d'être tombée sur L'Olivier Assurance. Je ne manquerais pas de partager et conseiller mon entourage sur cette assurance. Merci encore :)</t>
  </si>
  <si>
    <t>08/06/2021</t>
  </si>
  <si>
    <t>rodrigue-l-107635</t>
  </si>
  <si>
    <t xml:space="preserve">Je ne suis pas satisfait des prix que je trouve bien plus élevé maintenant.
L'espace clientèle n'est pas optimisé, bug, documents obsolètes présents dans l'espace perso (devis d'anciens véhicules, maison) pas d'archive.  
L'expérience utilisateur doit être améliorée. </t>
  </si>
  <si>
    <t>23/03/2021</t>
  </si>
  <si>
    <t>dorothee-l-130328</t>
  </si>
  <si>
    <t>tres satisfaite du service et des tarifs. site pratique et fonctionnelle 
rendez-vous de qualité et accueil conforme
prix attractif pour fonctionnaire</t>
  </si>
  <si>
    <t>31/08/2021</t>
  </si>
  <si>
    <t>julie-b-133513</t>
  </si>
  <si>
    <t>Je suis satisfaite de cette proposition d'assurance.
l'assurance tous risques proposée me paraît tout à fait raisonnable au niveau tarifaire compte tenu des garanties proposées.</t>
  </si>
  <si>
    <t>19/09/2021</t>
  </si>
  <si>
    <t>stephane-f-113036</t>
  </si>
  <si>
    <t xml:space="preserve">Service rapide, simple, je recommande. Le tarif est attractif, en espérant ne pas avoir de mauvaise surprise. L'inscription a été rapide et facile... </t>
  </si>
  <si>
    <t>07/05/2021</t>
  </si>
  <si>
    <t>01/05/2021</t>
  </si>
  <si>
    <t>bjm-59400</t>
  </si>
  <si>
    <t>Impossible d'avoir des personnes compétentes, pour une souscription, il augmente les tarifs pour des raisons injustifiées en donnant les justificatifs demandés, les personnes sont au Maroc et sont l’incapacité de sortir de leur vision écran</t>
  </si>
  <si>
    <t>05/12/2017</t>
  </si>
  <si>
    <t>01/12/2017</t>
  </si>
  <si>
    <t>rose567-80135</t>
  </si>
  <si>
    <t xml:space="preserve">A fuir !!!! Une assurance qui se fiche totalement de ses clients une méprise total, manque de respect. Vous invente des sinistres qui n'ont jamais existé augmentation des tarifs sans raisons. Bref je quitte Pacifica ! De plus les prix sont supérieur à la concurrence qui elle est bien plus sérieuse ! </t>
  </si>
  <si>
    <t>Pacifica</t>
  </si>
  <si>
    <t>16/10/2019</t>
  </si>
  <si>
    <t>01/10/2019</t>
  </si>
  <si>
    <t>gregory-c-105998</t>
  </si>
  <si>
    <t xml:space="preserve">BON ECOUTE AVEC PRIX ATTRACTIF, FACILITE D'ADHESION GRACE AU COMPTE CLIENT ZEN UP SUR INTERNET POUR TRANSMETTRE LES DOCUMENTS RAPIDEMENT ET UNE SIGNATURE ELECTRONIQUE
</t>
  </si>
  <si>
    <t>09/03/2021</t>
  </si>
  <si>
    <t>grenouilledesroches-68603</t>
  </si>
  <si>
    <t>Je suis en logement précaire, je peux tout payer mais totalement impossible d'être logée comme d'être assurée !
Autant dire que je n'assure que des héritiers que je n'ai pas et que je n'aurais jamais alors que la banque vous hypothèque déjà intégralement votre bien... 
Je ne sais pas ce qu'il en ai pour les autres assurances mais en ce qui concerne l'état de santé nous avons bien une discrimination. 
Donc je vis dans une situation précaire, célibataire, temporaire, etc... On vous dis trouver un CDI, je suis fonctionnaire et on me claque la porte au nez pour obtenir la vie de tout le monde !!!! Impossible d'obtenir une vie normale, une famille des enfants et devinez où ça commence !!!!
Qui a le pouvoir ici ????</t>
  </si>
  <si>
    <t>14/11/2018</t>
  </si>
  <si>
    <t>01/11/2018</t>
  </si>
  <si>
    <t>julie-103866</t>
  </si>
  <si>
    <t xml:space="preserve">Les remboursements ne sont pas à la hauteur du montant des cotisations. Exemple 300 euros de ma poche pour des lunettes de vue et des cotisations qui s élèvent à presque 90 euros par mois. Et surtout pas de réseau santeclair en corse  inadmissible. </t>
  </si>
  <si>
    <t>09/02/2021</t>
  </si>
  <si>
    <t>01/02/2021</t>
  </si>
  <si>
    <t>mounette-115465</t>
  </si>
  <si>
    <t>Réponses claires et précises données par Soukaina.
Très agréable et soucieuse de satisfaire le client, a su me réconforter pour mon adhésion.
Pour remarque, la carte mutuelle est peu claire</t>
  </si>
  <si>
    <t>31/05/2021</t>
  </si>
  <si>
    <t>maxence-d-112029</t>
  </si>
  <si>
    <t>Prix attractifs, a voir dans le temps au cas où si le service et présent en cas de problème. Beaucoup d'assurance ont des prix peut élevé mais ils ne sont plus là en cas de besoin...</t>
  </si>
  <si>
    <t>29/04/2021</t>
  </si>
  <si>
    <t>fabulet-r-129896</t>
  </si>
  <si>
    <t>je suis satisfait du tarif, de la prestation; Simple rapide et efficace je recommande votre assurance à mes proches sans problème. C'est mon deuxième contrat chez vous</t>
  </si>
  <si>
    <t>28/08/2021</t>
  </si>
  <si>
    <t>monsieurf-59467</t>
  </si>
  <si>
    <t>Allianz auto : assureur virtuel cher et inutile</t>
  </si>
  <si>
    <t>07/12/2017</t>
  </si>
  <si>
    <t>fatima-a-126332</t>
  </si>
  <si>
    <t xml:space="preserve">Satisfaite rapide pour la souscription tres pratique quand on doit sassirer rapidement  site facile d'utilisation  satisfaite des tarifs et de la rapidité </t>
  </si>
  <si>
    <t>04/08/2021</t>
  </si>
  <si>
    <t>fadila-d-130411</t>
  </si>
  <si>
    <t xml:space="preserve">Je suis satisfaite du service et des offres que vous proposez.
Vous êtes trés réactifs s'agissant des demandes et questions que nous pouvons vous formuler </t>
  </si>
  <si>
    <t>assignon-k-131237</t>
  </si>
  <si>
    <t xml:space="preserve">Simple et facilele prix est convenable aussi. Agent accueillant et donnant les meilleures informations. Je recommanderai la prochaine fois à des proches </t>
  </si>
  <si>
    <t>04/09/2021</t>
  </si>
  <si>
    <t>farhenheit-56252</t>
  </si>
  <si>
    <t>Ancien client pour une assurance voiture, je trouve scandaleux le procédé des assureurs de cette compagnie.
Réactivation du contrat sans aucun papier signé et même sans être prévenu. Prélèvement sans accord de ma part. Aucune réponse à mes questions par téléphone sauf "je vous rappelle" et à l'heure actuelle, j'attends toujours le coup de fil.
Menace lors des entretiens en agence. 
Je ne recommande absolument pas cette assurance.</t>
  </si>
  <si>
    <t>AXA</t>
  </si>
  <si>
    <t>25/07/2017</t>
  </si>
  <si>
    <t>01/07/2017</t>
  </si>
  <si>
    <t>cloclo-67078</t>
  </si>
  <si>
    <t xml:space="preserve">Bonjour a tous, voici mon expérience:
suite a la souscription d'un contrat d'assurance auto chez DIRECT ASSURANCE le 03 septembre, j'ai informer le service client le 04 septembre a la réception de ma carte grise, d'une erreur de leurs part, en effet ils m'ont assuré une Daewoo Kalos 1,2 SE comme ayant une puissance administrative de 6cv, alors que le véhicule n'en a une puissance administrative de 5cv. J'ai par concéquent demander une correction de mon contrat. Leurs réponse a été que le service d'immatriculation a fait une erreur, je laisse a chacun le loisir de vérifier par lui-même sur chaque site internet abordant le sujet, que ce véhicule a bien une puissance de 5cv, et pas de 6. 
Sans suite de leurs part, j'ai déposer une réclamation le 17 septembre sur leurs site, nous sommes aujourd'hui le 25 septembre et je n'ai aucun retour de direct assurance, ni aucune correction de mon contrat. 
J'ai déposer une seconde réclamation aujourd'hui même. 
Claude </t>
  </si>
  <si>
    <t>25/09/2018</t>
  </si>
  <si>
    <t>01/09/2018</t>
  </si>
  <si>
    <t>alban-f-113698</t>
  </si>
  <si>
    <t>je suis très satisfait car je suis  assuré rapidement  et vraiment a un prix avantageux  a voir en cas de soucis mais pour l'instant elle est au top .</t>
  </si>
  <si>
    <t>14/05/2021</t>
  </si>
  <si>
    <t>david-c-109129</t>
  </si>
  <si>
    <t>Je suis satisfait de votre contrat même si c'est un peu chère mais voilà les beaux jours arrivent et je vais pouvoir en profiter pour faire des petites balades</t>
  </si>
  <si>
    <t>04/04/2021</t>
  </si>
  <si>
    <t>serge-t-110256</t>
  </si>
  <si>
    <t>je suis très mécontent du service, sinistre déclarer le 25 mars chaque fois que je vous rappel on me dis que je vais recevoir un code par sms pour prendre rdv avec l'expert et depuis rien ne ce passe.</t>
  </si>
  <si>
    <t>13/04/2021</t>
  </si>
  <si>
    <t>aime-a-114649</t>
  </si>
  <si>
    <t>Pris trop élevés par rapport au prix du marché. Aucun effort pour un geste commercial malgré un parc de plusieurs véhicules. Le troisième en cours d'achat et les deux autres déjà assurés chez vous finiront assurément à la concurrence</t>
  </si>
  <si>
    <t>23/05/2021</t>
  </si>
  <si>
    <t>moi-52257</t>
  </si>
  <si>
    <t xml:space="preserve">J'ai 6 assurances chez AXA 2 assurances voiture, 2 assurances moto, une mutuelle santé et une assurance vie de tt les jours 
Et je paie beaucoup trop chère j'ai 43 ans et paie 85€ De mutuelle santé au début je payer 55€ !!!! Sans comptez les autres assurances que j'ai </t>
  </si>
  <si>
    <t>09/02/2017</t>
  </si>
  <si>
    <t>maxome-b-128802</t>
  </si>
  <si>
    <t xml:space="preserve">Rapide et efficace. Simple d’utilisation. Il serait pas mal d’avoir un numéro direct pour joindre une personne. Je voulais faire un prélèvement mais je n’ai pas réussi. </t>
  </si>
  <si>
    <t>20/08/2021</t>
  </si>
  <si>
    <t>yahya-i-133730</t>
  </si>
  <si>
    <t xml:space="preserve">Je suis satisfait de service internet mais j'aurais aimé avoir un appel pour mieux expliquer le devis et le contrat.. J'espère que je ne verrai pas de surprise </t>
  </si>
  <si>
    <t>cendrinerk-86795</t>
  </si>
  <si>
    <t xml:space="preserve">Mutuelle très onereuse.
J'ai envoyé un mail via la page contact du site le 31.01.2020, je n'ai pas eu de réponse.
J'ai tenté de les joindre par téléphone et demandé à être rappellé ce matin, pas encore de nouvelles.
Je les ai contacté via messenger pour poser ma question, on me renvoie vers un correspondant sans me donner ses coordonnées et surtout on ne répond pas à ma question. 
Quelles sont les modalités pour résilier ma mutuelle puisque mon mari a une mutuelle famille obligatoire ?
</t>
  </si>
  <si>
    <t>Harmonie Mutuelle</t>
  </si>
  <si>
    <t>06/02/2020</t>
  </si>
  <si>
    <t>01/02/2020</t>
  </si>
  <si>
    <t>moutel--136227</t>
  </si>
  <si>
    <t xml:space="preserve">Je vien de contacter le service client je suis tomber sur abo qui était très agréable et  qui a pu répondre a mes questions rapidement et qui m'a mis en relation avec le bon service </t>
  </si>
  <si>
    <t>06/10/2021</t>
  </si>
  <si>
    <t>nina81220-57673</t>
  </si>
  <si>
    <t>Promet un remboursement sur l'assurance auto et ça fait deux mois que j'attends et rien  n'est arriver. Le service client est facilement joignable. Et au niveau assistance, on n'a pas eu de problèmes.</t>
  </si>
  <si>
    <t>trousseau-g-136292</t>
  </si>
  <si>
    <t xml:space="preserve">Service téléphonique saturé.
Temps d'attente interminable et on se fait raccrocher au nez.
Interlocuteur qui ne cerne pas toujours la demande.
Tarif cependant attractif.
</t>
  </si>
  <si>
    <t>pascal-d-113568</t>
  </si>
  <si>
    <t>Simple et pratique. Dommage de ne pas avoir possibilité de supprimer une demande (suite à erreur de saisie) ou de revenir sur l'espace de demande une fois l'étape atteinte de relecture avant validation.</t>
  </si>
  <si>
    <t>14/07/2021</t>
  </si>
  <si>
    <t>pierre-k-112650</t>
  </si>
  <si>
    <t xml:space="preserve">Je ne s pas satisfait d'avoir des relations avec mon assurance uniquement par e-mail. L'agence de Quimper n'est pas joignable directement par téléphone quand on en a besoin
</t>
  </si>
  <si>
    <t>04/05/2021</t>
  </si>
  <si>
    <t>franck-s-131017</t>
  </si>
  <si>
    <t>SATISFAIT? LES PRIX ME VONT par rapport ailleurs.
je pense changer mon autre vehicule des la fin de son echeances pour direct assurancess car cela m'a fait economiser 150euros</t>
  </si>
  <si>
    <t>03/09/2021</t>
  </si>
  <si>
    <t>kriss-102942</t>
  </si>
  <si>
    <t xml:space="preserve">L’esprit motard est toujours là....je recommande vivement 
Assureur a l’écoute et réactif et des prix toujours très intéressant bravo à vous                  </t>
  </si>
  <si>
    <t>20/01/2021</t>
  </si>
  <si>
    <t>elloas-58395</t>
  </si>
  <si>
    <t xml:space="preserve"> Contrat auto effectué  par téléphone  . Après avoir bien décrit  mes anciens  relevé  d information et avoir donné  mon bonus-malus  .. il mon fait un tarif j'ai donc payé  3mois d avance il mon envoyé  le contrat que j'ai signée  ainsi que renvoyé  les piece demandé  . Et au final ils me dise qu'il m assure pas et que en plus ils me remboursé pas les 130 e !!! Je trouve ca scandaleux! ! J'engage  un recours  en justice pour ma part </t>
  </si>
  <si>
    <t>26/10/2017</t>
  </si>
  <si>
    <t>01/10/2017</t>
  </si>
  <si>
    <t>moune-104445</t>
  </si>
  <si>
    <t xml:space="preserve">Adhérente depuis plus de 30 ans, j'ai toujours pu obtenir les renseignements utiles, que ce soit en matière de cautionnement de prêt immobilier, de remboursement pour une cure, pour appareillage dentaire. 
Accueil de qualité.   </t>
  </si>
  <si>
    <t>18/02/2021</t>
  </si>
  <si>
    <t>scara91-94636</t>
  </si>
  <si>
    <t>Je suis toujours en attente de remboursement suite à l'opération de mon chien. Je leur ai toujours fourni tout les documents qu'ils demandent mais ne font que renvoyer le dossier pour demander de nouveaux documents au lieu de tout demander d'un coup. Cela fait déjà 2 fois!!!! J'ai plus l'impression qu'ils font exprès pour retarder les paiements au maximum et faire perdre patience à leur clients. Et de plus, ils sont incapable d'appeler le client pour demander les documents, non au contraire ils disent rien et renvois le dossier.</t>
  </si>
  <si>
    <t>Assur O'Poil</t>
  </si>
  <si>
    <t>animaux</t>
  </si>
  <si>
    <t>20/07/2020</t>
  </si>
  <si>
    <t>didlab-115654</t>
  </si>
  <si>
    <t xml:space="preserve">bonjour 
 j'ai contracté il y a maintenant plus d'un an 3 assurances chez cette compagnie pour mes animaux en contrat premium soit un investissement annuel de 840 euros environ 
aujourd'hui j'ai résilié (courrier avec A.R.) mes contrats en temps et en heure soit deux mois avant la date anniversaire et j'ai payé par prélèvement toutes mes cotisations soit 12 mois
on continue a me demander mes règlements pour des mois ou mes animaux ne sont plus couverts avec s'il vous plait recommandé et mise au contentieux. 
dans le même temps j'ai fait parvenir durant la durée de mon contrat des demandes de remboursements avec tous les justificatifs sous la forme de factures détaillées des interventions faite par le vétérinaire. 
à ce jour j'ai un montant global d'environ 450 euros qui ne m'a toujours pas été remboursé sous prétexte qu'ils n'ont pas reçu les éléments alors que j'ai des retours de leur service prouvant le contraire. 
si je fais le calcul aujourd'hui le cout pour moi est de plus de 1300 euros avec en plus une mise au contentieux fallacieuse. 
l'amour de mes animaux m'a fait hélas rentré dans un système pernicieux ou la considération animale est de second ordre. 
en conclusion cette compagnie d'assurance n'a malheureusement qu'une existence "virtuelle"  
- pas de contact entre les différents services 
- certainement un personnel très mal considéré car se déchargeant de toute responsabilité 
- conséquence AUCUNE COMMUNICATION entre leurs différents services (expérience vécue par téléphone a plusieurs reprises) 
je ne vais pas m'étendre plus sur ce dossier mais en tant que chef d'entreprises et donc personne consciente de ses responsabilités, je vois dans ce système d'assurances par internet une dérive du système et une détérioration de l'image des sociétés d'assurances qui ont déjà une mauvaise presse. 
je vous laisse seul juge de vos décisions mais la mise en garde est réelle.
A BON ENTENDEUR SALUT        
</t>
  </si>
  <si>
    <t>Eca Assurances</t>
  </si>
  <si>
    <t>02/06/2021</t>
  </si>
  <si>
    <t>labouri-b-130832</t>
  </si>
  <si>
    <t>Je suis satisfait de la rapidité à souscrire mais aussi à la simplicité et surtout le prix de l'assurance. J'ai vite été rappelé, je suis pleinement satisfait</t>
  </si>
  <si>
    <t>02/09/2021</t>
  </si>
  <si>
    <t>lahax-72220</t>
  </si>
  <si>
    <t>Mon conjoint et moi-même sommes assurés chez eux depuis pas mal d'années (voiture, moto) et avons eu des vols et sinistres (non responsables) - tout s'est passé pour le mieux.</t>
  </si>
  <si>
    <t>16/03/2019</t>
  </si>
  <si>
    <t>01/03/2019</t>
  </si>
  <si>
    <t>jeremy-51012</t>
  </si>
  <si>
    <t>Prix très élevé mais très compétent si vous avez des ennuis</t>
  </si>
  <si>
    <t>06/01/2017</t>
  </si>
  <si>
    <t>01/01/2017</t>
  </si>
  <si>
    <t>mohieddine-a-131693</t>
  </si>
  <si>
    <t>Je suis satisfait de la rapidité de la  procédure, merci.
Les prix sont acceptable.
merci pour le service et je vous souhaite une bonne journée, codialement</t>
  </si>
  <si>
    <t>07/09/2021</t>
  </si>
  <si>
    <t>swann49-60642</t>
  </si>
  <si>
    <t xml:space="preserve">Une super mutuelle. Qui réponds à mes besoins rembourse très rapidement </t>
  </si>
  <si>
    <t>19/01/2018</t>
  </si>
  <si>
    <t>01/01/2018</t>
  </si>
  <si>
    <t>lucy-b-135420</t>
  </si>
  <si>
    <t>Je suis satisfaite du service mais j’aurais aimé avoir le bon prix des le début au lieu d’avoir une augmentation au fur et à mesure de passer aux pages suivantes..</t>
  </si>
  <si>
    <t>fabien-60334</t>
  </si>
  <si>
    <t>Assuré à l'agence de Maubeuge depuis de nombreuses années ! Accueil du personnel très sympathique et compétent ,c'est d'ailleurs pour cette raison que j'y reste !en ce qui concerne les services je n'ai heureusement pas du les utiliser depuis de nombreuses années donc je ne peux pas les critiquer !</t>
  </si>
  <si>
    <t>10/01/2018</t>
  </si>
  <si>
    <t>fabrice-113817</t>
  </si>
  <si>
    <t>Active assurances est un courtier en assurance qui ne souhaite pas fidéliser ses clients. 37% d'augmentation en 3 ans. Fuyez ce courtier qui n'est intéressant que la première année.</t>
  </si>
  <si>
    <t>Active Assurances</t>
  </si>
  <si>
    <t>15/05/2021</t>
  </si>
  <si>
    <t>jeanlouis14-61568</t>
  </si>
  <si>
    <t>Pour un sinistre non responsable le service client a laissé trainer mon dossier pendant plus d'un an avant de pouvoir faire les réparations</t>
  </si>
  <si>
    <t>08/01/2019</t>
  </si>
  <si>
    <t>01/01/2019</t>
  </si>
  <si>
    <t>bendjilali-s-117521</t>
  </si>
  <si>
    <t>Je suis satisfait mercipar rapport à la entretien que j'ai eu et si nos accords sont respectés il ne y aura rien a dire sinon je vous contacterai pour vous le faire savoir</t>
  </si>
  <si>
    <t>18/06/2021</t>
  </si>
  <si>
    <t>jie-89171</t>
  </si>
  <si>
    <t>Je suis cliente depuis à peine une semaine, c'est déjà une catastrophe !
Quand vous appelez leur service client, vous avez 2 options : #1 renseignement sur des offres,#2 remboursement etc.. J'ai déjà un contract donc normalement je compose le #2 (pour savoir comment communiquer un mandat de prélèvement signé par voie electronique en temps de confinement), mais PERSONNE ne répond ! J'ai attendu 2 fois 5 mins, 1 fois 15 mins !!! Dont 2 fois transférés par le personnel du #1. Je demande même pas de remboursement !!! Pas encore !!!
Bizarrement, avant souscription, le #1 répond ultra vite pour vous vendre.</t>
  </si>
  <si>
    <t>SantéVet</t>
  </si>
  <si>
    <t>27/04/2020</t>
  </si>
  <si>
    <t>01/04/2020</t>
  </si>
  <si>
    <t>alexandre-97644</t>
  </si>
  <si>
    <t>Nul !!!! A éviter ! J’ai un sinistre datée de 20/01/2019. Les traveaux ne sont toujours pas faites ! Service sinistre inexistant !!! Vraiment prenez une autre assurance.</t>
  </si>
  <si>
    <t>21/09/2020</t>
  </si>
  <si>
    <t>01/09/2020</t>
  </si>
  <si>
    <t>titi-57984</t>
  </si>
  <si>
    <t>bonjour j'ai  demandé un devis pour ma fille qui vient d'avoir le permis il m'a été répondu pas de devis si pas client ????comment fait'on si on est conducteur novice sans aide des parents ???cordialement</t>
  </si>
  <si>
    <t>11/10/2017</t>
  </si>
  <si>
    <t>regis-m-109674</t>
  </si>
  <si>
    <t>Pas de recul  pour l'instant, bonne réactivité à la signature du contrat.
Merci pour votre gentillesse, et pour votre professionalisme
Vous êtes les meilleurs!!</t>
  </si>
  <si>
    <t>08/04/2021</t>
  </si>
  <si>
    <t>joaquin-z-102461</t>
  </si>
  <si>
    <t xml:space="preserve">Je suis satisfait du service, de la clarté et de la simplicité d'utilisation du simulateur . Les tarifs sont raisonnables. Les prix des options sont en revanche assez chers. </t>
  </si>
  <si>
    <t>11/01/2021</t>
  </si>
  <si>
    <t>camillo-t-116995</t>
  </si>
  <si>
    <t>bonjour suite a tentative de vol Direct Assurance a géré le dossier du début a la fin.
dépannage remorquage expertise réparation et remboursement sous 15 jours car je n avais pas choisi le garage préconisé.</t>
  </si>
  <si>
    <t>14/06/2021</t>
  </si>
  <si>
    <t>tarek-c-130003</t>
  </si>
  <si>
    <t xml:space="preserve">Je suis satisfait merci bcp j'espère que tout va bien avec direct assurance merci d'avance et bonne continuation. La procédure est très rapide sans lacune merci </t>
  </si>
  <si>
    <t>29/08/2021</t>
  </si>
  <si>
    <t>samire-b-109452</t>
  </si>
  <si>
    <t>Ayant un bonus de 50 depuis quelques années et n'ayant pas subit ,de sinistres responsable ou non ,j'aurais souhaité bénéficier d'une réduction plutôt qu'une augmentation.
Cordialement</t>
  </si>
  <si>
    <t>07/04/2021</t>
  </si>
  <si>
    <t>papy1jm-96761</t>
  </si>
  <si>
    <t>assure depuis deux ans chez directe assurance j arrete mauvaise experience le gros probleme pas d interlocuteur impossible d avoir des explications surtout les prix qui
changes sans motifs 50pour cent de bonus depuis toujours permis depuis 1966 j ai voulu
tester j ai compris je reviens dans une assurance locale</t>
  </si>
  <si>
    <t>25/09/2020</t>
  </si>
  <si>
    <t>sylmio-60307</t>
  </si>
  <si>
    <t>La Matmut m'a répondu sous forme de courrier en s'étonnant du fait que j'avais osé donner un avis sous entendu de mauvaise foi alors qu'ils n'ont jamais démérité dans leur prestation. Apparemment les clients mécontents n'ont qu'un droit faire profil bas. a bon entendeur...</t>
  </si>
  <si>
    <t>25/07/2018</t>
  </si>
  <si>
    <t>jzonn-80882</t>
  </si>
  <si>
    <t>Assurance a éviter , je déconseille fortement. Il vous piège or il ne respect pas leur engagements.</t>
  </si>
  <si>
    <t>10/11/2019</t>
  </si>
  <si>
    <t>blibor-103490</t>
  </si>
  <si>
    <t xml:space="preserve">Je suis très satisfait de ma mutuelle santé et les intervenants au téléphone son très efficaces et aimables. Ne changez rien.
 Sincères Salutations 
</t>
  </si>
  <si>
    <t>mohra-78478</t>
  </si>
  <si>
    <t>Service client exécrable. Les personnes répondant au téléphone sont très désagréables et non professionnelles. A chaque fois que je les appelle c'est la même chose.</t>
  </si>
  <si>
    <t>16/08/2019</t>
  </si>
  <si>
    <t>coupat-51116</t>
  </si>
  <si>
    <t>ils ont promis 2,5% mini par an pour maintenir le pouvoir d"achat,,en fait maintenant c'est NEGATIF,,c'est normal????? il vaut mieux aller ailleurs pou tout placement</t>
  </si>
  <si>
    <t>edouardzim1-96583</t>
  </si>
  <si>
    <t>Bonjour , après 4 année d'assurance auto tout risque chez Eurofil ,et 1 sinistre responsable partielle , avec un départ de prime a 342 euros ,je trouve fort de café , ma cotisation 2021 , a 478, euros , et avec ceci ,pas de remboursement partiel de prime ,cause confinnement covid ( super...) Témoins  de client ayant eu 2 sinistres dans l'année et ....éjecté de la compagnie, sans discussion au préalable ,vraiment ,il vous faut payer pour être en règle avec la loi ,mais sans plus....Le client une simple vache a lait, aujourd'hui ,c'est décidé ,je quite cette compagnie sans regret et conseille aux éventuels clients de bien pesé le pour et le contre ...a bon entendeur.</t>
  </si>
  <si>
    <t>23/08/2020</t>
  </si>
  <si>
    <t>artiy-52457</t>
  </si>
  <si>
    <t xml:space="preserve">J'ai été assuré chez eux pendant un an, pas d'accident, j'ai toujours payé en temps et en heure. J'ai cédé mon véhicule en juillet 2016 j'ai donc envoyé l'acte de cession par la suite en courrier simple, grosse erreur de ma part. En septembre 2016 j'étais encore prélevé j'ai donc appelé pour comprendre pourquoi et ils m'ont alors dit qu'ils n'avaient jamais reçu l'acte de cession alors que je les avais informés par téléphone en juillet lors de l'achat d'une autre moto pour être assuré chez eux. Le temps de retrouver l'acheteur et de faire les démarches auprès de la préfecture je n'ai pu renvoyé un duplicata de cession qu'en janvier 2017. Aucune compréhension de leur part aucun geste commercial alors que l'erreur de réception du premier certificat pourrait très bien venir de leur service je me suis donc retrouvé à perdre 210 € et reconnaisse avoir un trop perçu de cette somme mais ils comptent bien le garder. Très déçu par cette assurance je peux vous assurer que je n'y retournerai jamais et travaillant dans un garage je partagerai mon expérience. Pour conclure je la déconseille fortement. </t>
  </si>
  <si>
    <t>AssurOnline</t>
  </si>
  <si>
    <t>15/02/2017</t>
  </si>
  <si>
    <t>baudement-t-131958</t>
  </si>
  <si>
    <t xml:space="preserve">Juliette du service commercial à su m'accompagner parfaitement lors de mon appel jusqu'à la souscription de mon contrat. Interface web agréable, à voir pour la suite mais je ne doute pas des services de votre assurance. </t>
  </si>
  <si>
    <t>la-tingie-99967</t>
  </si>
  <si>
    <t>Ce jour, j'étais en train de chercher une nouvelle mutuelle sur internet quand mon téléphone sonne. C'était un courtier pour Santiane. Il me propose un devis qu'il m'explique parfaitement. Il me dit m'envoyer un mail du devis, mais le mail n'arrive pas. Après plusieurs vérifications toujours pas de mail. Après une heure de discution, il me dit m'envoyer un mail contenant le contrat à signer, mais toujours pas de mail. Il m'invite à aller sur le site, me donne des codes et me voilà en présence du contrat sur mon écran. Il m'explique le contrat, reprend les points, me demande de cocher des cases, me demande mon IBAN puis me dit "voilà vous n'avez plus qu'à cliquer en bas de la page sur "signer mon contrat". Un peu tardivement j'ai compris que j'étais en train de me faire manipuler et je me suis fortement énervé. Etant dans l'impossibilité d'être écouté, j'ai raccroché après l'avoir prévenu, et il s'en est suivi une multitudes d'appels. Les mails ne sont toujours pas arrivés, j'ai vérifié ma boîte mail et elle fonctionne parfaitement. J'en conclus que les mails n'ont pas été envoyés pour ne pas me laisser le temps de réfléchir et m'amener en douceur à signer un contrat sans trop m'en apercevoir. En conclusion, il est impératif de rester vigilant. Par ailleurs, je vais faire un dossier pour UFC Que Choisir.</t>
  </si>
  <si>
    <t>10/11/2020</t>
  </si>
  <si>
    <t>01/11/2020</t>
  </si>
  <si>
    <t>ahmed-d-114562</t>
  </si>
  <si>
    <t>Je suis très satisfait des services que propose l'olivier assurance.
Le prix qu'ils proposent est convenable et intéressant. 
Ils sont a l'écoute, je vous les recommande.</t>
  </si>
  <si>
    <t>22/05/2021</t>
  </si>
  <si>
    <t>celineb13-90495</t>
  </si>
  <si>
    <t>l'accueil des conseillères est toujours très courtois et professionnel</t>
  </si>
  <si>
    <t>12/06/2020</t>
  </si>
  <si>
    <t>01/06/2020</t>
  </si>
  <si>
    <t>bourgeois-j-134748</t>
  </si>
  <si>
    <t xml:space="preserve">Conseiller très sympathique avec des explications clair et une prise de nos demandes très satisfaisant, très bonne écoute de nos besoins. Je recommande </t>
  </si>
  <si>
    <t>27/09/2021</t>
  </si>
  <si>
    <t>denis-b-132072</t>
  </si>
  <si>
    <t xml:space="preserve">je suis satisfait pour l'instant de la facilité et la simplicité de souscription. Je suis en attente du l'efficacité du système YOUDRIVE et de la réduction de tarif qui en découlera. 
</t>
  </si>
  <si>
    <t>09/09/2021</t>
  </si>
  <si>
    <t>dga37-59402</t>
  </si>
  <si>
    <t>J’ai fait un devis j’ai corrigé le devis n’a pas pris en compte le changement doit payer 15€ + 15  d’augmentation pas normal service client ne tient pas compte de notre avis ou erreur ou bug informatique</t>
  </si>
  <si>
    <t>saint-mars-a-136356</t>
  </si>
  <si>
    <t>Super réactivité et super conseillé au téléphone. A conseiller vivement. A voir pour d autre assurance habitation et ou aav et ou assurance scolaire s</t>
  </si>
  <si>
    <t>07/10/2021</t>
  </si>
  <si>
    <t>sebastien-s-125200</t>
  </si>
  <si>
    <t>Satisfait mais je n’ai plus beaucoup de batterie. J’espère avoir un bon service en m’engageant chez vous. Merci de votre compréhension. Saraiva Sebastien</t>
  </si>
  <si>
    <t>28/07/2021</t>
  </si>
  <si>
    <t>copain-93755</t>
  </si>
  <si>
    <t>Voilà 2 mois que j'attends des nouvelles de l'Afer...rien après de multiples relances, très inquiétant, que ce passe t'il ? Même pas un accusé de réception des mes multiples couriers . Prochaine étape, je fait un scandale au siège !</t>
  </si>
  <si>
    <t>10/07/2020</t>
  </si>
  <si>
    <t>dididavid54150-75841</t>
  </si>
  <si>
    <t xml:space="preserve">très bonne compréhension des problèmes avec résolution très rapide de leur part
très bonne recherche de la bonne mutuelle adapté à la composition familiale et aux besoin de chacun
je recommande très fortement
</t>
  </si>
  <si>
    <t>13/05/2019</t>
  </si>
  <si>
    <t>01/05/2019</t>
  </si>
  <si>
    <t>christophe-g-131427</t>
  </si>
  <si>
    <t>Je suis satisfait du service et satisfait du prix et de la rapidité. Et des garanties donnés.  A proposer à d autre personne. En espérant que la suite soit pareil.</t>
  </si>
  <si>
    <t>05/09/2021</t>
  </si>
  <si>
    <t>helene-t-135783</t>
  </si>
  <si>
    <t>je suis ravie des services et du prix;
j'espere ne pas avoir de mauvaises surprises par la suite  . en attendant je vous ai recommandé à mes amis.
cordialement</t>
  </si>
  <si>
    <t>04/10/2021</t>
  </si>
  <si>
    <t>drangiac74-79679</t>
  </si>
  <si>
    <t>A la Maif depuis 25 Ans. J'ai eu affaire à eux pour 2 problèmes. : un dégât des eaux et un bris de glisse. Dans les 2 cas, un refus de prise en charge... La Maif est un assureur militant qui milite pour se mettre de l'argent dans les poches sans jamais en débourser pour ses assurés... à fuir</t>
  </si>
  <si>
    <t>02/10/2019</t>
  </si>
  <si>
    <t>patrick-61867</t>
  </si>
  <si>
    <t xml:space="preserve">J'habite  St Martin, j'ai eu a faire face au cyclone Irma, j'ai donc fait une declaration de sinistre  de cat.nat. en ligne pour ma voiture endommagee qui a engendre un mail d'accuse de reception avec reference du dossier sinistre
J'ai du m'absenter plusieurs mois en metropole, quand je suis rentre en janvier j'ai paye mon renouvellement d'assurance expire depuis novembre mais ca n'a pas pose de probleme, l'hotesse d'accueil m'a donne les coordonnes de l'expert que je suis alle voir pour constater le sinistre, et j'ai recu il y a 8 jours un appel me disant que mon cheque d'indemnite etait pret a ma disposition a l'agence.
Bravo Allianz St Martin pour votre professionnalisme! </t>
  </si>
  <si>
    <t>01/03/2018</t>
  </si>
  <si>
    <t>carine-66034</t>
  </si>
  <si>
    <t xml:space="preserve">nous avons assuré un de nos véhicules chez AXA via notre courtier. A la vente de ce véhicule nous avons fait le nécessaire auprès de notre courtier mais celui ci avait entretemps fermé ses portes. Nous nous sommes donc retournés vers la plate forme d'Axa...il m'a été répondu que comme j'étais passé par un courtier vous ne pouviez rien faire pour moi (même si celui ci a fermé...) il m'a même été dit que vous n'étiez ni concerné ni responsable de ce que les courtiers vendaient au nom de votre socété...et que si je n'étais pas contente je n'avais qu'a aller ailleurs. Il m'a été demandé de faire un mail à votre service client (réponse sous 40 jours !!!) et en attendant notre nouveau véhicule ne peut être assuré car il me faut un relevé d'information que personne ne veut me fournir !!! </t>
  </si>
  <si>
    <t>07/08/2018</t>
  </si>
  <si>
    <t>01/08/2018</t>
  </si>
  <si>
    <t>cilinio-m-124478</t>
  </si>
  <si>
    <t xml:space="preserve">Je suis satisfait du service que vous m’offrez rapidement c’est simple et efficace je suis ravi du rapport qualité prix c’était pas compliqué rapide compréhensible </t>
  </si>
  <si>
    <t>23/07/2021</t>
  </si>
  <si>
    <t>lomocata-71835</t>
  </si>
  <si>
    <t xml:space="preserve">malgré des courriers des appels des mails concernant une résiliation  Maff continueait a prélever  très mauvaises gestion des assurés prix des primes entre 50 et 100% plus chers que la concurrence </t>
  </si>
  <si>
    <t>04/03/2019</t>
  </si>
  <si>
    <t>mansar-s-117396</t>
  </si>
  <si>
    <t>Je suis satisfait de l’assurance prise.A niveau prix et télécommunication.
Les démarches sont assez simples et faciles pour les procédures. 
L’envoi des documents et les signatures sont effectué facilement.</t>
  </si>
  <si>
    <t>17/06/2021</t>
  </si>
  <si>
    <t>joyhapppy-58298</t>
  </si>
  <si>
    <t xml:space="preserve">Je viens de finir mon prêt dernière échéance septembre 2017, je suis chargée en banque des financements immobiliers surtout de pas travailler avec EUX!!!!!  J'ai vu 2 experts de chez eux aucun respect problème de dos rien à faire l'expert rempli le dossier que lui à remis l'assurance. Dès questions rien à voir avec le sujet ex: diplômes combien d'enfants  et diverses autres questions et cela traîne en longueur alors que vous ne pouvez plus rester assis tellement vous avez mal!!!Obligation de demander une contre expertise obtenue après avoir fait appel à un avocat en janvier 2016 et Je suis aujourd'hui en invalidité 2eme catégorie,de plus je viens de finir mon traitement commencé en début d'année pour un cancer du sein. DÉSOLÉE si je ne suis pas rentable!!! 
Et difficile d'avoir au téléphone un interlocuteur inadmissible. BIEN ÉTUDIER AVANT DE SOUSCRIRE CHEZ EUX </t>
  </si>
  <si>
    <t>APRIL</t>
  </si>
  <si>
    <t>23/10/2017</t>
  </si>
  <si>
    <t>liron-k-129917</t>
  </si>
  <si>
    <t xml:space="preserve">Rapidité d’execution et disponible le weekend au top , je suis satisfait et j’espère l’etrr par la suite, la souscription en ligne rapide et le service téléphonique aussi </t>
  </si>
  <si>
    <t>sailor-g-123866</t>
  </si>
  <si>
    <t>Très satisfait du service, un service très rapide et efficace, très simple et bien présenté, je conseille AMV pour une adhésion en ligne sécurisée et optimisée</t>
  </si>
  <si>
    <t>19/07/2021</t>
  </si>
  <si>
    <t>dubois-de-la-cotardiere-j-108165</t>
  </si>
  <si>
    <t xml:space="preserve">Dommage que le site bug au moment de signer le contrat, ça fait perdre pas mal de temps pour quelque chose qui pourrait être vite fait, sinon les tarifs sont bons </t>
  </si>
  <si>
    <t>26/03/2021</t>
  </si>
  <si>
    <t>stephane69-53644</t>
  </si>
  <si>
    <t>Je suis actuellement assure a la prevoyance sante neoliane et je suis tres etonne par certains commentaires que je viens de lire. 
En effet, Neoliane me permet de beneficier de certains droits que ma mutuelle ne me permettait pas ET avec des cotisations qui ne sont pas forcement excessives !!!</t>
  </si>
  <si>
    <t>28/03/2017</t>
  </si>
  <si>
    <t>01/03/2017</t>
  </si>
  <si>
    <t>damienlb-115783</t>
  </si>
  <si>
    <t>Nous avons été victimes de la foudre le 5 mai 2020, déclenchement des procédures un peu flou au début. Après insistance ils m'ont attribué un maître d'œuvre pour suivre les travaux. Erreur à ne pas faire, prenez un indépendant quitte à payer une partie de votre poche.
Ils m'ont fait signer une "convention de pilotage chantier" il aurait été préférable d'appeler ça " y-a-t-il pilote sur le chantier".
Le Maitre d'œuvre a tout d'abord refusé que j'apporte des devis concurrent sous prétexte que si il prend en charge le dossier alors c'est à lui de mettre les entreprises compétente en place. J'ai su après coup que c'est tout simplement "illégale". 
Et je ne parle pas du pilotage du chantier totalement inexistant, puisqu'une des réponses du M-Oeuvre, a été de me dire qu'il n'allait quand même pas passer tous les mois sur mon chantier. 
Bref cela fait plus d'un an que le dossier est ouvert, je n'ai pas beaucoup de reproche direct envers Pacifica mais leur société de travaux Viaren c'est une catastrophe. Alors courage fuiez</t>
  </si>
  <si>
    <t>03/06/2021</t>
  </si>
  <si>
    <t>georgio-42323</t>
  </si>
  <si>
    <t xml:space="preserve">Plutôt bonne mutuelle prise au moment de ma période de chômage. </t>
  </si>
  <si>
    <t>12/04/2018</t>
  </si>
  <si>
    <t>01/04/2018</t>
  </si>
  <si>
    <t>danielstioui-98555</t>
  </si>
  <si>
    <t>J'ai eu un sinistre en 6 ans, et Matmut ne souhaite plus m'assurer !?!
Si vous n'avez besoin de rien ils sont là pour vous (faire les poches), autrement, fuyez.</t>
  </si>
  <si>
    <t>09/10/2020</t>
  </si>
  <si>
    <t>01/10/2020</t>
  </si>
  <si>
    <t>justes-s-133580</t>
  </si>
  <si>
    <t xml:space="preserve">Nous sommes satisfaits du service, bonne réactivité pour la mise en place d'une assurance. C'est le second contrat et pour l'instant tout se passe bien. 
 </t>
  </si>
  <si>
    <t>20/09/2021</t>
  </si>
  <si>
    <t>melissa-f-131644</t>
  </si>
  <si>
    <t xml:space="preserve">Je suis satisfaite du service très bien expliquer 
Satisfaisant les prix
Bonne prestation.
Contente de la rapidité 
Beaucoup choix niveau des options </t>
  </si>
  <si>
    <t>mourad-b-114047</t>
  </si>
  <si>
    <t>Le prix de l'assurance a augmenté de 60 en 2 ans. Direct Assurance n'est plus aussi attractif qu'auparavant.
J'envisage donc de changer d'assurance cette année</t>
  </si>
  <si>
    <t>18/05/2021</t>
  </si>
  <si>
    <t>rollmops67-103713</t>
  </si>
  <si>
    <t>Une catastrophe depuis début 2021 !
Ça fait 14 ans que je suis chez Mercer, et jusqu'à présent tout se passait bien.
Mais les problèmes ont commencé fin 2020.
Normalement, Mercer m'envoie ma carte de tiers payant pour l'année suivante mi-décembre.
N'ayant rien vu venir le 6 janvier 2021, j'ai relancé Mercer par messagerie sur leur site, ils m'ont répondu le 18 janvier que "ma carte vient d'être envoyée".
Aujourd'hui le 5 février 2021 elle n'est toujours pas arrivée.
En parallèle, suite à des consultations en janvier j'ai eu deux courriers postaux de Mercer me disant qu'ils ne peuvent pas prendre en charge un remboursement vu que j'aurai été radié de chez eux.
Alors que je travaille toujours dans la même entreprise, que les cotisations sont prélevées et que ni moi ni mon patron n'avons demandé ma radiation...
Cela ne s'arrête pas là : j'ai aussi eu deux courriers postaux de leur part me demandant des pièces justificatives pour être remboursé de simples consultations, alors qu'en 14 ans on ne m'a jamais demandé de pièces (en dehors des devis pour lunettes et dentiste)
Et cela en parallèle aux courriers disant que je suis radié...
Dernière découverte :
J'ai installé l'application Mercer sur mon téléphone pour voir si je pouvais télécharger ma carte de tiers payant par ce biais (c'est impossible sur leur site internet), mais en passant par l'appli, on me propose de télécharger la carte pour 2020, donc l'année dernière.
Le plus bizarre dans tout ça, c'est que ma carte de tiers-payant papier pour 2020 (que j'ai donc reçu fin 2019) a un autre numéro d'adhérent que celle, toujours pour 2020, que je peux télécharger dans l'application, et qu'elle ne dépend pas du même centre de gestion (Levallois Perret pour la carte papier, Chartres pour la carte téléchargeable par l'appli)
Je me retrouve donc avec deux numéros d'adhérent, merci Mercer !
Bref ça a l'air d'être devenu du grand n'importe quoi.
Dernière remarque, les 4 courriers que j'ai reçu en janvier sont signés par des noms à consonance russe, serait-ce que Mercer a externalisé ses services dans un pays "low-cost" ?
Bref, pour vous qui cherchez une mutuelle en ce début 2021, fuyez Mercer !</t>
  </si>
  <si>
    <t>Mercer</t>
  </si>
  <si>
    <t>05/02/2021</t>
  </si>
  <si>
    <t>eddy-79133</t>
  </si>
  <si>
    <t>service sinistre injoignable par téléphone plus d'une heure d'attente avant rejet de l'appel</t>
  </si>
  <si>
    <t>12/09/2019</t>
  </si>
  <si>
    <t>sashav05-58562</t>
  </si>
  <si>
    <t>HORRIBLE ! A FUIR ! service client inefficace, personnel très peu aimable et incompétent. Pour prendre notre argent ils savent faire mais pour le reste rien ! Jamais la même personne au téléphone des informations se perdent en route, un dit noir l'autre dit blanc, du grand n'importe quoi ! "service client " surtaxé qui nous fait attendre (expres ?) et qui n'a jamais de réponse à nos questions ! "Oui alors veuillez nous excuser mais ... " réponse typique qu'ils ont tous apprit en formation !</t>
  </si>
  <si>
    <t>03/11/2017</t>
  </si>
  <si>
    <t>dm1795-94012</t>
  </si>
  <si>
    <t>La perte de temps</t>
  </si>
  <si>
    <t>13/07/2020</t>
  </si>
  <si>
    <t>plantey-a-107183</t>
  </si>
  <si>
    <t>agents qualifiés, agréable, arrangeants.
Services excellents.
Rien à dire, aucun soucis rencontrés avec L'olivier assurance jusqu'à présent.
Ascelin PLANTEY</t>
  </si>
  <si>
    <t>jjd-106035</t>
  </si>
  <si>
    <t>Victime d'un cambriolage dans ma résidence secondaire en décembre dernier, je suis particulièrement satisfait de la façon dont mon dossier a été géré par la MATMUT et son expert pour finalement me faire sans chipotage, poste par poste, une proposition d'indemnisation très convenable et que j'ai acceptée sans discussion. Merci et bravo à la MATMUT.</t>
  </si>
  <si>
    <t>maxence-m-133484</t>
  </si>
  <si>
    <t>Tarif resonnable
 equipe reactive lors d'un appel 
suivi des dossiers convenables. 
Site et espace personnel tres fluide pour la facilite de retrouver facilement les documents</t>
  </si>
  <si>
    <t>maud-w-111597</t>
  </si>
  <si>
    <t xml:space="preserve">Le Site est simple d’utilisation et intuitif, les tarifs sont très attractifs.     J’espère que je ne serais pas déçue le jour où j’en aurais besoin. </t>
  </si>
  <si>
    <t>25/04/2021</t>
  </si>
  <si>
    <t>maxime-d-115223</t>
  </si>
  <si>
    <t>Le service client pas téléphone est très pro et très accueillant. En revanche lorsque nous souhaitons un devis ou avons une demande à faire par mail, les délais de réponse sont trop longs</t>
  </si>
  <si>
    <t>28/05/2021</t>
  </si>
  <si>
    <t>kamila-74607</t>
  </si>
  <si>
    <t xml:space="preserve">Je suis une cliente depuis 1 an et demi, et je n ai jamais eu de probleme avec cette societé, tout simplement parceque je suis connaisseuse, je savais comment adapter mes attentes à la realité des choses, j ai recu ma carte apres le 1 er prelevement, donc 1 an apres ma souscription puiceque le contrat ne debutait que l'année qui suit. Malakof etait ma mutuelle depuis, certe je reussissais pas a les joi dre tout le temps, dans ce cas là santiane jiuait l intermediare pour moi. Mon contrat contenait une prevoyance et le conseiller me l'avaut bien dit pendant notre echange telephonique (contrairement a quelques uns qui dise.r que nous l'inclut sans notre accord, sachant qu'ils ont bien bien validé eux meme les deux contrats assurance vie et prevoyance!! ) Santiane est un organisme independant qui ne s'est jamais presenté comme une mutuelle ou une assurance, en lisant les avis negatifs, je ne me suis empechée de rigoler fond! les gens ne comprennent meme pas le fonctionnement des assurances, mutuelles, ni les lois qui les regissent ni même lla difference entre un assureur, un comparateur et un tiers payant!! Et pire encore, ils se prennent pour des malins (ou encores victimes) Pour faire bref, avant de s'avancer sur ce que vous ne comprenez meme pas, renseignez vous un peu par rapport a ce métier pour pouvoir bien juger les choses. </t>
  </si>
  <si>
    <t>30/03/2019</t>
  </si>
  <si>
    <t>florian-63381</t>
  </si>
  <si>
    <t>La qualité du service client est très limitée.
Les conseillers ne maîtrisent pas leur sujet et à des questions précises qui ne peuvent aboutir que par oui ou par non j'obtient des "oui....normalement...".
Tout ce que les conseillers répètent en boucle car ils ne savent pas quoi dire c'est " en tout cas rassurer vous votre dossier est en cours". Avec des réponses imprécises et des conseillers qui n'y connaissent rien on vite envie de casser le téléphone.
L’assistance met des plombent pour trouver un garage agréé et je n'ai pas le droit a un véhicule de pret car mon véhicule n'est plus "roulant" ce qui semble logique quand on a un sinistre...
Bref horrible</t>
  </si>
  <si>
    <t>18/04/2018</t>
  </si>
  <si>
    <t>ben-129106</t>
  </si>
  <si>
    <t>La personne que j'ai eu au téléphone pour un renseignement à été très gentil à bien répondu à mes attentes. Je suis contente d'avoir souscrit à cette mutuelle, a voir dans le temps</t>
  </si>
  <si>
    <t>23/08/2021</t>
  </si>
  <si>
    <t>rideaux-69780</t>
  </si>
  <si>
    <t xml:space="preserve">lorsque vous êtes dans limpossibilité de payer vos échéances en donnant des preuves parce que vous êtes au chômage , que vous narrivez meme pas a payer votre loyer inhumain société de  m mauvaise année 2019 pour lavenir votre société </t>
  </si>
  <si>
    <t>31/12/2018</t>
  </si>
  <si>
    <t>01/12/2018</t>
  </si>
  <si>
    <t>nathalie-c-121396</t>
  </si>
  <si>
    <t xml:space="preserve">Un peu cher par rapport au prix du marche , sinon toujours prêt a répondre a mes demandes , dommage que les interlocuteurs ne parlent pas mieux le Français car des fois on ne se comprends pas 
</t>
  </si>
  <si>
    <t>28/06/2021</t>
  </si>
  <si>
    <t>gizmo-96071</t>
  </si>
  <si>
    <t>Bonjour,
je vous fait part de ma mauvaise expérience avec la MACIF
En 2018, je quitte mon logement pour emménager avec ma compagne et envoie, comme me l'a expliqué le service client, la-dite attestation par lettre simple afin de résilier mon contrat. Nous avons conservé son assureur.
Voilà que je reçois un courriel d'une société de recouvrement pour une somme que je devrai à la MACIF. Je contacte immédiatement la MACIF qui m'indique ne pas avoir trace de mon courrier et m'invite à leur envoyer par courriel pour régulariser le dossier.
J'envoie donc un courriel avec mes coordonnées, je reçois une réponse automatique et je patiente... RIEN !
Je rappelle et on me dit que le courriel a bien été reçu et que mon dossier et en cours de traitement. Quelques jours et... RIEN !
Finalement, cinq courriels avec toujours une réponse automatique, mais rien de plus. Huit appels pour découvrir à chaque fois que mon dossier est traité et que j'aurai une réponse sous peu (qui ne viendra jamais).
Mieux à chaque fois je leur demande au minimum d'indiquer à leur société de recouvrement que le dossier n'a pas lieu d'être, on me dit qu'ils vont l'envoyer à chaque fois. Comprenez évidemment que ce n'est JAMAIS fait et que je peux bien me débrouiller avec un société qui a peut-être plus l'habitude aux personnes de mauvaise foi que de bonne foi.
Après ces multiples appels, on m'annonce qu'un remboursement va être fait. Un remboursement de 37 euros au lieu des presque 70 euros calculés. Pourquoi ?? Simplement parce que la société de recouvrement ça occasionne des frais. Désolé je n'avais pas d'oignon a proximité alors je n'ai pas réussi à pleurer...
Situation du moment, après un mois de courriels et d'appel, aucune nouvelle concernant :
1- ma radiation indue,
2- l'avis d'une erreur de leur part auprès de la société de recouvrement (que j'appelle régulièrement pour savoir s'ils ont des nouvelles de la MACIF qui a chaque fois me dit qu'ils vont faire un courrier)
Moralité : le service client à la MACIF est inexistant, ils sont plus prompts à vous mettre en recouvrement par erreur qu'à vous restituer les sommes indûment perçues et en plus se permette de faire une petite ponction au passage.
En revanche quand il s'agit d'assumer l'erreur, place au silence le plus total.
Un parcours qui n'est pas encore terminé car il reste à régler la radiation, la société de recouvrement et le remboursement total des sommes trop perçues sans ponction de leur part. Sommes auxquelles il conviendrait d'appliquer le taux légal tant le retard est important et la mauvaise foi criante après un mois d'appels et courriels
Un excellente expérience pour ne pas renouveler l'expérience avec cet assureur et une longue liste de courriels sans réponse pour montrer à mes proches qu'il vaut mieux leur accorder méfiance que confiance !</t>
  </si>
  <si>
    <t>07/08/2020</t>
  </si>
  <si>
    <t>pascal-b-106585</t>
  </si>
  <si>
    <t>je suis satisfait de mes contrats d'assurance auto et habitation.
niveau prix est qualité de prestation, qui sont pour moi d'une qualité très satisfaisante</t>
  </si>
  <si>
    <t>15/03/2021</t>
  </si>
  <si>
    <t>gma-68975</t>
  </si>
  <si>
    <t>Bien, simple, rapide et professionnel !</t>
  </si>
  <si>
    <t>28/11/2018</t>
  </si>
  <si>
    <t>smurfy-57532</t>
  </si>
  <si>
    <t>Voulant ré-assurer ma moto après 2 ans de résiliation (et 6 ans sans sinistre), impossible sans rapatrier au moins 2 contrats de mes assureurs concurrents souscrits entre temps suite au démarrage de mon activité professionnelle.
De plus on m'imprime un contrat de un mois le temps de réfléchir que je ne signe pas finalement. Et surprise, la mensualité m'est prélevée. Je devrais être remboursé selon eux. J'attends depuis 4mois...</t>
  </si>
  <si>
    <t>22/09/2017</t>
  </si>
  <si>
    <t>akroute-m-112114</t>
  </si>
  <si>
    <t xml:space="preserve">J’ai repris un contrat d’assurance par rapport à l’excellente qualité de service offerte . Je suis très satisfait des prestations mais aussi du personnel très compétent </t>
  </si>
  <si>
    <t>toodies-76449</t>
  </si>
  <si>
    <t xml:space="preserve">Prix exorbitant, faible remboursement, obligatoire quand on est fonctionnaire pour pouvoir choisir une assurance sur complément salarial s'il arrive qqch de grave .. 
d'ailleurs .. peut-on parler de remboursement si on paye plus cher que ce qu'on récupère ?
</t>
  </si>
  <si>
    <t>03/06/2019</t>
  </si>
  <si>
    <t>01/06/2019</t>
  </si>
  <si>
    <t>billy-91-79531</t>
  </si>
  <si>
    <t>Bonjour, un peu en colère car le service minimum n'est pas rendu: Cela fait plus d'une semaine que j'essaie plusieurs fois (chaque jour) de transmettre un devis plutôt onéreux pour savoir quelles sont les dépenses incombant à chaque partis (mutuelle, sécurité sociale, client)... Via l'interface client https://www.santiane.fr/service-client, et la j'ai une erreur systématique : "Erreur nom de fichier" et ma demande est rejetée... Quand on appelle le service client, l'appel est rejeté par l'attente est trop longue! Du n'importe quoi... Si ca continue, je passe à un stade un peu plus aggressif... j'ai eu "Gwendal" au téléphone, aimable mais qui est là pour "tamponner"... Donc aucune solution pour l'instant.</t>
  </si>
  <si>
    <t>27/09/2019</t>
  </si>
  <si>
    <t>dupre-b-137749</t>
  </si>
  <si>
    <t>Je suis satisfait du prix et du service . Par contre , j'ai 3 véhicules au total et une maison que je ne peux pas regrouper car ma femme qui est assistante maternelle ne peut etre prise en compte pour son métier.</t>
  </si>
  <si>
    <t>19/10/2021</t>
  </si>
  <si>
    <t>lamine-t-115580</t>
  </si>
  <si>
    <t xml:space="preserve">Je suis satisfait, les prix me conviennent, les conseillers sont sympathiques, je recommanderai ZenUp dans mon entourage. Je resterai fidèle (j'ai déjà deux contrats en place). </t>
  </si>
  <si>
    <t>suki972-97000</t>
  </si>
  <si>
    <t xml:space="preserve">J ai appelé ce jour pour avoir des renseignements et faire un devis , j ai eu au téléphone une dame désagréable à souhait me criant dessus comme si j étais un enfant
Elle a à peine écouter mes arguments qu elle me fustigeait en me parlant de fraude à l assurance de résiliation et que l assurance n etait pas une mutuelle ...
Service clientèle:0 
Je ne recommande pas du tout cette assurance </t>
  </si>
  <si>
    <t>03/09/2020</t>
  </si>
  <si>
    <t>stevana-49534</t>
  </si>
  <si>
    <t>J'ai quand on a un accident que l'on sait si l'assurance est bien ou pas.</t>
  </si>
  <si>
    <t>24/11/2016</t>
  </si>
  <si>
    <t>01/11/2016</t>
  </si>
  <si>
    <t>laurella-88943</t>
  </si>
  <si>
    <t>J'ai envoyé mon dossier de demande de prestation congé maternité mi-janvier via le site internet : aucune confirmation de réception, aucun numéro de référence, aucune trace de l'envoi enregistrée sur le site. J'ai appelé plusieurs fois le service client, qui m'a confirmé que le dossier avait bien été reçu et serait traité sous 2 mois. Passé les 2 mois, toujours pas de nouvelles, donc je rappelle et là on me dit : "ah désolé, je vois que votre dossier a été zappé. On va donc lancer une réclamation, mais il faudra encore attendre 2 mois pour qu'elle soit traitée." C'est INADMISSIBLE ! Le dossier devrait passer en priorité car il ne s'agit pas d'une réclamation, c'est un oubli de votre part qui devrait être traité dans les plus brefs délais. Ca s'appelle du respect pour les clients. Et d'ailleurs, je n'ai toujours aucune trace de tout ça sur le site, aucun numéro de référence ou réclamation, aucune trace de nos échanges... Quand je lis les autres avis sur le site, je me demande même si je serai payée un jour... OpinionAssurances, pouvez-vous svp me conseiller une association de consommateurs pour que je porte plainte ? Merci.</t>
  </si>
  <si>
    <t>Ag2r La Mondiale</t>
  </si>
  <si>
    <t>prevoyance</t>
  </si>
  <si>
    <t>18/04/2020</t>
  </si>
  <si>
    <t>jean-claude-i-105628</t>
  </si>
  <si>
    <t>Je suis satisfait de tout et merci..j espere que l'on aura de bon rapport commercial. votre compagnie d'assurance me semblerait etre  la meilleure.. merci et donne moi de bons services.</t>
  </si>
  <si>
    <t>05/03/2021</t>
  </si>
  <si>
    <t>charly-78097</t>
  </si>
  <si>
    <t xml:space="preserve">Je ne recommande absolument pas cette mutuelle : perte de documents pour chaque remboursement ; incompréhension de la part des services alors que j'étais en formule intégrale. </t>
  </si>
  <si>
    <t>31/07/2019</t>
  </si>
  <si>
    <t>01/07/2019</t>
  </si>
  <si>
    <t>jean-75047</t>
  </si>
  <si>
    <t>attention !! cette compagnie d'assurance propose des tarifs compétitifs au départ pour appâter des nouveaux clients puis sournoisement d'année en années les tarifs s'envolent sans raison , 117 euros de plus par apport a  un nouveau client pour la même voiture et les mêmes garanties , je change pour l'olivier on verras bien !!</t>
  </si>
  <si>
    <t>13/04/2019</t>
  </si>
  <si>
    <t>soph42-53624</t>
  </si>
  <si>
    <t>nul de chez nul ont ma vole mon vehicule cela fait plus deux mois etant assuree tous risque je pensait etre tranquille et toujour rien il vous prete un vehicule pendend 7 jours et demerder vous apres si vous les apeller pas ces pas eux qui vous appel et quand vous arrivez a les avoir toujour la meme reponse la getionnaire va vous appeler le probleme c est quelle appel jamais et il ne communique pas sont numero c est bizzard non plus de 2 mois que je vais en bus travailler y en a marre je vous tiendrait au courant de l avancement</t>
  </si>
  <si>
    <t>27/03/2017</t>
  </si>
  <si>
    <t>pj-97010</t>
  </si>
  <si>
    <t>Champions pour faire signer des contrats à la pelle et toujours disponibles pour cela. Service clients incompétent et absent. Ne Sait pas mettre à jour un dossier client et ce, depuis plus d'un an et demi ; note un contrat non souscrit sur votre espace client et vous envoi des entreprises de recouvrement pour payer ce contrat non souscrit. 
Ne répondent jamais aux mails.
Conseiller AXA qui suit votre dossier incompétent : champion et toujours présent pour vous faire signer un nouveau contrat. Après, il n'y a plus personne pour le suivi de votre dossier et incapable de faire le suivi de vos demandes, n'est jamais informée lorsque vous posez une question sur le suivi de votre dossier.
Les services AXA ne savent pas communiquer entre eux et lorsque vous les contactez, soit on ne vous répond pas (ne répondent pas non plus aux courriers en recommandé avec accusé réception !), soit on ne sait pas quoi vous répondre, soit on vous bascule de service en service. Vous donnez des renseignements à votre Conseiller AXA, les services AXA ne sont pas informés. Vous contactez les services AXA car votre Conseiller vous demande de les contacter, les services vous renvoient sur votre Conseiller AXA qui, de son côté, vous renvoi sur les services AXA, bref, jeux de ping-pong entre leurs services. 
Assurance et mutuelle incompétente.
A éviter absolument !</t>
  </si>
  <si>
    <t>lo261708-75231</t>
  </si>
  <si>
    <t xml:space="preserve">Les interlocuteurs font au mieux pour répondre aux questions diverses et aux demandes. </t>
  </si>
  <si>
    <t>19/04/2019</t>
  </si>
  <si>
    <t>gaudron-l-124030</t>
  </si>
  <si>
    <t>Je suis satisfait. Votre site web est vraiment très facile d'utilisation, c'est agréable. Les prix sont à ce jour les meilleurs du marché sur le segment des jeunes conducteurs. Merci</t>
  </si>
  <si>
    <t>21/07/2021</t>
  </si>
  <si>
    <t>cyril-c-122038</t>
  </si>
  <si>
    <t xml:space="preserve">très satisfait des services que propose la GMF, site internet complet et pratique. compte bien remettre mes véhicules a la date anniversaire. facilité pour éditer des documents. </t>
  </si>
  <si>
    <t>jojo76-104990</t>
  </si>
  <si>
    <t xml:space="preserve">Bonjour, un grand merci aux équipes de PACIFICA pour m'avoir accompagnée lors d'un sinistre dû à la tempête du 25/09/2020 ; grâce à leurs conseils j'ai pu faire voir tous les dégâts à l'expert ; cordialement </t>
  </si>
  <si>
    <t>richardwasq-95678</t>
  </si>
  <si>
    <t>Accueil charmant, rapidité d'exécution, explications extrèmes
Juste top et au niveau tarif : super
à recommander
pour info tarif proposé 420,94 € alors que client chez Direct Assurances depuis des années leur prix proposé 1075 € "cherchez l'erreur"</t>
  </si>
  <si>
    <t>30/07/2020</t>
  </si>
  <si>
    <t>frederic-v-134307</t>
  </si>
  <si>
    <t>Satisfait du prix et des prestations proposés ainsi que la facilité pour souscrire un contrat
Je recommanderais à mon entourage pour leurs contrat d'assurance</t>
  </si>
  <si>
    <t>24/09/2021</t>
  </si>
  <si>
    <t>marc-49684</t>
  </si>
  <si>
    <t>Perso, on m'a volé ma moto gsxr et, après 1 mois, AXA m'a "correctement" remboursé. Je dis "correctement" parce que, quand même, dans l'affaire, j'ai perdu un peu près 1000 euros...
Attention, le dossier à constituer après un vol comporte plein de papiers : pensez à tout garder...</t>
  </si>
  <si>
    <t>29/11/2016</t>
  </si>
  <si>
    <t>brcarv-75723</t>
  </si>
  <si>
    <t>Victime d'un dégât des eaux depuis plus d'un mois et suite à la "visite" d'un expert (par smartphone !), toujours pas indemnisé et les réparations toujours pas faites. Le SAV est déplorable. Incapable de vous répondre, promet de rappeler et ne rappelle jamais, le ton employé est parfois limite. Par contre pour essayer de baisser l'indemnisation au maximum, ils n'hésitent pas, cherchant à vous coller la responsabilité du sinistre. Je suis obligé de saisir le médiateur. Bref, comme bcp l'ont écrit ici, assurance à fuir...</t>
  </si>
  <si>
    <t>08/05/2019</t>
  </si>
  <si>
    <t>tina-81998</t>
  </si>
  <si>
    <t>Si j'avais lu ces avis avant de prendre une assurance pour mon chien chez ECA je serai allé voir ailleurs</t>
  </si>
  <si>
    <t>17/12/2019</t>
  </si>
  <si>
    <t>sabri-b-129692</t>
  </si>
  <si>
    <t>Je suis très contente de ce service et vraiment c'est très simple pour moi merci direct assurance je suis monsieur bouraoui Sabri mon adresse a Clichy sous Bois</t>
  </si>
  <si>
    <t>sylvaine--96392</t>
  </si>
  <si>
    <t xml:space="preserve">Je viens de renouveler mon contrat d'assurance auto et je trouve que c' est cher pour un véhicule Peugeot 206 de 2002.
Je suis en train de me renseigner chez un autre assureur car je paye 10€ de plus car j'ai changé mon lieu de résidence de 5 kms. </t>
  </si>
  <si>
    <t>17/08/2020</t>
  </si>
  <si>
    <t>flo31-80463</t>
  </si>
  <si>
    <t>J'ai eu un accident non responsable il y a plus d'un mois, mon véhicule est épave. A ce jour l'Olivier n'a toujours pas établi les responsabilités car ils n'ont toujours pas lu le constat amiable envoyé le lendemain de l'accident. Résultat je suis sans véhicule (prêt terminé) et je dois encore attendre qu'un "gestionnaire" regarde le constat... c'est une gestion honteuse...et personne ne réagit malgré mes nombreux coups de fils.</t>
  </si>
  <si>
    <t>28/10/2019</t>
  </si>
  <si>
    <t>rennert-s-139369</t>
  </si>
  <si>
    <t>réactivité et professionnalisme des interlocuteurs, clarté des propos et des conditions d'engagement, prix tout à fait raisonnable, simplicité de la procédure</t>
  </si>
  <si>
    <t>10/11/2021</t>
  </si>
  <si>
    <t>01/11/2021</t>
  </si>
  <si>
    <t>tiffstouch-72150</t>
  </si>
  <si>
    <t>Opérateur téléphonique insistant. Nous vend une assurance "Tout compris" en insistant sur la radiothérapie, chimiothérapie. Et finalement le contrat ne comprend que les frais chirurgicaux. Autrement dit le contrat est inutile. Faire du forcing par téléphone. Je lui ai dit trois fois que je voulais réfléchir, il insisté en disant je vous fais le contrat. MAIS NON. Rien que pour ça je n'irai pas chez vous. Ok vous avez de bon pris mais ça garantit rien et vous prenez les gens pour des débiles. Changez de politique de vente.</t>
  </si>
  <si>
    <t>14/03/2019</t>
  </si>
  <si>
    <t>kouassi-k-134170</t>
  </si>
  <si>
    <t>JE SUIS SATISFAIT ET LES PRIX ME CONVIENNENT. conseillère de la clientèle toujours disponible à expliquer et faire comprendre le contrat. Je recommande cette l'olivier assurance</t>
  </si>
  <si>
    <t>23/09/2021</t>
  </si>
  <si>
    <t>eulalie-78428</t>
  </si>
  <si>
    <t xml:space="preserve">Actuellement en Tout risque, avec option tranquilité, (760 euros l année) je vous déconseille cette assurance. Car cette option porte très mal son nom. Ma voiture a été endommagé alors qu'elle était en stationnement, par un semi remorque, ça a été constaté par les forces de l'ordre. Donc bien évidement totalement irresponsable. C est eux qui ont eu l'assurance et une dépanneuse est arrivée. GROSSE ERREUR vu que le véhicule était roulant. Premier piège.  Pas de véhicule de prêt avec le départ des réparations. Sauf que déjà l'assurance savait que le garagiste n'en avait pas. D ou une proposition de 30 euros par jours....  Donc attente de l'expert.  Sauf que la voiture n'est pas réparable. Du coup... Comment je fais ??????????? Je n'ai rien demandé à personne comme beaucoup et on me raconte que mon véhicule  vaut 2500 euros... alors qu'il a toujours été entretenu, sous factures. Je suis totalement triste de cette non considération qu'ils ont de leurs clients. Payer pour ne rien avoir. </t>
  </si>
  <si>
    <t>14/08/2019</t>
  </si>
  <si>
    <t>juju47-76466</t>
  </si>
  <si>
    <t>J'ai été cambriolé le 31 décembre et à ce jour 4 juin je ne suis toujours pas remboursé, ils essayent tout les stratagèmes pour ne pas payer à fuirent absolument</t>
  </si>
  <si>
    <t>04/06/2019</t>
  </si>
  <si>
    <t>rvso-103272</t>
  </si>
  <si>
    <t>APRIL m'a demandé un dossier très complet pour assurer un crédit immobilier, une fois le dossier remis et COMPLET plus de nouvelles de leur part et impossible de me connecter à mon dossier. 3 Semaines que cela dure on me prends pour un imbécile, je déconseille fortement, car on ne peut pas attendre aussi longtemps quand on engage des prêts importants. Mr RIBAL HERVE</t>
  </si>
  <si>
    <t>26/01/2021</t>
  </si>
  <si>
    <t>didier-l-124413</t>
  </si>
  <si>
    <t>Je suis satisfait du service et de la rapidité à laquelle le devis a été édité. De plus la simplicité d'adhésion est un atout non négligeable. En espérant autant de réactivité en cas de problème!</t>
  </si>
  <si>
    <t>pimprenelle-104526</t>
  </si>
  <si>
    <t>Trop d'interlocuteurs, trop de courrier envoyé sans réfléchir, le client ne s'en sort plus dès qu'il demande des renseignements il est mal accueilli et surtout il est traité comme s'il n'y comprenait rien! ce sont eux sur leur plateforme qui avec leur PC sont des pro ! Ce qui les intéresse c'est vos numéros de téléphones et vous devez leur macher le travail pour ne pas payer des avis qui n'en sont pas. Une facture; un RIB; une enveloppe retour qui en fait ne sont pas valables pour la question que vous avez posé. La machine fait tout ! et le client doit
surveiller leurs "travail" comme le lait sur le feu; sinon vous payez des trucs qui ne sont pas de vrai factures. Mais c'est automatique tout cela. Alors faites bien attention et contrôlez vos contrats.</t>
  </si>
  <si>
    <t>20/02/2021</t>
  </si>
  <si>
    <t>ibrahim-g-136111</t>
  </si>
  <si>
    <t>Je suis satisfait par rapport le prix et je compte sur vous pour résilier le contrat avec direct assurance le plus tôt possible, merci beaucoup 
Cordialement,</t>
  </si>
  <si>
    <t>05/10/2021</t>
  </si>
  <si>
    <t>cafolla-s-111555</t>
  </si>
  <si>
    <t>Je suis satisfait du service proppser par l olivier assurance.
Le prix est correcte et abordable.
Je recommande fortement cet assurance.
Tres satisfait.</t>
  </si>
  <si>
    <t>24/04/2021</t>
  </si>
  <si>
    <t>bezit-103389</t>
  </si>
  <si>
    <t>GMF est une bonne assurance si on n'a pas de sinistres j'en ai fait l'amère expérience avec un dégât des eaux dont la responsabilité a été attribuée à mon voisin de copropriété . Dix mois et sinistre toujours pas indemnisé.  La gestion collective du dossier est catastrophique : communication verrouillée, refus d'information, avis contradictoire des conseillers injoignables la plupart du temps , indemnisation partielle, absence de transparence... je quitte la GMF après des décennies de fidélité sans sinistres</t>
  </si>
  <si>
    <t>stephane-l-108916</t>
  </si>
  <si>
    <t>il serait judicieux de pouvoir télécharger les attestations directement a partir de l espace personnel dans la mesure ou le service d'envoi de mails connait des problemes de délai d envoi.</t>
  </si>
  <si>
    <t>02/04/2021</t>
  </si>
  <si>
    <t>maggio-a-112433</t>
  </si>
  <si>
    <t xml:space="preserve">satisfait du prix d assurance maintenant j attends de voir en cas de sinistres si vous serez à la hauteur en terme de suivi et de remboursement         </t>
  </si>
  <si>
    <t>03/05/2021</t>
  </si>
  <si>
    <t>emmanuel-r-113865</t>
  </si>
  <si>
    <t>Non pris en charge d'une effraction sur le portillon de mon jardin qui fait partie intégrante de mon logement, à part ça je suis content d'être chez Direct Assurance ;)</t>
  </si>
  <si>
    <t>16/05/2021</t>
  </si>
  <si>
    <t>bruno-a-111923</t>
  </si>
  <si>
    <t xml:space="preserve">très contant de directe assurance depuis + de 7 ans merci de votre 
compétence de la gentillesse du service téléphonique et vos prix sont 
imbattables </t>
  </si>
  <si>
    <t>jordan-p-134889</t>
  </si>
  <si>
    <t>Je suis satisfait du service, les prix sont corrects, une multitude d’option proposés qui j’espère me donnera satisfaction, lors de mes éventuelles demande</t>
  </si>
  <si>
    <t>28/09/2021</t>
  </si>
  <si>
    <t>alysee54-62983</t>
  </si>
  <si>
    <t>je suis inscrite chez eux depuis le 1er mars, j'ai envoyé deux fois les mêmes documents et je n'ai toujours pas ma carte verte, je ne peux rouler avec ma voiture</t>
  </si>
  <si>
    <t>05/04/2018</t>
  </si>
  <si>
    <t>razette-138878</t>
  </si>
  <si>
    <t>Je viens d'appeler la Macif pour déclarer une remorque, suite à la discussion la conseillère me propose d'augmenter mon assurance garantie accident que je refuse. A peine raccrocher mon tél que je reçois par mail une modification de mon contrat garantie accident à signer !!! Une honte, inadmissible, j'ai dû les rappeler immédiatement pour me remettre en place le contrat initial !!! Très déçu du forcing de la Macif !!!</t>
  </si>
  <si>
    <t>03/11/2021</t>
  </si>
  <si>
    <t>nini-77909</t>
  </si>
  <si>
    <t xml:space="preserve">cliente depuis de nombreuse années je n'ai eu qu'à me louer de leurs services aussi bien en assurance voitures qu'habitation </t>
  </si>
  <si>
    <t>24/07/2019</t>
  </si>
  <si>
    <t>zoomm-106385</t>
  </si>
  <si>
    <t xml:space="preserve">depuis des années la carte verte était envoyée 2mois à l'avance valable jusqu'au 31 mars j'ai téléphoné , j'ai parlé poliment à la dame et " poliment  " elle m'a racrochée sans réponse </t>
  </si>
  <si>
    <t>12/03/2021</t>
  </si>
  <si>
    <t>chlo37-76467</t>
  </si>
  <si>
    <t>En mars 2018 j'ai eu un accident de travail, il avait traité mon dossier en juin 2018, par la suite aucun problème. Mais depuis Novembre toujours aucun paiement à la suite de la rechute de mon accident de travail, cela fait 3mois que je vous appeles toutes les semaines a chaque fois on me donne de nouveau délai de traitement, des papiers qui manques, au final actuellement dossier complet, on me dit que mon dossier est hors délai qu'une réclamation à été faite mais toujours aucun paiement, ni traitement de dossier! Je pense que la justice va devenir mon seule recours contre eux. Il y en a marre financièrement.</t>
  </si>
  <si>
    <t>kgrossel-78119</t>
  </si>
  <si>
    <t>Service client inexistant, j'essaye désespérément d'obtenir une simple attestation d'assurance depuis plus de 2 mois... J'ai envoyé plus de 5 courriers, je les ai appelé plusieurs fois mais ils sont toujours incapables de répondre a ma demande. Des promesses "oui nous mettons votre dossier prioritaire", "oui nous allons vous recontacter dans la journée"... mais rien de concret. Très déçu par la matmut alors que je suis client depuis de nombreuses années. Je ne recommande absolument pas cet assureur.</t>
  </si>
  <si>
    <t>a-117189</t>
  </si>
  <si>
    <t xml:space="preserve">Contacter par téléphone , après une forte insistance du vendeur , je conclu un contrat , le lendemain matin j annule ce contrat . je rappel ce vendeur , il me confirme l annulation et dénigre les mutuelle adverse , je doute de ses paroles sous le prétexte de perdre sa prime de vente . je fait un courrier le jour même  avec accuser de réception pour l annulation . celui revient signer . ce mois ci prélèvement sur mon compte pour une prestation annuler .j en conclu que cette société a prélever sur mon compte une somme d argent pour un contrat qui a ete annuler sous les 24 h . donc du .....
.... . APRES VALIDATION , on me soumet que certain mot ne peuvent être écris , donc texte non valider , il ne veulent pas entendre se qu' il sont sous prétexte de poursuite  ah ah ah .  MUTUELLE A FUIR .je ne souhaite pas être contacter par cette société par la suite .Merci </t>
  </si>
  <si>
    <t>16/06/2021</t>
  </si>
  <si>
    <t>melainer-114362</t>
  </si>
  <si>
    <t>Mutuelle à fuir absolument, cherchent tous les prétextes possibles pour ne pas rembourser alors que les prestations sont dans le contrats. Impossible de les avoir au téléphone, ne répondent jamais aux mails. Mutuelle pas du tout professionnelle, je la déconseille fortement, vivement que je puisse aller ailleurs car c'est de loin la pire mutuelle que je connaisse!!!!
Je répète, A FUIR ABSOLUMENT!!!!!!</t>
  </si>
  <si>
    <t>20/05/2021</t>
  </si>
  <si>
    <t>dorez-k-107489</t>
  </si>
  <si>
    <t xml:space="preserve">Je suis satisfaite de leurs accueil chaleureux
Je trouve les prix abordable, 
L'avantage c'est qu'on peut avoir une souscription d'un contrat rapidement.
</t>
  </si>
  <si>
    <t>22/03/2021</t>
  </si>
  <si>
    <t>lolodetroyes--102540</t>
  </si>
  <si>
    <t xml:space="preserve">Très bonne assurance toujours présent pour toutes demandes accidents documents etc je recommande à 200% le personnel est toujours disponible pour vous </t>
  </si>
  <si>
    <t>12/01/2021</t>
  </si>
  <si>
    <t>perlette-106393</t>
  </si>
  <si>
    <t>Nous attendons des remboursements depuis le 1er février 
Nous avons résilier le contrat et malgré tout les prélevements de cotisations continuent à etre effectués donc opposition à la banque faite ce jour le &amp;é mars 2021 Une honte !!!</t>
  </si>
  <si>
    <t>Cegema Assurances</t>
  </si>
  <si>
    <t>dubois-s-138161</t>
  </si>
  <si>
    <t>tres bon contact relationnel de la part des acteurs francais "ce qui est rare aujourd hui " et prix atractif, reception des documents rapides et prise en charge des sinistres efficace</t>
  </si>
  <si>
    <t>24/10/2021</t>
  </si>
  <si>
    <t>garino-f-116497</t>
  </si>
  <si>
    <t>je suis satisfait du service, rapide et compétitif. L'accueil est sympa et disponible. Les prix sont de loin les moins cher.  Je recommande cette assurance.</t>
  </si>
  <si>
    <t>09/06/2021</t>
  </si>
  <si>
    <t>blablabla--110659</t>
  </si>
  <si>
    <t xml:space="preserve">La pire mutuelle que j’ai jamais vu. Font tout pour ne pas rembourser, ne prennent pas en compte les documents, appli qui plante une fois sur deux.. à fuir </t>
  </si>
  <si>
    <t>16/04/2021</t>
  </si>
  <si>
    <t>kadia-f-130656</t>
  </si>
  <si>
    <t xml:space="preserve">Je crois que vous devriez laisser le choix aux clients d’émettre un avis ou pas. 
Dans l'ensemble, le service n'est pas mal,  commerciaux compétents. Cependant, je suis très déçue de la qualité du relevé d'information. </t>
  </si>
  <si>
    <t>clement-63871</t>
  </si>
  <si>
    <t>Assuré depuis 2015 sur un véhicule et un contrat habitation, j'ai déclaré un sinistre mineur avec mon animal de compagnie (200 euros). Lors de la déclaration en ligne, je demande expressément le montat d'une franchise éventuelle, la réponse est : Pas de franchise ou inférieur à 30 euros.
Je décide de faire jouer ma responsabilité civile pour ce cas. Dès lors, les difficultés ont commencés, aucune gestion du sinistre, pas de communication, une franchise de 160 euros m'est demandée, contrairement à ce qui m'a été indiqué par téléphone lors de la déclaration. Le paiement des frais à mis plusieurs mois à être effectué auprès de la victime et aucune communication avec la compagnie adverse. Puis réception de l'appel de fond pour l'année 2018 passant de 930 euros à 1001 euros sans aucune déclarations de sinistres auto ce qui représente une augmentation de 10 % !! Lorsque je demande des explications on me prend de haut en m'expliquant que les tarifs augmentent chaque année !</t>
  </si>
  <si>
    <t>09/05/2018</t>
  </si>
  <si>
    <t>01/05/2018</t>
  </si>
  <si>
    <t>de-souza-a-124406</t>
  </si>
  <si>
    <t>Simple et pratique, j'ai pu souscrire rapidement par téléphone pour valider un devis effectué en ligne. Le service client a été efficace et correct, je recommanderai</t>
  </si>
  <si>
    <t>aguida-62784</t>
  </si>
  <si>
    <t xml:space="preserve">J'ai pris une assurance emprunteur Confort (assurance qui couvre tous les sinistres, maladie, dépression etc) chez APRIL pour assurer un prêt immobilier de 70 000 €. J'ai constitué mon dossier qui a été accepté sans aucun problème. Malheureusement trois ans après, j'ai eu une dépression sévère qui m'a cloué depuis le mois de Mars. J'ai signalé ceci à APRIL. Et là a commencé un véritable parcours de combattant. Transmission des arrêts de maladie, ordonnance, visites et contre visite par le médecin conseil. Transmission du certificat médical et rapport par mon psychiatre, indemnités journalières etc.... pour conclure, depuis le 10 mars 2017 chaque fois APRIL me demande des documents et aussitôt je le transmets. A ce jour, je n'ai pas reçu d'indemnisation. 
J'ai des grandes difficultés pour payer le solde de mon prêt mais il continue à jouer la montre. Je souffre d'une dépression nerveuse sévère et je n'arrive même pas à suivre les échanges de toute la correspondance. </t>
  </si>
  <si>
    <t>29/03/2018</t>
  </si>
  <si>
    <t>caroleplaton-81108</t>
  </si>
  <si>
    <t>Satisfaite de l'interlocuteur qui se prénomme Khalid elle m'a donné les renseignements que je souhaitais et nous avons validé ensemble la résiliation pour mon précédent assureur</t>
  </si>
  <si>
    <t>19/11/2019</t>
  </si>
  <si>
    <t>berns-58464</t>
  </si>
  <si>
    <t>Honteux quand je vois la pub à la télé.3 sinistres en 36 mois je reçois un courrier de la directrice d'agence me demandant de prendre rdv ce que je fais et 3 jours plus tard avant de me recevoir lettre recommandée de résiliation d contrat.
Je souhaite informer les clients gmf qu'ils ne faut pas avoir 3 sinistres en 36 mois car la résiliation est là.
on ne tient pas compte des contrats(6) chez eux ni de l'ancienneté(40 ans)
Au revoir la GMF!</t>
  </si>
  <si>
    <t>29/10/2017</t>
  </si>
  <si>
    <t>oursvieux-57291</t>
  </si>
  <si>
    <t xml:space="preserve">Axa dispose d'un sav déplorable, horrible  incompétent  sans aucune possibilité d'avoir autre chose qu un plateau téléphonique basé à l'étranger, quand vous arrivez à l'avoir. Si vous avez le choix à éviter absolument. </t>
  </si>
  <si>
    <t>12/09/2017</t>
  </si>
  <si>
    <t>agnes-62019</t>
  </si>
  <si>
    <t>Impossible de partir, envoi LRAR avant le delai légal, reçu par Néoliane le 30 octobre pour une fin le 31 dec 2017 et toujours pas radié, ils me harcèlent de courrier et de menace d'huissier ... une mauvaise foi a toute épreuve ,j'ai renvoyé une copie de l'ensemble mais je n'ai pas "re" signé mon courrier que j'avais imprimé alors ils disent que ce n'est pas recevable !!! je leur demande de retrouver l'original qui est signé lui !!! et là pas de réponse ! A fuir !!!!! dire que j'y suis restée 7 ans et ben si j'avais su je serai partie bien plus tôt !</t>
  </si>
  <si>
    <t>05/03/2018</t>
  </si>
  <si>
    <t>lyazidi-124814</t>
  </si>
  <si>
    <t xml:space="preserve"> Grande satisfaction que j'ai trouvé chez la personne qui m'avais conseillé l'olivier assurance,moi aussi je trouve que le service est à la hauteur,simple et efficace,je le conseil.</t>
  </si>
  <si>
    <t>26/07/2021</t>
  </si>
  <si>
    <t>cl-137554</t>
  </si>
  <si>
    <t>Très déçue 
Ils résilient l'assurance sans nous prévenir, reçoivent une déclaration de sinistre qui augmente les prix sans nous prévenir également, et n'indiquent pas le bon taux de bonus sur les relevés que nous recevons ! Lorsqu'on les appelle, la seule chose qu'ils trouvent à nous dire c'est "vous ne trouverez pas moins cher ailleurs" soit ! Je déconseille à tout le monde, si je n'avais pas appelé pour poser une question j'aurait roulé sans assurance sans le savoir, c'est inacceptable ! Nous appelons d'autres assurances qui nous indiquent recevoir des dizaines d'appels par semaine car ils souhaitent partir de cette même assurance, elle est à fuir !</t>
  </si>
  <si>
    <t>15/10/2021</t>
  </si>
  <si>
    <t>nicka49-97099</t>
  </si>
  <si>
    <t>Bon rapport qualité/prix pour cette assureur.
Petit problème évoqué avec Emeline au téléphone (temps d'attente minimal) et résolu aussitôt par cette personne.
Pour le moment, je recommande Santiane à d'éventuels adhérents.</t>
  </si>
  <si>
    <t>kiceca-99226</t>
  </si>
  <si>
    <t>J'ai failli m'étrangler quand j'ai découvert mon nouvel avis d'échéance pour 2021.
Alors que je passe d'un bonus de 0,8 à 0,76 le montant de ma cotisation augmente de 7 %, en fait c'est 10,7 % d'augmentation si je corrige de la minoration que je devrait obtenir via l'amélioration de mon bonus.
Réponse de Direct Assurance : Oui mais en fait c'est lié à une augmentation de la sinistralité dans les bouches du Rhône.
Une honte.Je suis en train de consulter via les comparateurs pour changer d'assurance.</t>
  </si>
  <si>
    <t>26/10/2020</t>
  </si>
  <si>
    <t>omar-d-112467</t>
  </si>
  <si>
    <t>Bonjour pour l'instant  je n'ai rien a signaler au niveau du prix ni des prestations . J'aurai aimé avoir  un geste commerciale , merci d'avance si sa arrive .</t>
  </si>
  <si>
    <t>papet-137943</t>
  </si>
  <si>
    <t xml:space="preserve">Pour l’instant à chaque fois que j’ai eu besoin de vous contacter je n’ai pas eu de problème et mes demandes ont été prises en compte.
Par contre très sollicité par des appels téléphoniques pour prendre de nouvelles assurances avec des interlocuteurs trop zélés pour vous faire signer à tout prie .
Trop de démarchages commerciales peuvent vous inciter à changer de mutuelle </t>
  </si>
  <si>
    <t>21/10/2021</t>
  </si>
  <si>
    <t>pattsi-50132</t>
  </si>
  <si>
    <t>j'ai eu plusieurs remboursements avec la Maif (accident domestique, accrochage voiture, dégât fait involontairement pas un voisin, vol de vélo...). Si cette assurance n'est pas parfaite, elle a quand même été très correcte dans les cas cités. 
Pour tout vous dire, concernant un accident domestique, on m'a demandé de choisir entre la Maif et la Mutuelle MGEN : ma réponse : 'tout plutôt que la MGEN !' et je ne le regrette pas...   
Peut-être un  jour aurai-je des reproches à leur faire, mais je suis satisfaite pour l'instant (cela fait 30 ans que j'y suis)</t>
  </si>
  <si>
    <t>18/03/2021</t>
  </si>
  <si>
    <t>iledef-58555</t>
  </si>
  <si>
    <t>Augmentation imposée de 200 euros sur une assurance auto sans la moindre raison (pas d'accident responsable) ni explication. Impose malgré de payer un mois de plus pour pouvoir partir. Se permet en plus d'être désagréable</t>
  </si>
  <si>
    <t>02/11/2017</t>
  </si>
  <si>
    <t>gardin-d-117111</t>
  </si>
  <si>
    <t>Parfait avec des prix imbattables,  adhésion très facile directement sur votre ordinateur ou tablette ou téléphone..je ne suis vraiment pas déçu le top !!!</t>
  </si>
  <si>
    <t>15/06/2021</t>
  </si>
  <si>
    <t>megann-o-125477</t>
  </si>
  <si>
    <t>Encore trop cher pour une étudiante. Dommage que tout soit en option..
Par contre c'est assez facile de souscrire en ligne mais il faut bien relire les parties pré-remplies.</t>
  </si>
  <si>
    <t>29/07/2021</t>
  </si>
  <si>
    <t>louis-s-110928</t>
  </si>
  <si>
    <t>je ne comprends pas pourquoi j'ai un malus de 18% alors que je n'ai été déclaré responsable d'aucun accidents de circulation depuis que je suis assuré</t>
  </si>
  <si>
    <t>19/04/2021</t>
  </si>
  <si>
    <t>giovanni-t-111668</t>
  </si>
  <si>
    <t>Je suis plutôt satisfait dans l'ensemble .Les tarifs pour les conducteurs ayant 50% de bonus depuis plus de 13 ans et effectuant  moins de 10000 kms par an ne devrait pas augmenter.</t>
  </si>
  <si>
    <t>26/04/2021</t>
  </si>
  <si>
    <t>mickey-117019</t>
  </si>
  <si>
    <t>Ne respectent pas leurs engagements de contrats même après plus de dix ans d'adhésion, mais n'oublient jamais de percevoir leurs cotisations mensuelles..
Médiocre..
Je ne conseille pas cette mutuelle.</t>
  </si>
  <si>
    <t>elodie-g-115588</t>
  </si>
  <si>
    <t>ras, je suis satisfaite du service, j'espère juste passer en mode chauffeur non apprenti d'ici l'année prochaine pour être encore plus satisfaite des prix.</t>
  </si>
  <si>
    <t>venicia-d-127491</t>
  </si>
  <si>
    <t xml:space="preserve">Les prix sont corrects je suis satisfaite  et jespere que je serais bien couverte en cas d'accident responsable. 
Jai changer car mon ancienne assurance ete trop onéreuse 
</t>
  </si>
  <si>
    <t>depaix-m-109913</t>
  </si>
  <si>
    <t>Rapide et clair, prix accessible, bonne condition. Accueil téléphonique professionnel et à l'écoute, recherche de la bonne solution pour une résiliation de l'ancien assureur</t>
  </si>
  <si>
    <t>lisa-133912</t>
  </si>
  <si>
    <t xml:space="preserve">Je suis très contente de mon assurance vous avez été très rapide à me répondre et puis vous êtes très aimable au téléphone et vous m'avez rembourser très  rapidement suite aux dégâts de ma fuite d'eau.
Encore merci </t>
  </si>
  <si>
    <t>22/09/2021</t>
  </si>
  <si>
    <t>maud81130-79948</t>
  </si>
  <si>
    <t>Je suis très satisfaite des tarifs proposés. L'Olivier propose un large éventail d'options. L'envoi de la carte verte a été très rapide.</t>
  </si>
  <si>
    <t>11/10/2019</t>
  </si>
  <si>
    <t>ouaka-72081</t>
  </si>
  <si>
    <t>Trop cher pour le suivi déplorable, leur système de prise en charge n'est pas au point. La prise en charge est beaucoup trop longue. Ils continuent impunément à vous prélever sans régler votre problème en vous baladant de service en service...</t>
  </si>
  <si>
    <t>12/03/2019</t>
  </si>
  <si>
    <t>andrau-t-124840</t>
  </si>
  <si>
    <t>Services téléphoniques réactifs. Je suis satisfait et les prix sont raisonnables, je verrai si les services correspondent à mes attentes.
Cordialement
Thierry Andrau</t>
  </si>
  <si>
    <t>misterlancome-86963</t>
  </si>
  <si>
    <t>Deux refus de rembourser une dépanneuse car trop loin ou pas référencée. Pas de pitié en cas d'accident</t>
  </si>
  <si>
    <t>11/02/2020</t>
  </si>
  <si>
    <t>nath-68408</t>
  </si>
  <si>
    <t xml:space="preserve">J ai eu un accident a peine arriver chez eux aucun souci ,ne mon même pas appeler rien !!ils on tous régler!! Je vais assurer des que possible mes autres voitures </t>
  </si>
  <si>
    <t>09/11/2018</t>
  </si>
  <si>
    <t>ruben-t-116376</t>
  </si>
  <si>
    <t>Site simple, mais tarif hyper cher pour un 50
c'est dommage de ne pas faire plus confiance aux jeunes conducteurs, même si les tarifs sont calculés par rapport aux risques.</t>
  </si>
  <si>
    <t>liang-92943</t>
  </si>
  <si>
    <t>Il y a certaines questions ne sont pas clair pour moi. Si possible communiquer en direct par téléphone. Je ne sais pas sûre que le devis est correspond ma future voiture.</t>
  </si>
  <si>
    <t>azdineleila--94018</t>
  </si>
  <si>
    <t xml:space="preserve">Je suis satisfait de l’efficacité du site internet de la rapidité des réponses et également le prix du devis merci cordialement monsieur zilal azdine </t>
  </si>
  <si>
    <t>raphael-s-113237</t>
  </si>
  <si>
    <t>au début, les tarifs étaient attractifs mais rapidement, ils ont grimpé à des niveaux élevés. je ne comprends pas pourquoi Direct Assurance a adopté cette stratégie malsaine</t>
  </si>
  <si>
    <t>10/05/2021</t>
  </si>
  <si>
    <t>bobosse-63234</t>
  </si>
  <si>
    <t>ancien client qui revient vers vous pour encore de bons et loyaux services</t>
  </si>
  <si>
    <t>13/04/2018</t>
  </si>
  <si>
    <t>titane-113009</t>
  </si>
  <si>
    <t xml:space="preserve">Je suis du assez même avis que la plupart des commentaires. On vous vend un soit disant "un super produit" Cela fait depuis 2018 que j'essaie de résilier mon contrat assurance habitation en tant que "propriétaire non occupant", même avec recommandé ils arrivent à perdre les documents.... Faut le faire ! </t>
  </si>
  <si>
    <t>silva-m-137577</t>
  </si>
  <si>
    <t xml:space="preserve">Bouton signé non centré 
J’ai perdu 5 min pour réussir à cliquer dessus car il fallait cliquer un petit peu en dessous du logo vert avec le stylo.
Cordialement </t>
  </si>
  <si>
    <t>16/10/2021</t>
  </si>
  <si>
    <t>marilyne-f-124022</t>
  </si>
  <si>
    <t>Je suis satisfaite des réponses apportées à mes questions, malgré quelques erreurs qui me coutaient assez chères alors que j'avais fournit les documents et qui ont pu être corrigées car j'ai souhaité une vérification de mon dossier.
Je trouve que les tarifs sont élevés malgré tous les contrats que j'ai.</t>
  </si>
  <si>
    <t>bibi47-57869</t>
  </si>
  <si>
    <t>Pour quelle raison, on ne voit aucun remboursement. Malheureusement, parfois en particulier lorsqu'on n'est pas affilié à la S.S. la téléransimmission ne peut se faire et alors on n'est jamais remboursé.</t>
  </si>
  <si>
    <t>06/02/2019</t>
  </si>
  <si>
    <t>01/02/2019</t>
  </si>
  <si>
    <t>ilina-g-110879</t>
  </si>
  <si>
    <t>JE SUIS SUPER SATISFAIT DE PRIX ET DE SERVICE...JE VEUX FAIRE VENIR CHEZ VOUS D'AUTRES CLIENTS.....MERCI A TOUTE VOTRE EQUIPE POUR LE TRAITEMENT DE MON DOSSIER...A BIENTOT</t>
  </si>
  <si>
    <t>dantas-g-115404</t>
  </si>
  <si>
    <t xml:space="preserve">Je suis satisfait du service commercial je recommande vivement cette assurance en ligne rapide et efficace..Attente très rapide et mise en relation avec un collaborateur rapidement
</t>
  </si>
  <si>
    <t>me27-96854</t>
  </si>
  <si>
    <t xml:space="preserve">Ayant tout mes contrats auto/habitation chez gmf j’ai voulu souscrire à une nouvelle assurance auto. Ceux ci ne m’assureront pas car « petite sportive , il faut 5 ans de permis minimum », à 120cv... 
Préférez d’autres assurances moins cher pour les mêmes garanties. </t>
  </si>
  <si>
    <t>31/08/2020</t>
  </si>
  <si>
    <t>malaurie-90364</t>
  </si>
  <si>
    <t>Une catastrophe ! Assurance à fuir à tout prix. Plus de 2 mois que j'essaye de résilier et à chaque fois ils trouvent un prétexte pour ne pas donner suite à ma demande de résiliation. Ma nouvelle assurance leur a envoyé un courrier de demande de résiliation qu'ils ont refusé, j'ai ensuite fait un courrier de demande de résiliation et après tout cela, résiliation toujours refusée !! Tous les prétextes sont bons pour continuer à vous faire payer des mensualités. C'est une honte !</t>
  </si>
  <si>
    <t>09/06/2020</t>
  </si>
  <si>
    <t>golf4-74943</t>
  </si>
  <si>
    <t xml:space="preserve">je suis adherant depuit 2015 et je suis satisfait des garantie le service client est assez rapide et les reponse sont assez claire quand on comprent pas toujour </t>
  </si>
  <si>
    <t>10/04/2019</t>
  </si>
  <si>
    <t>laurent-m-117927</t>
  </si>
  <si>
    <t>Super tarifs ... Très content , très simple , ludique, j'espère que derrière tout celà je suis super bien couvert , bien suivi et pas de surprise... 
A conseiller...</t>
  </si>
  <si>
    <t>23/06/2021</t>
  </si>
  <si>
    <t>annael-67920</t>
  </si>
  <si>
    <t>Assurés chez la Macif depuis plusieurs années maintenant et nous avons été cambriolés. Ils ont mis plus de 6 mois à nous répondre que nous ne serons pas remboursés de tout nos objets volés car une clause dans le contrat mentionne qu'en cas d'inhabitation de notre domicile de plus de 60 jours, il n'y pas d'indemnités ?! Mais quelle incompétence de la part du services sinistre ! Les gestionnaires ne rappellent jamais, il faut insister lourdement pour avoir une réponse ! ils ont même mandaté un expert pour se faire entendre dire qu'il y avait une clause... 
Un conseil, faites très attention aux clauses dans les contrat car à la souscription, on ne les mentionne pas !</t>
  </si>
  <si>
    <t>20/10/2018</t>
  </si>
  <si>
    <t>01/10/2018</t>
  </si>
  <si>
    <t>patmott-125418</t>
  </si>
  <si>
    <t>pffff completement dépassé j'envois les documents demandé et il manque toujours quelque chose au dossier, non pas envie de payé ce qui est dù et le dossier ce balade de main en main et moi avec !!!! ils ce refilent le bébé !! attendent peut etre l'avis de deces ??? j'ai rien demendé moi ils mon envoyé un courier pour me dire qu'ils prennaient bien en compte mon invalidité et qu'ils me donnerais une rente à l'année date de départ 02/12/2019 mais rien donné depuis ??? répose dossier incomplet !!! alor n'envoyé pas de courier inutilement vous les devés ou pas c'est tout .</t>
  </si>
  <si>
    <t>Malakoff Humanis</t>
  </si>
  <si>
    <t>ghouila--99288</t>
  </si>
  <si>
    <t xml:space="preserve">Très satisfait réponse bien . Pas d attente au téléphone. Inscription simplifiée sur le net et direct .document et réponse très satisfaisant je conseille à tout le monde </t>
  </si>
  <si>
    <t>27/10/2020</t>
  </si>
  <si>
    <t>emma-80685</t>
  </si>
  <si>
    <t>Alison m'a appelé car ma demande par mail  était floue. Elle a été précise, claire, très agréable et vraiment à l'écoute. J'espère que ses collaborateurs(trices) seront aussi précieux.  Merci Alison et à bientôt j'espère.</t>
  </si>
  <si>
    <t>04/11/2019</t>
  </si>
  <si>
    <t>laetitia-98907</t>
  </si>
  <si>
    <t xml:space="preserve">Une horreur! Grand mal m'a prit d'aller chez eux! Ils méprisent leur clients comme c'est pas permis! Facture des frais de dossier à tout va et oublie de préciser certaines modalités qui rend votre contrat auto moisi ! Même avec le pack sérénité! Je vais vite me barrer de chez eux! Soit disant élu service client de l'année 2020 alors qu'ils sont délocalisés et vous méprise ! 
Attention aussi ! S'ils sont moins cher pour un véhicule ils ne le sont pas pour tous! Plus jamais je remets pieds chez eux! 
</t>
  </si>
  <si>
    <t>19/10/2020</t>
  </si>
  <si>
    <t>helene--136304</t>
  </si>
  <si>
    <t>Assurance chère pour le peu de garanties offertes. 
Les dégâts électriques sont exclus de leur assurance de base alors qu'ils garantissent soit disant  les 'événements climatiques '. Un orage est un événement climatique qui peut avoir des répercussions sur les installations électriques .  En fait , cet assureur joue sur les mots et les clauses pour éviter de payer le moment venu.Je resilie mon assurance dès demain.</t>
  </si>
  <si>
    <t>Groupama</t>
  </si>
  <si>
    <t>padeau-f-132961</t>
  </si>
  <si>
    <t>Satisfaction et bon rapport du niveau des services et du prix. Je n'ai pas trouvé moins cher avec de tels niveaux de garanties qui sont importantes pour moi.</t>
  </si>
  <si>
    <t>15/09/2021</t>
  </si>
  <si>
    <t>jean-louis-d-134186</t>
  </si>
  <si>
    <t>Je suis satisfait c'est rapide et bien fait  les prix sont sincèrement corrects j'en parlerai a d'autres personnes à bientôt pour une autre assurance merci</t>
  </si>
  <si>
    <t>taleb-e-132632</t>
  </si>
  <si>
    <t>Ravi de l'accueil et du service.
Conseiller aimable et professionnel.
On verra à dans le temps et je reste pleinement confiant par les services proposés. 
Prix compétitifs</t>
  </si>
  <si>
    <t>13/09/2021</t>
  </si>
  <si>
    <t>sirin-e-131365</t>
  </si>
  <si>
    <t>Pratique et rapide je suis satisfaite de votre écoute et pas beaucoup d attente au téléphone  les conseillés sont très agréable,  merciiii et l envoue des documents facile.</t>
  </si>
  <si>
    <t>moise-79224</t>
  </si>
  <si>
    <t>Bon accueil et conseils faciles à comprendre .Tarif bon  par rapport à la concurrence .</t>
  </si>
  <si>
    <t>16/09/2019</t>
  </si>
  <si>
    <t>kais-z-117831</t>
  </si>
  <si>
    <t>Très bon accompagnement de l'équipe Zen'up. Je suis satisfait. J'étais rappelé par la conseillère pour débloquer ou poursuivre la démarche. Seule remarque concerne le manque d'ergonomie sur le formulaire à compléter.</t>
  </si>
  <si>
    <t>02/07/2021</t>
  </si>
  <si>
    <t>laurent-w-113528</t>
  </si>
  <si>
    <t>je suis satisfait pour l'instant 
relation client satisfait
prix correct mais on cherche toujours a économiser.
efficacité, on verra le jours ou j'aurais besoin de vos services</t>
  </si>
  <si>
    <t>12/05/2021</t>
  </si>
  <si>
    <t>famille6-50295</t>
  </si>
  <si>
    <t>assurance habitation : l'agence de mauvaise foi trouve mille prétextes pour ne pas rembourser le trop perçu de cotisation : l'affaire dure depuis plus d'un an...pitoyable, aucun sens commercial, à fuir</t>
  </si>
  <si>
    <t>14/12/2016</t>
  </si>
  <si>
    <t>01/12/2016</t>
  </si>
  <si>
    <t>bouadar-l-135886</t>
  </si>
  <si>
    <t xml:space="preserve">Fidèle et satisfaite . Tarifs très compétitifs .une équipe toujours joignable et un service efficace. 
Carte verte envoyé rapidement . 
Je suis assurée depuis 2016 
</t>
  </si>
  <si>
    <t>pergel-m-132499</t>
  </si>
  <si>
    <t>Après plusieurs recherches, votre assurance reste la plus compétitive même si les tarifs restent relativement élevés pour les jeunes conducteurs. Je suis plutôt satisfaite.</t>
  </si>
  <si>
    <t>12/09/2021</t>
  </si>
  <si>
    <t>hauville-91276</t>
  </si>
  <si>
    <t>Du jour au lendemain, impossible de me connecter à l'espace assuré: combinaison identifiant/mot de passe plus reconnue. Je suis donc les étapes pour réinitialiser le mot de passe, et j'aboutis à un message selon laquelle je ne peux pas être identifié. Je remplis alors un 3ème formulaire pour réactiver mon compte, et j'arrive sur une page "une erreur est survenue". Incroyable qu'une mutuelle d'entreprise possède un site web aussi mauvais. Et que dire de l'application mobile, inexistante en 2020 !</t>
  </si>
  <si>
    <t>17/06/2020</t>
  </si>
  <si>
    <t>lolottelesbonsplans-90159</t>
  </si>
  <si>
    <t>Expérience catastrophique. Je demande un devis pour un logement en location. On me fait un devis compétitif. Au premier appel on me dit qu'on ne peut pas me l'envoyer par mail mais que je vais le recevoir dans l'espace client. J'attends...rien. Je rappelle, pas de dispo, après je ne sais combien d'appels et d'attente j'ai enfin quelqu'un qui me dit qu'on ne peut pas recevoir de devis ni par mail ni dans l'espace client mais qu'elle va essayer de me faire une copie d'écran et me l'envoyer par mail. Ça ne marche pas (bizarre) et là ça raccroche, personne ne me rappelle. Je rappelle et après X appels et attente je tombe sur quelqu'un qui essaie de voir avec son responsable, me fait attendre 15/20 mn et me dit qu'il faut que je passe en agence. Bien sur je suis en train de comparer 10 assurances et je vais récupérer les devis en agence. Sinon il fallait que je dise ok, m'engage pour un an sans voir une seule ligne écrite. Une honte. J'y ai passé plus de 2h pour rien</t>
  </si>
  <si>
    <t>03/06/2020</t>
  </si>
  <si>
    <t>stephanie-m-122890</t>
  </si>
  <si>
    <t>Je suis globalement satisfaite des services d'assurances. J'aimerais toutefois un accompagnement pour regrouper mes assurances avec des tarifs préférentiels ou dégressifs sur les souscriptions de longue date.
J'avais demandé des conseils d'investissement, aucune proposition ne convenait depuis je n'ai plus fait de demande.</t>
  </si>
  <si>
    <t>09/07/2021</t>
  </si>
  <si>
    <t>bbll318-56714</t>
  </si>
  <si>
    <t xml:space="preserve">Même avec un gros problème de vue ne rembourse pas avant 12 mois alors que l'assurance maladie elle le fait !
</t>
  </si>
  <si>
    <t>17/08/2017</t>
  </si>
  <si>
    <t>01/08/2017</t>
  </si>
  <si>
    <t>dylan--m-126368</t>
  </si>
  <si>
    <t xml:space="preserve">Je suis satisfait du service... Les prix me conviennent...
Moins chère que les concurrents 
Je conseille fortement 
D’autres voitures seront assurées chez vous </t>
  </si>
  <si>
    <t>charlene1401-117040</t>
  </si>
  <si>
    <t xml:space="preserve">Une assurance qui parait parfaite en tout point (disponibilité des conseillers, prix bas, simplicité de la souscription...) jusqu'au jour où il vous arrive quelque chose... Un manque de transparence total avec des conditions générales non fournies lors de la souscription (à vous d'aller les consulter sur leur site et surtout ne passez pas à côté car les vraies informations importantes sont toutes dedans), des commerciaux qui ne cherchent qu'à vendre quitte à vous mentir (dire qu'un sinistre lié aux roues dérobées aurait été remboursé chez eux le jour de la souscription alors que cela fait justement partis des exclusions). Et le jour où vous vous retrouvez avec un crédit monumental sur le dos car l'assurance ne couvre pas la carrosserie dérobée de votre voiture neuve d'il y a 3 mois (et vous acceptez votre sort et résigné, attendez patiemment que les 1 an vous permette de partir chez une assurance digne de ce nom), L'Olivier vous enterre encore un peu plus en résiliant votre contrat pour cause de sinistre trop fréquent (1 et où j'ai tout payé ???). Histoire d'être sûr que vous en baviez un peu plus encore pour vous réassurer... 
Vraiment FUYEZ... les bas prix ne sont pas sans conséquences, je l'ai appris à mes dépents... </t>
  </si>
  <si>
    <t>guillaume-a-114677</t>
  </si>
  <si>
    <t>Je suis satisfait du service en ligne; le prix me convient; j'ai d'autres véhicules assurer; j'aurai souhaiter avoir un code de promotion car au total je dispose de 3 voitures; bientôt 4. Merci d'avance</t>
  </si>
  <si>
    <t>24/05/2021</t>
  </si>
  <si>
    <t>ag-63249</t>
  </si>
  <si>
    <t>Vu le délai et le montant du remboursement, je vais aller voir ailleurs ( je suis à la Maaf depuis plus de 50 ans )</t>
  </si>
  <si>
    <t>kariim-66437</t>
  </si>
  <si>
    <t>injoignable au téléphone</t>
  </si>
  <si>
    <t>28/08/2018</t>
  </si>
  <si>
    <t>jackson-61786</t>
  </si>
  <si>
    <t xml:space="preserve">Ma voiture accidentée depuis une semaine, ils ne sont pas foutu de trouver un garage pour réparer la voiture! Étant assuré  en tout risque, j’ai même pas droit à un prêt de voiture en attendant! En gros si pendant 1 mois il ne trouve pas de garage, on est 1 mois sans voiture!! Une expérience client déplorable! De ma poche, je paye taxi et uber pour me déplacer, il ne propose même pas un dédommagement!!! </t>
  </si>
  <si>
    <t>26/02/2018</t>
  </si>
  <si>
    <t>01/02/2018</t>
  </si>
  <si>
    <t>jlrou-56174</t>
  </si>
  <si>
    <t>Jusque là tout est très bien. Les prix sont corrects, meme compétitifs. L'enregistrement est facile. Reste plus qu'à voir si ca dure dans le temps et que nous soyons bien indemnisés en cas de sinistre, mais j'ai confiance.</t>
  </si>
  <si>
    <t>02/08/2021</t>
  </si>
  <si>
    <t>gorka-c-127632</t>
  </si>
  <si>
    <t>Je suis satisfait du service, surtout pour les motos classiques, prix accessibles, et facilite a faire son contrat sur Internet, le service téléphonique aussi très bien.</t>
  </si>
  <si>
    <t>norberto-69681</t>
  </si>
  <si>
    <t xml:space="preserve">si vous n'avez besoin de rien alors vous pouvez y aller par contre si vous cherchez une assurance qui vous assure alors un bon conseil allez chercher ailleurs </t>
  </si>
  <si>
    <t>26/12/2018</t>
  </si>
  <si>
    <t>david--g-134010</t>
  </si>
  <si>
    <t xml:space="preserve">Très bien et rapide je le conseille a tout le mondes  , je reviens chez eux car il son pas chère et surtout efficace  en tout point .
Merci encore et vous dis a une prochaine  fois pour un achat de moto  et assurer ma moto chez vous </t>
  </si>
  <si>
    <t>deawe-c-124981</t>
  </si>
  <si>
    <t>Je suis satisfait pour l'instant du service jusqu'à présent et on verra par la suite car je n'ai toujours pas reçu ma carte verte définitive.merci pour tout</t>
  </si>
  <si>
    <t>27/07/2021</t>
  </si>
  <si>
    <t>romrom-104427</t>
  </si>
  <si>
    <t>Il est très difficile de joindre la MGP par voie électronique malgré que l'on soit en 2021 !
On a une réponse plusieurs semaines après, si on en a une.
Le site web n'est pas un modèle en terme de présentation, utilisation et détails.
La version mobile du site de la MGP manque de détails et serait à revoir selon moi.</t>
  </si>
  <si>
    <t>martin-79095</t>
  </si>
  <si>
    <t>Apres une resiliation plus rapide que prevue de mon ancienne mutuelle, j'ai eu Alison au telephone qui a réglé immédiatement mon problème en avancant notre date d'adhésion. Réactivité et sympatique contact, rien a dire</t>
  </si>
  <si>
    <t>10/09/2019</t>
  </si>
  <si>
    <t>richardp-59099</t>
  </si>
  <si>
    <t>qualité des garanties pour les choses courantes, panne, crevaison, voiture de prêt etc RIDICULES
j'ai contacté par mail l'olivier assurance pour quelques explication sans jamais avoir reçu une reponse. bref ça laisse présager des belles aventures en cas de pépin.</t>
  </si>
  <si>
    <t>24/11/2017</t>
  </si>
  <si>
    <t>baba-114774</t>
  </si>
  <si>
    <t>J’ai payé mon contrat à l’année cher lolivier assurance, au bout de 6 moi perte du permis. Sa fait un moi que j’attend le remboursement de la moitier du contrat on me dit que c’est en attente de validation. Assurance a fuir...</t>
  </si>
  <si>
    <t>25/05/2021</t>
  </si>
  <si>
    <t>laurent-53563</t>
  </si>
  <si>
    <t>ancien client 244222
bonjour,
je vous contact suite a la mise en demeure que j'ai reçu hier de la somme de 199,80 euros alors que mon contrat est résilié depuis le 12 /02/2019 je ne vous doit rien du tout par contre je vous demande de fermer cette mise en demeure car c'est moi qui vait déposer plainte contre vous assumez vos erreurs.</t>
  </si>
  <si>
    <t>17/04/2019</t>
  </si>
  <si>
    <t>stephane-c-108252</t>
  </si>
  <si>
    <t>très satisfais, j'assure tout mes véhicules chez vous, les prix sont raisonnables, très bonne accueil téléphonique, devis simple sur mon espace personnel, je recommande a mon entourage</t>
  </si>
  <si>
    <t>27/03/2021</t>
  </si>
  <si>
    <t>nathan-125250</t>
  </si>
  <si>
    <t>Facile à l'inscription, prix attractif je reconnais. Mais en cas de sinistre très mauvaise prise en charge. Aucun gestionnaire de dossier attitré. Mon dossier a été transféré de mail en mail sans réponse. C'est à l'assuré d'aller à la pêche aux informations. Nous ne sommes jamais tenu informé du suivi. Envoyer 2 à 3 fois les mêmes justificatifs par mail car perdu en cours de route ou pas rajouté à mon dossier. Pour que mon dossier aille plus vite j'ai du moi même me rapprocher de la justice pour fournir des documents à l'assurance qui n'avait pas pris la peine d'aller chercher. Radié de l'assurance avant même que mon dossier soit clos. Obligé de faire le forcing pour qu'il soit repris en main. Remboursement du véhicule à un prix dérisoire par rapport à la valeur réelle. Plus de 6 mois avant d'avoir un début de rembourssement. Reconnu non responsable à 100% et j'attends encore le rembourssement de ma franchise. Préjudice corporel minimisé voir inexistant. Je déconseille fortement cette assurance si par malheur il vous arrive un sinistre.</t>
  </si>
  <si>
    <t>mokhtar2017-53224</t>
  </si>
  <si>
    <t xml:space="preserve">Client: 225373 je suis étonné du nombre de réclamations sur cette assurance, pour l'instant je n'ai que du positive, la souscription été sans problème, carte verte reçu dans les délais, répondent aux réclamations par email, j'ai eu un accident non responsable, ils ont pris ma réclamation rapidement, service client sinistre réponds et vous conseils. Je suis très satisfait pour l'instant </t>
  </si>
  <si>
    <t>13/03/2017</t>
  </si>
  <si>
    <t>mickael--p-130782</t>
  </si>
  <si>
    <t>Les prix me conviennent. Pratique et facile d'accès. Les renseignements demandés sont bien renseignés. Aimable et courtois. Contact rapide. Ce pendant, le seul bémol remarqué aujourd'hui est qu'il faut inscrire 150 caractères dans l'avis donné afin de pouvoir le valider.</t>
  </si>
  <si>
    <t>parisienne-17440</t>
  </si>
  <si>
    <t>Je n'ai pas eu de souci avec la Pacifica lors de sinistres.Ils ont un réseau de prestataires lors de dégâts donc je n'opte jamais pour avoir une indemnisation et de l'argent mais toujours pour que la Pacifica se charge des travaux  selon son devis de sorte qu'ils ne puissent pas dire que les devis des artisans sont trop chers.</t>
  </si>
  <si>
    <t>v-97263</t>
  </si>
  <si>
    <t>compagnie d 'assurance qui ne remplit pas ses obligations envers ses clients, notamment pour le suivi de dossier de sinistre si minime soit -il, surtout lorsque vous n'êtes  pas responsable. Sinistre du mois de février 2019  ( mini tempête  qui a provoqué la chute d'un arbre du voisin sur ma clôture grillagée ). A ce jour le 10.09.2020  toujours pas réparée Aucun suivi alors que la propriétaire de l'arbre a bénéficié des compétences de son assureur très rapidement. je vais résilier toutes  mes assurances auprès de cette compagnie ( 2 véhicules ainsi que l'habitation ).</t>
  </si>
  <si>
    <t>10/09/2020</t>
  </si>
  <si>
    <t>melvin-55318</t>
  </si>
  <si>
    <t>RESILIATION ABUSIVE je leur dois 940 euros pour 1mois de service : 
Je cherchais un moyen de résilier après la date d'anniversaire car ils ne me laissaient pas payer par mois et leurs prix n'étaient plus compétitifs. je me suis donc adressé au service téléphonique qui restait très flous, d'après eux au telephone ils ne peuvent rien faire à leur niveau . Puis je me suis tourné vers le support par mail qui m'a conseillé de les appeler.. Enfin j'ai envoyé une lettre recommandé qui m'a expliqué qu'il fallait que je sois assuré chez un autre assurance et que la transition était de 1 mois. 
Le temps d'avoir ces renseignements l'échéance est passée résultat : Je leur dois la totalité de la somme (940 euros) de l'année suivante tout en étant  résilié et blacklisté. En tant que conducteur résilié pour défaut de paiement est considéré comme une faute grave et qui entraîne une hausse des prix d'assurance proportionnelle a la puissance de la voiture. De plus j'ai essayé de payer la veille de la date limite au soir par sécurité mais le paiement n'est pas passé malgrés que mon compte aient la somme necessaire je ne connais toujours pas les raisons de cet echec de paiement.
 Actuellement J'ai un délais de 10 jours pour les payer sinon je vais devoir avoir à faire affaire avec une société de recouvrement qui va prendre des frais supplémentaires j'imagine.. je n'ai pas le temps ni les moyens d'avoir un avocat  Cela est très dure pour moi qui ne suis qu'un jeune étudiant de voir le fruit de son travail se volatiliser. Je vais être contraint de rouler sans assurance. L'assurance la moins Humaine qui soit</t>
  </si>
  <si>
    <t>13/06/2017</t>
  </si>
  <si>
    <t>goncalves-f-122945</t>
  </si>
  <si>
    <t xml:space="preserve">Bonjour
Les prix me conviennent, cela devrait être simple et pratique.
J'espère que ce sera aussi simple en cas de sinistre.
Merci de me recevoir parmi vous.
Cordialement
</t>
  </si>
  <si>
    <t>titi59-64200</t>
  </si>
  <si>
    <t>difficile de joindre le service pour une simple souscription (nombreux rappels pour obtenir mon attestation et pouvoir payer) et impossible pour un sinistre dont j'attends l'indemnisation depuis 2 mois</t>
  </si>
  <si>
    <t>Assur Bon Plan</t>
  </si>
  <si>
    <t>25/05/2018</t>
  </si>
  <si>
    <t>jules-d-111827</t>
  </si>
  <si>
    <t xml:space="preserve">Bonne protections pour les tarifs, les devis sont claires, conseiller disponible pour nous. J’espère ne pas avoir besoin de vous mais j’espère que dans le cas contraire vous serez là </t>
  </si>
  <si>
    <t>27/04/2021</t>
  </si>
  <si>
    <t>jess-79648</t>
  </si>
  <si>
    <t xml:space="preserve">Un cauchemar inoubliable que j'ai rencontré avec pacifica assurance auto quand j'ai eu un accident de voiture.
Les salariés pas agréable du tout. 
Les informations bidon. 
Je ne recommande surtout pas cette assurance. </t>
  </si>
  <si>
    <t>theo-102039</t>
  </si>
  <si>
    <t>Déçu par la MAIF, je souscris à la plus grosse offre d'assurance au téléphone en allant chercher mon nouveau véhicule... le conseiller m'assure que j'aurai un véhicule de remplacement sans davantage de précision... 3 mois plus tard je tombe en panne avec cette voiture et j'apprends que ce véhicule de prêt n'est valable qu'en cas d'accident ou de vol ET NON en cas de panne... 3 semaines à faire plus de 200km par jour, la Maif ne reconnait aucun tord. Une équipe d'incompétents, je me fais raccrocher au nez par les conseiller... Changement d'assurance pour moi...</t>
  </si>
  <si>
    <t>31/12/2020</t>
  </si>
  <si>
    <t>01/12/2020</t>
  </si>
  <si>
    <t>maria-c-124559</t>
  </si>
  <si>
    <t>Je suis satisfait. Parfait aucun soucis pratique. Mais pour mettre un avis c embêtant quand même . Je ne connais pas bien le produit pour le décrire .</t>
  </si>
  <si>
    <t>24/07/2021</t>
  </si>
  <si>
    <t>steph1625-87627</t>
  </si>
  <si>
    <t>A fuir absolument C'est une Mutuelle d'entreprise donc je ne peut malheureusement pas en changer. Service client incompétent qui vous dit a chaque fois la même chose, on relance le service gestion. Il faut attendre plusieurs semaines voir plusieurs mois pour un remboursement avec une facture.  il faut attendre en moyenne 3 semaines pour une réponse d'un mail , d'un devis ou d'un appel. Nous étions AG2R pendant de nombreuses années et il n'y a rien de comparable.</t>
  </si>
  <si>
    <t>25/02/2020</t>
  </si>
  <si>
    <t>icociao-92441</t>
  </si>
  <si>
    <t>Cliente depuis 2013, un vol avec effraction non indemnisé en 2018, 1 dégat des eaux en 09/2019 toujours pas indemnisé 6 mois après (rapport d'expertise rendu en 01/2020).</t>
  </si>
  <si>
    <t>27/06/2020</t>
  </si>
  <si>
    <t>hassen-k-134960</t>
  </si>
  <si>
    <t>Bonjour les prix sont très intéressants correspondent très simple à utiliser cordialement peut-on modifier l'assurance si ça ne correspond pas à ce que je veux merci</t>
  </si>
  <si>
    <t>gboucard-56543</t>
  </si>
  <si>
    <t xml:space="preserve">La qualité humaine* et professionnelle* de l'artisan qui a effectué les derniers travaux était particulièrement appréciable. J'invite Pacifica a recourir souvent à cette entreprise et le cas échéant qu'il sache mon estime. Dans un tout petit espace à rénover suite aux dégâts des eaux, il a fait preuve de courage et abnégation. Merci donc de l'en remercier de ma part. </t>
  </si>
  <si>
    <t>08/08/2017</t>
  </si>
  <si>
    <t>f-tu-antz-98716</t>
  </si>
  <si>
    <t>A déconseiller pour des retraites ayant une ALD . Aucun remboursement de la mutuelle .Tout est pris en charge par la sécu . Trop de militantisme politique bien à gauche ! Une cotisation bien trop chère pour des restes à charges non remboursés . Notamment les soins secteur 2 toujours rejetés !</t>
  </si>
  <si>
    <t>13/10/2020</t>
  </si>
  <si>
    <t>claude-121318</t>
  </si>
  <si>
    <t xml:space="preserve">Assuré dommage aux biens. Décret catastrophe naturelle sécheresse. Après rapport de l’expert aucune indemnisation ! Ce qui est tout à fait anormal ! Rien à faire entendre dialogue de sourd. Après plus de 50 ans de cotisations ! </t>
  </si>
  <si>
    <t>26/06/2021</t>
  </si>
  <si>
    <t>candice-e-130013</t>
  </si>
  <si>
    <t xml:space="preserve">Aucun rabais de prix malgré mon excellente conduite depuis des années, j'osais espérer une réduction commeciale en vue de ma parfaite conduite depuis le début de l'assurance du scooter je suis deçue et si je peux changer d"assurance pour moins cher je le ferais immédiatement. </t>
  </si>
  <si>
    <t>christian-d-106924</t>
  </si>
  <si>
    <t xml:space="preserve">Je suis content du service offert par Direct assurrance mais comme je   n ai eu aucun sinistre a declare c est difficile de se prononcer.Mais pour l attention vraiment efficace. </t>
  </si>
  <si>
    <t>17/03/2021</t>
  </si>
  <si>
    <t>rafe-68047</t>
  </si>
  <si>
    <t xml:space="preserve">Prêt volant à mon frère au feu rouge de un bus qui tourne le frote direct assurance nous répond 100 pour cents responsable normalement c'est au minimum du 50 50 au minimum de plus il me réclame 1500 euro de franchise pour prêt de volant 1500 y sont tarés je me demande si on peut négocier la franchise prêt de volant ??? </t>
  </si>
  <si>
    <t>24/10/2018</t>
  </si>
  <si>
    <t>marcilhac-t-111823</t>
  </si>
  <si>
    <t xml:space="preserve">Meilleur prix pour jeune permis, rapide et efficace, je pense passer des membres de ma famille et même des amis chez vous car vous êtes les plus intéressant sur le marché de l'assurance auto.
</t>
  </si>
  <si>
    <t>marlone-k-127973</t>
  </si>
  <si>
    <t xml:space="preserve">Rapidité de la souscription et du comparatif sur internet gentillesse de l'opératrice.  Esperant que le suivi soit dans la meme efficacité et prix intéressant.  </t>
  </si>
  <si>
    <t>14/08/2021</t>
  </si>
  <si>
    <t>bouba-111255</t>
  </si>
  <si>
    <t xml:space="preserve">Bonjour j ai eu lea aujourd'hui au téléphone elle a était parfaitement professionnelle elle a pris le temps de tout m expliquer je la remercie énormément cordialement </t>
  </si>
  <si>
    <t>22/04/2021</t>
  </si>
  <si>
    <t>rubispoupette-69908</t>
  </si>
  <si>
    <t xml:space="preserve">J'ai deux assurance vie Afer une depuis le 23/03/1993 l'autre depuis 2/03/2004
C'était à l'époque une très bonne assurance vie.
Maintenant on ne peut pas en dire autant.
j'ai demandé les formulaire pour le rachat de mes deux assurances vie.
on m'a téléphoné pour me trouver des raisons pour rester ce que je ne veux pas.
on devait me téléphoner ce jour à 11h30 il est 12h30 toujours rien.
j'ai reçu le relevé annuel d'une de mes assurance vie mais laquelle ?
pour la 2ème j'attends encore.
j'ai voulu me connecter sur le site on me signal que mes identifiants ne sont pas bons  etc
C'est clair je veux les formulaires pour pour  LE RACHAT DE MES ASSURANCES VIE
</t>
  </si>
  <si>
    <t>charly-77096</t>
  </si>
  <si>
    <t>Je suis assuré chez Amv il y a peu, j'ai eu un sinistre depuis le mois d'avril nous sommes bientot au mois de Juillet et c'est encore loin d'etre fini. Je me suis fais percuté par la droite pour eux ils ont tout de suite conclu que j'etais en tord car ç'était une priorité a droite ils ont envoyé chez moi une lettre pour dire que je n'aurais aucune indemnisation du fait de ma responsabilité de l'accident ( je suis assuré au tiers ) la conseillère voulait même clore le dossier j'ai refusé la mairie a indiqué que ce n'etait pas une priorité a droite et que je n'étais donc pas en tord aucune excuse pour reconnaitre leurs erreurs. J'envoi les factures de mon casque et de mes gants endommagés suite a l'accident on arrive a me dire qu'il n'y a pas mon nom sur le ticket de caisse il faut faire fort alors que ma paire de gants ne vaut que 50e et que ce n'est même pas a eu de payer de plus ils sont complètement troués. Ensuite suite a ma non responsabilité je demande donc a ce que mon vehicule soit complètement reparé je ne demande pas d'argent je veux juste avoir la meme moto qui etait en ma possession avant l'accident c'est a dire neuve puisque je l'avais acheté fin 2018. Les reparations ont un cout de 9900e et la valeur de mon vehicule 9600e alors que je l'ai acheté il y a 6mois de ça à 14000e et que celui-ci n'a même pas 3000km. Franchement tres decu j'espere que cela va s'arranger au plus vite moi qui comptai assurer aussi ma voiture ici je vais bien reflechir maintenant</t>
  </si>
  <si>
    <t>25/06/2019</t>
  </si>
  <si>
    <t>david-123872</t>
  </si>
  <si>
    <t xml:space="preserve">Je suis satisfait du service proposé.
Bon rapport qualité prix. 
Je conseille à mes amis et la famille de souscrire cette assurance.
Bon rapport qualité prix </t>
  </si>
  <si>
    <t>clemence-c-134821</t>
  </si>
  <si>
    <t>Prix Prestations pour le nombre de kilomètres parcourus
Rapidité de souscription
Comparé sur un site de comparateur le lynx
Minimum suffisant pour l'usage du véhicule</t>
  </si>
  <si>
    <t>mima-93957</t>
  </si>
  <si>
    <t xml:space="preserve">Ag2r a refusé la prise en charge de mon arrêt maladie pour garde d'enfants moins de 16 ans suite à la civid19, et ça malgré plusieurs relance de ma part. même dans une telle situation, ils profitent de cette crise sanitaire pour ne pas payer, pas possible.mutuelle déconseiller.    </t>
  </si>
  <si>
    <t>cheyenne-80122</t>
  </si>
  <si>
    <t>tres decue par cette assurance.niveau remboursement plus que nul.j'ai un chiot qui as besoin de 2 vaccins a un mois intervalle et bien le premier as bien ete rembourser sauf qye sur cette facture il y avait un vermifuge qui ne m'as pas ete rembourse car il avait ete mis sur la meme ordonance que le vaccins.quand au second vaccins pas de remboursement car d'apres eux j'ai depasser le forfait.maintenant pour avoir remboursement croquettes il faut encore une ordonnance j'ai quand meme pris la plus grosse couverture et heureusement .maintenant voila je suis assurer chez eux depuis le 1 octobre et suis obliger d'attendre un an pour resilier chose que je ne manquerai pas de faire.alors attention mesdames,messieurs si vous voulez assurer vos animaux ne venez pas chez eux</t>
  </si>
  <si>
    <t>sneuk-80784</t>
  </si>
  <si>
    <t>Après un sinistre de grêle affectant la toiture et la vitrerie, le sinistre est donné classé alors que seule la vitrerie est réparée. Pourtant, lors de nos appels téléphoniques, ils disaient être au courant du sinistre toiture. Extrêmement difficile à contacter: pas de réponses aux emails et des temps d'attentes éternels au téléphone</t>
  </si>
  <si>
    <t>06/11/2019</t>
  </si>
  <si>
    <t>guillaume-p-112334</t>
  </si>
  <si>
    <t>Satisfait du service que m'apporte directe assurance surtout avec leur option YouDrive qui permet d'économiser sur son assurance en adaptant sa conduite.</t>
  </si>
  <si>
    <t>step-80178</t>
  </si>
  <si>
    <t>j'ai été très satisfait d'avoir eu Nadège au téléphone</t>
  </si>
  <si>
    <t>18/10/2019</t>
  </si>
  <si>
    <t>anne-marie-g-126458</t>
  </si>
  <si>
    <t xml:space="preserve">Je suis satisfaite mais le prix et un peu élevé pour ce genre de véhicule sachant le bonus actuel que nous avons,nous ferons Sûrement un devis pour une jeune permis </t>
  </si>
  <si>
    <t>sousou-67316</t>
  </si>
  <si>
    <t>A fuir!Je suis tombée en panne un dimanche et la réponse de la télé conseillère a été de ma dire mais madame on est dimanche, il faut patienter. Si vous ne voulez as patienter rentrez chez vous vous habiter à 6kms du garage!alors que je lui ai dit être enceinte de 6 mois et accompagnée de mes deux garçons en bas âge! Au final 3h d attente sur un trottoir à tenir un discours de sourd avec une téléconseillère distante, pas à l écoute qui m a raccroché au nez!!! Le 28 juillet de 9h a 15h!!! J en ai même pleuré de fatigue! Les mécaniciens du garage n en revenaient pas! Bref je passe le reste car je suis fatiguée. je retourne à la macif (dans vouloir faire de pub).</t>
  </si>
  <si>
    <t>30/07/2019</t>
  </si>
  <si>
    <t>paul-sztulman-98656</t>
  </si>
  <si>
    <t xml:space="preserve">Un incendie a détruit une partie de ma maison il y a quinze jours. Et je ne m'attendais pas à la double peine d'être ensuite piétiné par la Maif qui n'a rien fait depuis, à part dépêcher deux devis mineurs sur la somme de dégâts, toujours pas reçus d'ailleurs. En fait contrairement à ce que raconte leur PDG, les gestionnaires de sinistre n'ont aucune marge de manoeuvre, semblent surcharger de boulot et sont en permanence irritables. J'ai déjà du changer de gestionnaire de sinistre et la seconde ne me donne plus signe de vie depuis quatre jours.Tout est externalisé. Ils n'ont aucun expert et vous passez votre temps à parler à des experts de boites privés qui doivent faire appel à d'autres experts. Tout le monde prétend attendre tout le monde et rien ne bouge. Mais le pire c'est la violence des échanges avec les gestionnaires de sinistre. Faisant ma part de ma réprobation de ce fonctionnement l'une me répond qu'elle ne veut plus m'entendre "cracher mon venin". Faisant ma part de mon désarroi dans l'état de choc où je me trouve après quatre d'intervention nocturne des pompiers, je m'entends dire au deuxième appel que "la Maif a déjà passé trop de temps à s'occuper de moi alors qu'elle a juste pris rdv avec un expert". Il n'y a aucune empathie, aucun accompagnement, la seule chose que l'on comprend c'est qu'il s'agit pour la Maif de payer le moins possible et le plus tard possible. L'assurance ne propose même pas des corps de métiers compétents ou réactifs. On doit tout faire de son côté. Je suis atterré par une telle médiocrité de fonctionnement. </t>
  </si>
  <si>
    <t>12/10/2020</t>
  </si>
  <si>
    <t>jolie-74568</t>
  </si>
  <si>
    <t>très décu par axa resilier mon contrat en décembre 2018 ME demande de payer les cotisation pour 2019. Je suis harcelé par des lettres de relance malgré mes nombreux appels téléphoniques. Cette situation est inadmissible,je leur ai donc informer que je ne paierai pas ces cotisation ,  pour un véhicule que je ne possède plus (attestation de cession envoyée)</t>
  </si>
  <si>
    <t>28/03/2019</t>
  </si>
  <si>
    <t>laetitia-l-123730</t>
  </si>
  <si>
    <t>Je suis très satisfaite de cette opération, le prix me convient.
Envoyée par une ancienne adhérente, je suis ravie.
Merci de votre efficacité et de votre rapidité.</t>
  </si>
  <si>
    <t>18/07/2021</t>
  </si>
  <si>
    <t>eloelo-70403</t>
  </si>
  <si>
    <t>A éviter! Cela fait 5 mois que j'ai résilié mais ils ne font pas le nécessaire. Ils m'ont même envoyé une nouvelle carte. Je suis bloquée dans mes remboursements avec ma nouvelle mutuelle. J'ai cherché un médiateur mais April n'a pas adhéré à une groupe mutualiste du coup ce sera la justice! Un conseil fuyez!</t>
  </si>
  <si>
    <t>21/01/2019</t>
  </si>
  <si>
    <t>charlotte-c-133599</t>
  </si>
  <si>
    <t xml:space="preserve">Je n'ai aucun avis particulier. Il s'agit de l'assurance la moins cher trouvée parmi un large choix. j'espère que le service sera efficace dans la durée </t>
  </si>
  <si>
    <t>lilou0311-55650</t>
  </si>
  <si>
    <t>après plus de 20 d assurance suite à un sinistre hors responsabilité . 2 mois et toujours pas de remboursement du vehicule . le motif : l expert ne respecte pas la procédure et pour l expert la macif ne respecte pas la procédure . je suis prise en otage dans leur querelle malgres les appels les déplacement chez le carrossier qui lui a perdu ma carte grise . chez l expert qui ne veut récupérer aucun des documents de ma part et de la macif qui ne veut pas faire de versement tant que l expert ne récupère pas les documents ....et tourne et tourne ...</t>
  </si>
  <si>
    <t>26/06/2017</t>
  </si>
  <si>
    <t>danielle-g-106157</t>
  </si>
  <si>
    <t>je suis satisfait du l'assurance elle est vraiament tres bien pensée , je recommande vivement cette assurance a tout le monde qui souhaite des prix avantageux</t>
  </si>
  <si>
    <t>10/03/2021</t>
  </si>
  <si>
    <t>pit-39566</t>
  </si>
  <si>
    <t>satisfait et bien renseigné , bien conseillé . Bonne prise en charge et traitement du dossier rapide, pratique et efficace lorsque l'on est pressé par le temps</t>
  </si>
  <si>
    <t>30/09/2021</t>
  </si>
  <si>
    <t>benji-59675</t>
  </si>
  <si>
    <t xml:space="preserve">A fuir absolument !
Depuis septembre je me bat pour recevoir la vignette verte ! j ai un papier provisoir (blan) et je l 'ai relance pour recevoir la vignette . je suis allé au commissariat pour savoir si ce papier était légal ; leur réponse était clair c'est un papier provisoir daté de sept et donc déjà trop vieux , et que mon assurance devait obligatoirement remettre une verte ? je suis verbalisation sans ça ! 25 euros sans vignette verte. leur papier blanc ne suffit pas . et malgré toutes les relances toujours pas de vignette ! Cette assurance nous fait payé les appels , nous dit qu'elle envoye le papier mais rien et cela dure depuis sept ! je vais résilier le contrat ...je ne vois rien d autre à faire 
</t>
  </si>
  <si>
    <t>14/12/2017</t>
  </si>
  <si>
    <t>dan-129391</t>
  </si>
  <si>
    <t>Trés bon accueil par les conseillés sur place
niveau de prix bon mais sans+.
niveau de franchise "correct " par rapport aux concurents
remboursement "rétro" vandalisé rapide - la franchise bien-sûr !!
pour le moment satisfait- mais tarif a négocier avant l échéance  ??</t>
  </si>
  <si>
    <t>25/08/2021</t>
  </si>
  <si>
    <t>hadjaz-y-109074</t>
  </si>
  <si>
    <t>Je trouve que le prix est un peu élevé et la compagnie ne tient pas compte de mon ancienneté a l'étranger, j'ai déja fourni un document de mon assurance entreprise mais vous me demandez un autre datant de moins d'un mois! alors que le précédent date de moins d'un mois quand je me suis engagé avec vous</t>
  </si>
  <si>
    <t>frederico-m-132331</t>
  </si>
  <si>
    <t xml:space="preserve">Je suis satisfait du prix défiant toutes concurrence, ainsi que le service et la facilité de souscription qui est vraiment très bien organisé pour le futur assuré </t>
  </si>
  <si>
    <t>elo89-56172</t>
  </si>
  <si>
    <t xml:space="preserve">En arret depuis janvier 2017, j'attends encore Et Toujours le règlement de mes indemnitées malgré un dossier complet, l'implication personnel de mon employeur pour essayer d'obtenir gain de cause... 
trop c'est trop... en août c'est Avec un juriste que j'eplucherait Mes droits Et Que Je ferait excercer mes droits ! 
Apprêtez vous à payer vos cotisations pour AUCUNES GARANTIES !!! 
</t>
  </si>
  <si>
    <t>Generali</t>
  </si>
  <si>
    <t>21/07/2017</t>
  </si>
  <si>
    <t>jouvin-a-135235</t>
  </si>
  <si>
    <t>Je suis satisfait du prix et de la qualité de votre service. Je recommanderais ça à mes proche ainsi que à mes collègue de travaille bonne journée merci</t>
  </si>
  <si>
    <t>ludo-104076</t>
  </si>
  <si>
    <t xml:space="preserve">Depuis des années je suis à cette mutuelle et je n'ai jamais eu aucun soucis. Disponibilité et écoute. Qualité des conseillers. Plusieurs choix de prestations suivant son budget. </t>
  </si>
  <si>
    <t>12/02/2021</t>
  </si>
  <si>
    <t>fausty-128750</t>
  </si>
  <si>
    <t xml:space="preserve">Je me retrouve avec une grosse pathologie et de ce fait je me suis retrouvé en CLD. J'ai repris en mi-temps thérapeutique depuis le mois de juin. J'ai recours à la perte de salaire depuis 1 an et c'est très compliqué de faire régler. Je dois renvoyer à plusieurs reprises des documents. En attendant je me retrouve dans une situation financière très compliquée sans compter ma maladie </t>
  </si>
  <si>
    <t>laurent-l-107539</t>
  </si>
  <si>
    <t>Rapide et fonctionnel je recommande cette assurance crédit quand c’est pour un bien locatif 
Le prix est correct et les interlocuteurs sympathiques 
A voir dans le futur</t>
  </si>
  <si>
    <t>catherine-r-110944</t>
  </si>
  <si>
    <t xml:space="preserve">le  monsieur que j'ai eu au téléphone m'a tout bien expliqué et a répondu a toutes mes questions! Encore merci ! Je conseille ce service a tout le monde car la disponibilité et le temps d'attente a été vraiment tres courte </t>
  </si>
  <si>
    <t>belette-98457</t>
  </si>
  <si>
    <t>Je me suis fait voler mon véhicule, ils ont toujours été à l'écoute et de bons conseils.
Véhicule pris en charge et réparé
Des pros avec des prix compétitifs...</t>
  </si>
  <si>
    <t>07/10/2020</t>
  </si>
  <si>
    <t>richlion-109250</t>
  </si>
  <si>
    <t>L accueil téléphonique de ce jour a été très satisfaisant. J ai eu la réponse et le service attendu.
Accueil sympathique, bonne compréhension, rapidité du service.
Merci.</t>
  </si>
  <si>
    <t>06/04/2021</t>
  </si>
  <si>
    <t>mari-60780</t>
  </si>
  <si>
    <t>mai 2012 satisfaite......................................................</t>
  </si>
  <si>
    <t>24/01/2018</t>
  </si>
  <si>
    <t>delphine-v-108225</t>
  </si>
  <si>
    <t xml:space="preserve">Voila plusieurs année que je suis chez vous sans accident je n'ai eu aucune réduction sur mon assurance;
Je pensé que ma fidélité et ma conduite serai récompensé . </t>
  </si>
  <si>
    <t>david-49014</t>
  </si>
  <si>
    <t>A fuir cette assurance ce moque de ses clients .
un accrochage a nos tords , la maaf nous envoi son expert qui nous gèle la carte grise ,deja la façon est discutable, je répare mon vehicule , le passe au controle technique , envoi tous les documents ..et la Bilan l'expert fait le mort , la Maaf ne veut rien faire et mon vehicule ne peut rouler depuis 1 semaine alors que le controle technique est ok ...pendant ce temps nous payons crédit , assurance et cnie ..</t>
  </si>
  <si>
    <t>22/11/2016</t>
  </si>
  <si>
    <t>jeannot-89779</t>
  </si>
  <si>
    <t>Mon mari artisan en arrêt depuis le 15/03 car ALD et donc personne à risque ne sera pas indemnisé alors que la sécurité sociale le prend en considération. Où est l'erreur. Cette assurance est de pire en pire</t>
  </si>
  <si>
    <t>20/05/2020</t>
  </si>
  <si>
    <t>01/05/2020</t>
  </si>
  <si>
    <t>guigui25-104137</t>
  </si>
  <si>
    <t>Mauvaise communication et très long délais de retour.
Accusé responsable alors que je suis victime. De ce fait j'ai une réduction de bonus. Agence de secteur injoignable
Très mauvais ! 0/10
A eviter</t>
  </si>
  <si>
    <t>14/02/2021</t>
  </si>
  <si>
    <t>cath-102574</t>
  </si>
  <si>
    <t xml:space="preserve"> Très déçue par cette assurance qui ne m'a pas versé un centime depuis 3 ans . J'ai dû vendre une grande partie de cette assurance-vie pour solder un crédit in fine  conseillé par la banque et depuis cette date là la somme restante n'a plus bougé!</t>
  </si>
  <si>
    <t>13/01/2021</t>
  </si>
  <si>
    <t>amelie-103495</t>
  </si>
  <si>
    <t>A FUIR!!!! Impossible d'obtenir un remboursement en optique, Impossible à joindre...
Je viens de passer 13 minutes à attendre au téléphone avec leur musique de fond digne d'une journée d'obsèques et au bout des 13 minutes ça raccroche...</t>
  </si>
  <si>
    <t>dav-108738</t>
  </si>
  <si>
    <t>Bonjour à la communauté 
Je fais un devis à la macif au mois de novembre 2020 pour un deux roue il m annonce 350€ annuelle, je rappelle ce jour le 29.03.2021 pour assurer le deux roue et hop on passe à 510€ aucune explication pour la hausse de prix.
J ai fais un devis sur un site comparateur je suis entre 147€ à 288€. 
A bon entendeur .
David R</t>
  </si>
  <si>
    <t>31/03/2021</t>
  </si>
  <si>
    <t>dupkaro-86549</t>
  </si>
  <si>
    <t>Comme les autres assurés. La GMF encaisse les cotisations et disparait en cas de besoin. Accident non responsable en tt risques j'avance les fonds. Pas grave mon garage peu bien attendre pour le travail fait. si cela ne ressemble pas à faire de la trésorerie sur le compte des autres .... , je n'ai aucune info je dois aller à la pêche et l'on me refuse de lire le rapport de l'expert ......</t>
  </si>
  <si>
    <t>30/01/2020</t>
  </si>
  <si>
    <t>01/01/2020</t>
  </si>
  <si>
    <t>ndeye-fatou-f-132867</t>
  </si>
  <si>
    <t>Un peu cher pour une ancienne assurée chez vous et sui dispose aussi de l’assirance habitation actuellement chez vous 
J’aurais aimé avoir une petite réduction</t>
  </si>
  <si>
    <t>14/09/2021</t>
  </si>
  <si>
    <t>montana0481-89166</t>
  </si>
  <si>
    <t xml:space="preserve">Mon père est décédé fin janvier. Il avait une assurance obsèque et une assurance vie. Depuis son décès cette assurance m'envoie toutes les 2 semaines des demandes de documents complètementaires. Tous les documents ont été transmis le lendemain du décès. C'est une honte. Les personnes prennent ces assurances obsèques pour décharger la famille qui doit surmonter cette épreuve, et finalement c'est tout le contraire qui se passe. Nous sommes consternés. Mon père a été abusé. C'est triste.
</t>
  </si>
  <si>
    <t>Cardif</t>
  </si>
  <si>
    <t>miss-79918</t>
  </si>
  <si>
    <t xml:space="preserve"> 1 an en attente de réponse suite à un sinistre et depuis la déclaration du sinistre ils continuent les prélèvement es ce normal ??? je pense pas  </t>
  </si>
  <si>
    <t>15/10/2019</t>
  </si>
  <si>
    <t>alain-m-133318</t>
  </si>
  <si>
    <t>Prix correct, site  convivial et facile d'utilisation. Par contre aucun contact avec un conseiller en espérant que tout va bien se passer car très déçu d'Axa</t>
  </si>
  <si>
    <t>17/09/2021</t>
  </si>
  <si>
    <t>sutera-l-108865</t>
  </si>
  <si>
    <t xml:space="preserve">Je suis satisfait du service client, réponse rapide et clair prix plus que correct et les garantie sont plus que satisfaisante. 
                              </t>
  </si>
  <si>
    <t>lilith-100074</t>
  </si>
  <si>
    <t xml:space="preserve">Mon beau pere avais contracter une assurance vie chez SOGECAP, d'ont il m'avait informer
 ( verbalement ) que j'etais beneficiaire, avec une reference de contrat . Depuis fin juillet 2020 je leurs est envoyer tous les documents en lettre recommander pour cloturer le dossier . Pas de reponse !! Debut Octobre 2020,
 j' appel, ont  me dit d'abord, qu'il manque certains documents ( que j'ai deja envoyer ). Bref.... Je donne la reference de contrat, puis ont me dit que je ne suis pas le beneficiaire de CE contrat ! ( Mon beau pere avais aussi souscrit un contrat d'assurance vie pour sa mere egalement deceder. Mon beau pere, a pu confondre la reference de mon contrat avec celui qu'il avais souscrit pour sa mere )  Et depuis cet appel toujours pas de nouvelle, pas de courrier, rien !! N'eyant eu de la part de mon beau pere, que des informations verbales a ce sujet j'aimerais avoir une reponse ferme et  definitive de la part de SOGECAP indiquant deja si OUI ou NON je suis beneficiaire d'un contrat et si oui ou en est mon dossier ! C'est un vrai manque de professionnalisme que de laisser les gens sans reponse ! A voir les commentaires, certains dossiers sont cloturer qu' au bout de 2 ans !! Je ne suis pas pret d'avoir une reponse !! </t>
  </si>
  <si>
    <t>Sogecap</t>
  </si>
  <si>
    <t>13/11/2020</t>
  </si>
  <si>
    <t>diabolomenthe28-87375</t>
  </si>
  <si>
    <t>AHURISSANT !!!!!</t>
  </si>
  <si>
    <t>MetLife</t>
  </si>
  <si>
    <t>19/02/2020</t>
  </si>
  <si>
    <t>roland-v-107667</t>
  </si>
  <si>
    <t>Le prix et la garantie me convient pour l'instant à voir le service après dans le  temps du moment, on a pas de problème tout est bien, on verra par la suite après</t>
  </si>
  <si>
    <t>p-zmt-79339</t>
  </si>
  <si>
    <t>La garantie conducteur de la Macif est à fuir. On s'acquitte de primes d'assurance pour, au bout du compte, ne retirer qu'une indemnisation ridicule au regard des préjudices subis. Il faut choisir une assurance qui garantit, en cas d'accident responsable ou sans tiers, une indemnisation pour préjudice corporel prenant en compte tous les postes et ceux ci sur la base du droit commun. Je conseille vivement aux motards de bien lire et comparer les contrats proposés. A fuir donc la MACIF et AMV. CIC MATMUT CREDIT MUTUEL sont de meilleures options.</t>
  </si>
  <si>
    <t>20/09/2019</t>
  </si>
  <si>
    <t>gabriel-g-116859</t>
  </si>
  <si>
    <t>tres mécontent impossible de joindre mon assurance , surréaliste !!!!! pas de numéro de téléphone service contact inexistant , du délire , merci blablasur !!!!!!</t>
  </si>
  <si>
    <t>12/06/2021</t>
  </si>
  <si>
    <t>reznakova-s-132381</t>
  </si>
  <si>
    <t>Service parfait, rapide, efficace, conseiller au top. Tout a été bien expliqué, renseigné et revu, les questions bien répondues, je suis contente de souscrire chez vous.</t>
  </si>
  <si>
    <t>horiya-75686</t>
  </si>
  <si>
    <t xml:space="preserve">Cliente depuis 16 ans avec 4 contrats. J'ai eu un sinistre habitation qui a couté 36 euros à la MAAF ils m'ont résilié. Mais je suis restée pour les 3 autres contrats.
Je change de véhicule et je fais un devis. La cotisation est excessivement élevée donc je fais des devis ailleurs et demande mon relevé d'information.
Maaf m'appelle suite à cette demande et me dit de les rappeler avec le devis des concurrents pour qu'ils tentent de s'aligner. 
Ce que je fais vendredi. La personne me propose un tarif à 460 euros et 2 mois gratuits mais m'invite quand même à aller en agence pour obtenir mieux.
J'y suis allée lundi. Uniquement mon interlocuteur dans toute l'agence pas de responsable. Et ce monsieur m'apprend qu'il est encore en formation et ne devrait pas être seul (ancienneté de quelques semaines). Il m'a fait un devis à 580 euros sans aucun geste commercial ni écoute de la part de cette personne.
En sortant je rappelle la plateforme et on m'informe que la personne de l'agence a indiqué "pas de remise" dans mon dossier.
J'ai rappelé aujourd'hui devis toujours à 573 euros et même les 2 mois gratuits proposés n'existent plus. 
Je tente toujours de comprendre pourquoi on m'a proposé un alignement, pourquoi on m'a envoyé en agence pour avoir un tarif beaucoup plus élevé, pourquoi une personne en cours d'apprentissage se permet de me surfacturer ...
Incroyable ! je n'aurais jamais cru cela possible d'une assurance qui m'avait toujours donné satisfaction et que je n'avais pas quitté pour leur qualité de service.
Au bout de 16 ans ils me jettent dehors sans aucune raison !
</t>
  </si>
  <si>
    <t>07/05/2019</t>
  </si>
  <si>
    <t>bouchery-n-138101</t>
  </si>
  <si>
    <t>très bien, vous êtes pas trop chère pour un premier contrat d un jeune conducteur de plus de 3 ans de permis et d une voiture pas trop vielle merci a bientôt...</t>
  </si>
  <si>
    <t>23/10/2021</t>
  </si>
  <si>
    <t>claire-k-122871</t>
  </si>
  <si>
    <t>tres insatisfaite du contrat d'assurance. le contrat est très peu détaillé pour pouvoir dire non à toute demande de dédommagement en cas d elitige, il se cache directement derrière le fait que ce n'est pas écrit au contrat mais rien n'est écrit dedans donc c'est tres facile pour eux.</t>
  </si>
  <si>
    <t>alex-79706</t>
  </si>
  <si>
    <t xml:space="preserve">Quand il s'agit de créer un contrat, le service est top! Par contre gérer un sinistre, c'est moins fun et vous allez attendre, puis attendre encore... (Ils n'ont jamais répondus à mes messages sur le site dédié malgré deux relances, par le téléphone, j'ai appelé lundi ''merci de rappeller à partir de mardi" mardi j'appel, temps d'attente interminable. Je rappel jeudi matin: "merci de rappeler à partir de 14h" il est 14h26, j'attend depuis 23 minutes... Donc du coup je suis venus partager mon expérience. </t>
  </si>
  <si>
    <t>03/10/2019</t>
  </si>
  <si>
    <t>mathieuv21-86134</t>
  </si>
  <si>
    <t>Service Clients facilement joignable (large plages horaires, même le samedi), les opérateurs sont aimables et courtois, et toujours à votre écoute. Ils sont de bons conseils et vous orientent vers la solution la mieux adaptée à votre situation personnelle, à votre cas particulier.</t>
  </si>
  <si>
    <t>21/01/2020</t>
  </si>
  <si>
    <t>rouky-99405</t>
  </si>
  <si>
    <t xml:space="preserve">Bonjour,
FUYEZ !!! A éviter absolument. 
Pour la petite histoire, nous avons le bonheur d’avoir Rouky dans notre famille, un petit cavalier KC de 6 mois et aujourd’hui heureusement en pleine forme. 
Suite à un petit saut tout seul sur le carrelage durant nos vacances, Rouky s’est mis à un peu boiter, nous l’avons donc emmener chez le vétérinaire.
Heureusement avant de partir en vacances nous avions souscrit au contrat SANTEVET.
Mais à la suite d’une rature de la part du vétérinaire sur l'ordonnance au niveau de la date (le 5 Aout au lieu du 6 Aout, et alors que la bonne date était inscrite à 2 deux autres endroits sur la même ordonnance) il nous a été impossible de bénéficier des remboursements via SANTEVET.
Nous avons donc renvoyé une ordonnance refaite par le vétérinaire sans rature à plusieurs de leurs services. Nous avons appelés plusieurs fois, eu différents interlocuteurs, envoyés des mails et courriers explicatifs,...
Bien évidemment en attendant un retour de SANTEVET nous avons fait suspendre les cotisations.
Hélas la seule réponse que nous avons eu de la part de SANTEVET 4 mois après c’est un courrier en AR nous menaçant de poursuites judiciaires si nous ne réglons pas les cotisations MAJOREES !!!
Bref le service commercial est très fort pour vous appâter mais après avoir signé chez eux, le service client est de piteuse qualité !!! Vous vous faites balader de services en services, il n’y a pas de communication entre eux et encore moins envers les clients.  Ah si au téléphone les conseillers « très sympathiques » vous disent qu’il n’y aura pas de problème, jusqu'au jour ou sans vous prévenir vous recevez un courrier vous menaçant de vous attaquer en justice !!! 
Pour ma part je suis prêt à aller en justice pour prouver une énième fois ma bonne foi devant des personnes assermentées, objectives et compétente, c’est même maintenant une question de principe. Mais en attendant cela fait des mois que cela dure. Alors si vous souhaitez une mutuelle qui puisse véritablement accompagner nos Amis à quatre pattes sereinement durant toute leur vie, un petit conseil passez votre chemin .
Sincèrement
Sylvain
</t>
  </si>
  <si>
    <t>30/10/2020</t>
  </si>
  <si>
    <t>assuranceavis-55922</t>
  </si>
  <si>
    <t>Pas du tout à l'écoute, très difficiles à joindre surtout quand il vous arrive une galère et le pire c'est que soit ils vous raccrochent au nez ou alors la communication est coupée alors que vous êtes en pleine explication, et vous devez refaire toute l'attente et tout réexpliquer...!</t>
  </si>
  <si>
    <t>10/07/2017</t>
  </si>
  <si>
    <t>alain-104088</t>
  </si>
  <si>
    <t xml:space="preserve">Par suite d'un devis en ligne, je suis rappelé par la MAAF pour souscrire un contrat d'assurance auto à un tarif très intéressant (offre Tiers Eco). Opérateur super sympathique, conseils avisés pour regrouper tous mes contrats au sein d'un même assureur et ainsi obtenir des tarifs avantageux. La MAAF disposerait d'outils permettant la comparaison des offres avec les autres compagnies d'assurance et prétend ainsi répondre au mieux des besoins clients. 
Convaincu par le discours, je valide l'offre. Paiement en CB par téléphone du 1er mois, résiliation automatique et immédiate de mon contrat actuel et rendez-vous, dès le lendemain, à l'agence MAAF du Gd Quevilly pour enregistrer le contrat. 
Je suis reçu par un employé qui, à l'analyse de mon relevé de situation, m'informe que la MAAF ne pourra pas m'assurer au-delà du mois souscrit en raison de 2 sinistres bris de glace (pare-brise + optique antibrouillard) sur 2020. Il me notifie, de fait, la résiliation du contrat d'assurance d'un mois, à peine souscrit et avant même qu'il ait été effectif, qui plus est sans possibilité de remboursement du paiement. Le côté ubuesque : le relevé d'informations qui m'a été remis mentionne « PAS DE SINISTRE ». Qui peut concurrencer la MAAF ?
</t>
  </si>
  <si>
    <t>alanous-114056</t>
  </si>
  <si>
    <t>Tres bon rapport qualité prix. Cette assurance prend en charge également les pannes du quotidien (prise électrique défectueuse, fuite WC sans dommages causés aux tiers etc.......
Rapidité d'exécution .Contrat clair et prix correct</t>
  </si>
  <si>
    <t>hhic-81599</t>
  </si>
  <si>
    <t xml:space="preserve">Cette assurance fait tout pour vous décourager afin d obtenir votre indemnisation !  </t>
  </si>
  <si>
    <t>04/12/2019</t>
  </si>
  <si>
    <t>sofzin-98520</t>
  </si>
  <si>
    <t>Voys êtes pas a l'écoute du client jai demander de décaler la datte de prélèvement mai cest imposible plus vous prix son chère paraport jai décider de changer de assurance ce mois si</t>
  </si>
  <si>
    <t>08/10/2020</t>
  </si>
  <si>
    <t>jean-philippe-f-108063</t>
  </si>
  <si>
    <t>Site non fonctionnel. Il faut sans arrêt se reconnecter ou renouveler son mot de passe . en favori : "votre session a expiré".. pénible. Ca suffira pour orienter mon choix vers un autre prestataire. Service ou non. Si "non service", OUT</t>
  </si>
  <si>
    <t>aurore14-137956</t>
  </si>
  <si>
    <t xml:space="preserve">Très bon rapport qualité-prix Cependant je trouve un peu regrettable quand on a plusieurs contrats de deux roues, qu'on est pas un geste commercial supplémentaire, on nous offre une réduction sur un nouveau contrat tel que l'automobile mais pas pour les contrats en cours. </t>
  </si>
  <si>
    <t>kelly-m-126544</t>
  </si>
  <si>
    <t>Très satisfait du service et de la rapidité d'être assurer.
Le site est très facile d'utilisation, 
Prix qui reste très correct.
Je recommande à 100%.</t>
  </si>
  <si>
    <t>05/08/2021</t>
  </si>
  <si>
    <t>pierre-59152</t>
  </si>
  <si>
    <t>Attention le bris de glace ne comprend pas les optiques....alors que toutes mes autres assurances l'avait par défaut.</t>
  </si>
  <si>
    <t>27/11/2017</t>
  </si>
  <si>
    <t>castaldo-a-123913</t>
  </si>
  <si>
    <t>Conseillère très agréable et claire.
Accompagnement pour ma part 
au top. Site internet très intuitif pas besoin de chercher les choses pendant des heures.</t>
  </si>
  <si>
    <t>20/07/2021</t>
  </si>
  <si>
    <t>yacine-k-135188</t>
  </si>
  <si>
    <t xml:space="preserve">JE SUIS CONTENT DU SERVICE offre par votre agence , je souhaite que la suite du processus se passe bien, 
je vous remercie par avance.
cordialement </t>
  </si>
  <si>
    <t>rachid--93006</t>
  </si>
  <si>
    <t xml:space="preserve">J’aimerai assurer en tout risque évidemment le prix est abordable mais sa serait vraiment encore mieux si le prix decendai un peu car c’est une voiture avec laquelle je pense pas rouler beaucoup </t>
  </si>
  <si>
    <t>02/07/2020</t>
  </si>
  <si>
    <t>lyviam-56821</t>
  </si>
  <si>
    <t>Assurance à fuire!! 4 mois pour résilier  l'assurance  d'une voiture après sa vente. Certificat de vente soit disant jamais reçus  malgré que le courrier soit envoyer en recommandé. Envoie  d'une nouvelle copie du certificat via l'agence bancaire et la encore une réaction de la part de pacifica. Nous sommes toujours prélevé pour cette assurance et ceux 4 mois après l'envoie du certificat de vente. Heureusement  qu'il  n'y a pas eu de sinistre. Attitude déplorable des agents téléphoniques.</t>
  </si>
  <si>
    <t>23/08/2017</t>
  </si>
  <si>
    <t>ancelot-r-110472</t>
  </si>
  <si>
    <t>je suis très satisfait de ma compagnie d'assurance tant sur le plan de l'automobile  que sur la partie habitat je recommande La compagnie Directe Assurance</t>
  </si>
  <si>
    <t>15/04/2021</t>
  </si>
  <si>
    <t>bzh-66874</t>
  </si>
  <si>
    <t>Refus de prévoyance TNS pour obésité.
Même si c'est légal, humainement ça dit tout de cet assureur. Ce genre de discrimination me fait vomir!
Cette assurance est a fuir...</t>
  </si>
  <si>
    <t>15/09/2018</t>
  </si>
  <si>
    <t>pike49-56731</t>
  </si>
  <si>
    <t>Plus de 30% plus cher que GAN pour les même services .............!!</t>
  </si>
  <si>
    <t>18/08/2017</t>
  </si>
  <si>
    <t>gege-88356</t>
  </si>
  <si>
    <t>Santiane  est peut être le plus gros courtier Français par contre son centre de gestion :Mutua gestion n'est pas bon du tout. vous êtes obligé de vérifier tous les remboursements, sinon pas de remboursements une fois sur deux.</t>
  </si>
  <si>
    <t>03/02/2021</t>
  </si>
  <si>
    <t>zaiter-k-128093</t>
  </si>
  <si>
    <t>Je suis satisfait des tarifs proposer par l' olivier. Je pense avoir fait le bon choix meme si j 'étais déjà client. Le service est très bien et le système pour signer électroniquement me plait.</t>
  </si>
  <si>
    <t>15/08/2021</t>
  </si>
  <si>
    <t>rodrigues-f-138524</t>
  </si>
  <si>
    <t>je suis satisfait,
à part pour le véhicule en stockage pour réparation ou casse auto, après étude des frais.
je remercie, le service téléphonique
Cordialement,
Frédéric RODRIGUES</t>
  </si>
  <si>
    <t>29/10/2021</t>
  </si>
  <si>
    <t>anguille-75597</t>
  </si>
  <si>
    <t xml:space="preserve">Délais de traitement des dossiers y compris rachat d épargne action incroyablement long ( trois mois )
Interlocuteurs incapables de vous renseigner et particulièrement difficiles à joindre 
Pas de communication entre les services 
Pas de réponses aux courriers recommandés et aux réclamations via la boîte mail dédiée ....
Incapable de justifier une fiscalité qu ils sont les seuls à appliquer et qui ne devrait pas être prélevée 
</t>
  </si>
  <si>
    <t>CNP Assurances</t>
  </si>
  <si>
    <t>03/05/2019</t>
  </si>
  <si>
    <t>cantagrel-j-125608</t>
  </si>
  <si>
    <t>je suis satisfait de mon échange avec la conseillère. rapidité d'exécution. La signature a été rapide. je découvrir l'extra net. Pour le moment je suis satisfait du service proposé. si cela se passe bien je changerais l'intégralité de mes assurances (Habitation et auto de ma compagne).</t>
  </si>
  <si>
    <t>30/07/2021</t>
  </si>
  <si>
    <t>soundouce-a-130967</t>
  </si>
  <si>
    <t xml:space="preserve">je suis satisfaite, les contrats sont honnêtes. Le site est simple d'utilisation. J'ai tout mes contrats chez la GMF, bon rapport qualité / prix. 
Je recommande
</t>
  </si>
  <si>
    <t>jacques-j-129891</t>
  </si>
  <si>
    <t>Je suis tres  satisfaire de mon assurance et au niveaux du prix magnifique je recomande entierement vos service et merci encore et merci .............</t>
  </si>
  <si>
    <t>patgi-131000</t>
  </si>
  <si>
    <t>Demander mon avis à chaque foi commence à me peser. Je n'ai pas le temps de passer des heures à raconter ma vie pour avoir une attestation, si je ne voulais plus être chez vous vous serez averti !</t>
  </si>
  <si>
    <t>tintin29-100435</t>
  </si>
  <si>
    <t>Le scandale c'est que cet assureur CARDIF  qui est aussi une banque et une société de crédit par le biais de CETELEM ne fournit pas de relevé à minima annuel pour les assurance emprunteur de crédit à la consommation. Même quand le crédit est soldé ou liquidé dans le cadre d'une procédure de surendettement, la mensualité se poursuit. L'autre difficulté c'est que CARDIF assurance se cache et ne communique pas ses coordonnées. Il faut soit passer par une messagerie ou enquêter sur internet pour découvrir plusieurs adresses sans savoir vraiment laquelle est la bonne. Tout est fait pour gagner du temps et reculer plus loin la résiliation. Il n'y a pas de petit profit.!!</t>
  </si>
  <si>
    <t>21/11/2020</t>
  </si>
  <si>
    <t>sylvainc-61639</t>
  </si>
  <si>
    <t xml:space="preserve">assuré depuis 1999 toutes mes voitures j'ai eu un sinistre non responsable ils ont été réactif et efficace il y a de nombreuses agences </t>
  </si>
  <si>
    <t>21/02/2018</t>
  </si>
  <si>
    <t>plusraslebol69-60516</t>
  </si>
  <si>
    <t>Je ne comprends pas que mon employeur ait choisi cette mutuelle</t>
  </si>
  <si>
    <t>15/01/2018</t>
  </si>
  <si>
    <t>martins-g-133183</t>
  </si>
  <si>
    <t xml:space="preserve">Très satisfaite du service proposé et des prix pratiqués. C'est à ce jour le meilleur rapport qualité-prix que j'ai pu retrouver. A voir par la suite. </t>
  </si>
  <si>
    <t>barbezier-l-137915</t>
  </si>
  <si>
    <t>Je suis satisfait rapide ,pas cher 
La signature en ligne et pouvoir être assuré le jour même et rapidement pour pouvoir partir sur la route en sécurité</t>
  </si>
  <si>
    <t>20/10/2021</t>
  </si>
  <si>
    <t>lysiane-102916</t>
  </si>
  <si>
    <t>A bannir. Tres déçue  par cette assurance qui n est pas a l ecoute de ses souscripteurs. Je suis écœure par la manque de respectabilité et leur mauvaise fois. Si vous voulez souscrire surtout fuyez et cherchez quelquun de plus consciencieux</t>
  </si>
  <si>
    <t>dylan-d-110939</t>
  </si>
  <si>
    <t xml:space="preserve">Je suis très satisfait merci les prix son très abordable merci encore top top top top top top top top top je vais recommander mais amie est entourage </t>
  </si>
  <si>
    <t>sandrine-t-135298</t>
  </si>
  <si>
    <t>J'étais déjà cliente ils y a quelques temps et je n'ai jamais rencontré de problème. Les prix sont raisonnables la démarche était simple et plutôt pratique.</t>
  </si>
  <si>
    <t>msy91-63542</t>
  </si>
  <si>
    <t xml:space="preserve">Une histoire incroyable ! L'olivier m'a attribué le numéro de plaque d'un autre client... Bien entendu ce dernier a eu un accident et ils m'ont responsabilisé de cet accident !!! J'ai passé 6 semaines à les contacter, à envoyer des couriers recommandés, à essayer d'avoir des infos sur ce délire pour comprendre la situation et justifier que ce n'était pas moi ! Ça aurait pu se résoudre en un appel à l'assureur concurrent mais non ! Ils font trainer, ne se mettent pas à la place du client et m'ont mis dans une situation invraisemblable car je me suis retrouvé avec du malus et des cotisations exorbitantes à payer pour m'assurer ... Sans mes démarches, mes multiples appels, relances et couriers, j'en serai toujours au même point car l'Olivier était incapable de me dire avec qui et où avait eu lieu cet accident (non non, pas de constat ...). En plus de cela, le jour ou il vous arrive un sinistre (ou le sinistre d'un autre), ils vous contactent par mail ... Oui un simple mail ! Sans relance... Si le mail part dans les couriers indésirables ou si vous changez d'adresse mail vous êtes foutus ! Assurance à fuir !! </t>
  </si>
  <si>
    <t>24/04/2018</t>
  </si>
  <si>
    <t>charles-110689</t>
  </si>
  <si>
    <t>J'ai fait une déclaration d'accident à Direct assurance pour un sinistre en mon absence. La voiture était stationnée dans la rue et c'est un quartier en pleine transformation. Je reviens et là je constate que mon arrière a été endommagé, le feu cassé. Evidemment pas de petit papier ni de témoins pour confirmer donc je ramasse les morceaux du feu en râlant et m'en vais. Je suis assuré tout risques et donc me calme une fois rentré, le lendemain je téléphone à l'assurance, explique les choses, on me demande de faire une déclaration manuscrite et des photos des dégâts. Je m'exécute et envois le tout, on me fais savoir que l'on viens chercher le voiture pour l'emmener chez le carrossier et que l'expert va passer. Surprise ensuite car l'"expert" m'appelle et direct mets en doute ma déclaration, je me sens pris comme un menteur et donc insulter. Je confirme la chose, envois des photos du lieu avec les grosses machineries, les camions etc...
Ni leur bureau d'"expert" ni l'assurance ne m'ont jamais répondu sauf pour m'envoyer un courriel me disant qu'il refusait de prendre en charge les coûts. On paye pour une assurance Tout Risque et voilà le résultat. BCA expertise sont des incompétents et les clients chez Direct assurance des vaches à lait.</t>
  </si>
  <si>
    <t>aurelie-92336</t>
  </si>
  <si>
    <t xml:space="preserve">Voilà 9 mois que j ai eu mon accident non responsable et toujours pas de versement de remboursement, </t>
  </si>
  <si>
    <t>26/06/2020</t>
  </si>
  <si>
    <t>prescillia-50191</t>
  </si>
  <si>
    <t xml:space="preserve">pour moi comme pour nous tous les agences que sa soit mma ou maaf ou autre on ce faits tous avoirs ont payent pour être assurées en cas de sinistre mais quand sa arrive ils vous donnent une misères et pour les recevoir ils faut être plus que patient et avec sa se n est pas tout il vous rompe le contrat donc nous somme plus assurée nul part mais nous somme obliger sa pour moi se n est pas normal   </t>
  </si>
  <si>
    <t>12/12/2016</t>
  </si>
  <si>
    <t>julie90-117912</t>
  </si>
  <si>
    <t xml:space="preserve">Une vraie daube qui ne pense qu’au profit.
Je déconseille fortement! 
Et si vous décidez d’aller chez eux.
1. Ne parlez pas de vos antécédents, une simple écharde et vous devrez payer le tarif supérieur.
2. Ne tombez pas malade, tout simplement. </t>
  </si>
  <si>
    <t>22/06/2021</t>
  </si>
  <si>
    <t>clement-a-117081</t>
  </si>
  <si>
    <t xml:space="preserve">simple rapide et efficace avec un petit bonus pas négligeable "Youdrive" tu conduis bien tu es récompensé ;) 
une application super fonctionnelle.
un service client au petit soin 
bravo </t>
  </si>
  <si>
    <t>christelle--f-125691</t>
  </si>
  <si>
    <t xml:space="preserve">Parfait, très bon rapport qualité prix ! Je ne regrette pas d’avoir pris mon assurance chez direct assurance, je recommanderais à tout le monde dans mon entourage </t>
  </si>
  <si>
    <t>bop-69756</t>
  </si>
  <si>
    <t>Impossible de savoir en global et en détail la +ou-value sur les placements support actions. Pas d'interlocuteur dédié.Les # conseillers ne donnent pas les mm explications.Client hyper insatisfait</t>
  </si>
  <si>
    <t>29/12/2018</t>
  </si>
  <si>
    <t>julien-b-130536</t>
  </si>
  <si>
    <t>Je trouve le site Direct Assurance pratique et simple. on navigue d'un devis à l'autre facilement. Le prix des assurances défie toute concurrence. En espérant qu'il ait un bon service après vente.</t>
  </si>
  <si>
    <t>shanon-b-133960</t>
  </si>
  <si>
    <t>Satisfait du service
Prix un peu cher pour un jeune conducteur sans emploi avec une voiture qui ne consomme pas tant que ça mais bon.. 
Sinon c'est simple à comprendre pour un débutant</t>
  </si>
  <si>
    <t>fab-49685</t>
  </si>
  <si>
    <t>Bonjour, cette année j'ai étais victimes d'un accident en moto tout terrain, Allianz ne rembourse pas en cas d'accident avec un véhicule a moteur lors d'une compétition ou a ses essai hors ce jour la j'étais sur un circuit hors compétition, Allianz m'a refusé l'indemnisation en un premier temp en justifiant le fait que j'étais en course, après plusieurs courrier attestant que je n'étais pas en course Allianz m'a finalement remboursé en intégralité mes indemnités journalières après 2 moi de délibération de leur part. La correspondance et les pièces médicales demandé par Allianz a étais très contraignante mais au final ils ont assumé leur rôle d'assureur et on réglé la totalité de l'indemnité du en un seul virement.</t>
  </si>
  <si>
    <t>tiffany-l-106076</t>
  </si>
  <si>
    <t xml:space="preserve">satisfaite, rapide, simple pour un abonnement, bon rapport qualité prix                                                                                                 </t>
  </si>
  <si>
    <t>filipe-d-117083</t>
  </si>
  <si>
    <t xml:space="preserve">Je suis très satisfait du service - les conseillers ZenUp sont tous très accueillant et patients. 
Les prix sont compétitifs et les démarches à suivre très simple.
Merci
 </t>
  </si>
  <si>
    <t>dj-aix73-81081</t>
  </si>
  <si>
    <t>A 5 mois de mon sinistre, et après de nombreuses relances et démarches, AXA me balade de semaines en mois, avec des excuses tjrs nouvelles et interminables, pour ne pas procéder à mon dédommagement de 37 500 euros, soit disant en cour ... alors que le contrat stipule des remboursements sous 30 jours !</t>
  </si>
  <si>
    <t>18/11/2019</t>
  </si>
  <si>
    <t>laure-62347</t>
  </si>
  <si>
    <t xml:space="preserve">Ils m'ont résilié après un mois parce que je n'avais pas été conductrice principale auparavant. J'avais payé 5 mois d'assurance. Ils ne m'ont RIEN remboursé. </t>
  </si>
  <si>
    <t>15/03/2018</t>
  </si>
  <si>
    <t>poucki91-99382</t>
  </si>
  <si>
    <t xml:space="preserve">Bonjour, je vous joins pour témoigner de la désorganisation la plus totale chez AFER.
Adhérente depuis plus de 25 ans, j'ai conseillé à mes deux fils d'adhérer au contrat d'assurance vie AFER fonds garantis euros. Ce qu'ils ont fait.  L'adhésion d'un de mes fils est erronée, sa ville de naissance est fausse, elle a été mal saisie. J'essaie de faire rectifier cette erreur potentiellement préjudiciable.
Mes deux fils ont ensuite chacun rempli un bordereau de versement, joint chacun un chèque, d'un montant différent pour éviter toute confusion, et posté le tout.
Une personne d'AFER a inversé les deux dossiers et a donc joint le mauvais chèque au mauvais bordereau de versement. Tout était donc faux : le prénom, le montant, le nom de la personne émettant le chèque...rien ne correspondait mais cela n'a surpris personne.
Depuis 2 mois cette situation dure. AFER a perdu un des chèque et ils ont conseillé à noter conseiller de nous demander de faire opposition!  Personne ne sait dire où est passé ce chèque d'une somme conséquente. 
Afer ne nous a pas prévenus de la situation et ne s'est  pas excusé. C'est notre conseiller qui nous a alertés, lui même prévenu par AFER tardivement. Il n'a rien pu faire pour arranger la situation.
La confiance est rompue. Nous allons retirer la grande majorité de nos avoirs.
est ce possible qu'un établissement qui pèse 5 milliards fasse preuve d'aussi peu de sérieux!
</t>
  </si>
  <si>
    <t>29/10/2020</t>
  </si>
  <si>
    <t>isabelle-65276</t>
  </si>
  <si>
    <t>Service client incompétent j ai pu les avoir une fois réponse Je ne sais pas consultez votre contrat pour connaître vos garanties un mois de retard aucune explication aucune réponse aux nombreuses demandes et aux mails que ce soit en ligne ou par courriers franchement je vais me mettre une alerte cette année pour éviter d'être réengagee et ne pas rater les délais de préavis et si Je trouve un autre site avis Je ne manquerai pas de déconseillé fortement voir fuir</t>
  </si>
  <si>
    <t>05/07/2018</t>
  </si>
  <si>
    <t>moea-m-107878</t>
  </si>
  <si>
    <t>Je suis satisfaite, demande effectuée en ligne, fluidité et facile d'utilisation, fonctionne clair et facile, tarif plus que correct, j ai souscrit une assurance habitation et scolaire</t>
  </si>
  <si>
    <t>24/03/2021</t>
  </si>
  <si>
    <t>christian-54976</t>
  </si>
  <si>
    <t xml:space="preserve">Assurance qui n'avait pas su évoluer face à une nouvelle génération de client. Et en plus on vous demande dans la dite enquête de satisfaction de justifier avec au moins 200 caractères. </t>
  </si>
  <si>
    <t>29/05/2017</t>
  </si>
  <si>
    <t>bouzidi-lakhdar-i-121886</t>
  </si>
  <si>
    <t>Très satisfait du service. Prix au top. Interlocutrice très aimable et professionel. Je n'ai qu'un souhait, c'est que cela soit le départ d'une très longue collaboration. Merci</t>
  </si>
  <si>
    <t>30/06/2021</t>
  </si>
  <si>
    <t>sylvain-53895</t>
  </si>
  <si>
    <t>décevant très très décevant, je ne conseil cette assurance à personne......</t>
  </si>
  <si>
    <t>06/04/2017</t>
  </si>
  <si>
    <t>01/04/2017</t>
  </si>
  <si>
    <t>bea-100477</t>
  </si>
  <si>
    <t>je reçois en oct qubil yaurai une augmentation aussitot je répond pas d accord puis pas de nouvelle je relance le 04nov pour résilier tjs ss réponse et aujourd'hui le 28 on m appelle pour dire que j avai jusqu'au 20 nov pr résilier que c trop tard je lui répond que j'ai fais retour le 4 par mail et on le replnd que maintenant il veule rien savoir je deconseille .un contrat s engagé ok mais eu ne mon pas repondu dans le délai alors que j aurai pu résilier.ah a la signature tt le monde est gentille pour info il s'en foute que vous êtes au chômage on doit être dans l endettement</t>
  </si>
  <si>
    <t>23/11/2020</t>
  </si>
  <si>
    <t>zola-m-117695</t>
  </si>
  <si>
    <t>très bien. COUT Appréciable. Les e-mails de rappel, communication très agréable..  SIite web facile d'utilisation. Toujours quelqu'un pour répondre rapidement à nos questions</t>
  </si>
  <si>
    <t>jean-francois-r-134192</t>
  </si>
  <si>
    <t xml:space="preserve">Je suis satisfait du service tout est super simple d’utilisation
Qualité prix imbattable,  service simple et rapide 
Service client très bien au top
Je recommande </t>
  </si>
  <si>
    <t>junting-h-115222</t>
  </si>
  <si>
    <t>bien si le prix était moins cher 
Il est préférable d'avoir des réductions pour les étudiants
Pourquoi l'assurance n'est-elle pas payée mensuellement? Je ne peux rembourser l'assurance d'un an à aucun moment.</t>
  </si>
  <si>
    <t>rajhi-i-121846</t>
  </si>
  <si>
    <t>Concernant le prix, il me convient, juste la gestion du contrat est n'est pas trop adapté à mes attentes je souhaitais avoir plus de réactivité avec les conseillers en ligne.</t>
  </si>
  <si>
    <t>jordan-c-122754</t>
  </si>
  <si>
    <t>Très satisfait, je recommande cette assurance, prix attractif et souscription rapide. Elle propose des options et s'adapte à notre utilisation :-)
Alors souscrivez!</t>
  </si>
  <si>
    <t>08/07/2021</t>
  </si>
  <si>
    <t>celine1308-94412</t>
  </si>
  <si>
    <t>Dégâts des eaux et bris de glace. Mon aquarium de 650 litres a fissuré.  J'ai souscrit l'option GARANTIES PLUS afin d'être mieux assuré notamment pour un bris de glace d'un aquarium. Suite au passage de l'expert, la MACIF de rembourse rien sur l'aquarium car d'après eux la fissure n'est pas accidentelle ; la cause est indéterminée. Nous ne savons  pas pourquoi il a fissuré : a t il eu un choc???Bref, la MACIF est bien tant qu'elle n'a pas besoin de dédommager ses clients. Nous comptons résilier dès ce mois ll'ensemble de nos contrats</t>
  </si>
  <si>
    <t>17/07/2020</t>
  </si>
  <si>
    <t>franck-c-131707</t>
  </si>
  <si>
    <t xml:space="preserve">Je suis enchanté du service client très bien expliqué merci a toutes l'équipe je recommande vivement AMV rapport qualité prix du simple aux double a très bientôt </t>
  </si>
  <si>
    <t>robert-76058</t>
  </si>
  <si>
    <t>Bonjour Cardif !
 Je viens un peu aux nouvelles car il y a déjà un bon moment que vous réétudiez mon dossier ! Alors on en ai où ? J'espère que vous avez bien toutes les pièces  aujourd'hui car la dernière fois vous étiez en attente d'un document concernant mon dossier ?? Ah bon !
Comme je sais que vous étés connectés sur ces commentaires je vous demande de prendre contact, disons dés demain 9 h , avec moi sur ma ligne fixe, afin que nous puissions faire un point ou carrément que vous me donniez votre accord de reconnaissance de maladie, non antérieure à la signature,  ce que montre les documents médicaux que vous avez en mains !
Je pense que le bon sens et la logique vous guide et que je ne suis pas qu'un doux rêveur et que vous allez reconsidérer la situation médicale dans laquelle je me trouve !
Dans l'attente de votre appel recevez mes cordiale salutation ! A bientôt de se parler  !
Robert Darrigrand
06 10 18 59 88 
05 59 65 63 21
r.darrigrand@gmail.com</t>
  </si>
  <si>
    <t>11/06/2019</t>
  </si>
  <si>
    <t>larbia75-75114</t>
  </si>
  <si>
    <t xml:space="preserve">Mon véhicule volé en juillet 2018, nous sommes en avril 2019, j'ai toujours pas été indemnisé le siège social ne répond pas au téléphone, c'est une catastrophe </t>
  </si>
  <si>
    <t>16/04/2019</t>
  </si>
  <si>
    <t>brandon62-104571</t>
  </si>
  <si>
    <t xml:space="preserve">A fuir !! 
J’ai souscrit une assurance auto en ligne fournit tout les documents nécessaire à la souscription et à l’heure d’aujourd’hui Le délais des 1 mois est dépasser je me retrouve donc sans assurance 
Pour les avoir au téléphone c’est un vrai combat ! 
J’ai pus rester 4h en ligne sans avoir quelqu un au bout du fil ou bien on m’a raccroché au nez 
Cela va se finir en justice je ne me laisserais pas faire 
Je ne comprend même pas comment ils peuvent avoir autant de client 
C’est scandaleux 
Fuyez cette boîte d’assurance </t>
  </si>
  <si>
    <t>22/02/2021</t>
  </si>
  <si>
    <t>david-r-122148</t>
  </si>
  <si>
    <t>étant jeune permis je trouve le prix très cher 120 euro par mois . Jai envie de m'acheter une voiture doit-je l'assuré chez vous? si un effort est fait niveaux prix je pense que je garderai mon contrat chez vous</t>
  </si>
  <si>
    <t>bruno-b-134210</t>
  </si>
  <si>
    <t>Je suis satisfait du tarif par rapport aux garanties, et de la rapidité de votre réponse.
Cela fait plus de 20Ans que j'avais toutes mes couvertures avec la même assurance. C'est donc une première avec Vous.
Bien à vous
Bruno BILHEUDE</t>
  </si>
  <si>
    <t>amelie-89972</t>
  </si>
  <si>
    <t>Vive l'efficacité! Le véhicule de mon compagnon, accidenté depuis le 07.02.2020, nous sommes le 27.05.2020, les travaux n'ont toujours pas commencé! La situation semble inextricable et je ne peux disposer de mon véhicule depuis bientôt 4 mois, je veux bien entendre que la situation sanitaire mondiale a causé quelques perturbations (entre le 16.03.2020 et le 11.05.2020), mais que s'est-il passé avant et après ces dates, pour que mon dossier reste à l'arrêt? Tous les interlocuteurs se renvoient la balle (assurance, expert auto, garagiste...), je dois visiblement me substituer au travail de mon assurance et faire l'intermédiaire entre tous les prestataires... je suis cliente depuis plus de 10 ans pas un retard dans le paiement de mes mensualités, 0 sinistre!! Que dois-t-on faire pour bénéficier d'un service correct dans ce dossier!</t>
  </si>
  <si>
    <t>27/05/2020</t>
  </si>
  <si>
    <t>bas62111-51706</t>
  </si>
  <si>
    <t xml:space="preserve">Est 2142578
Bonjour, 
je voudrais être recontacter par telephone par le service médical de la cardif.
En effet en invalidité catégorie 2 depuis 2014, on renvoyé voir un expert le 29/12/2016.ce dernier rend un rapport allant dans le sens où je ne suis pas consolidé ( je me déplace en fauteuil roulant)
 que je dois être revu par un chirurgien le 05 avril2017 pour me réopérer de mon genoux droit
 L expert m a orienté vers un confrère de la douleur à Amiens
Une scintigraphie prévue le 03/02/2017
Un irm prévu le 5/03/2017
Tout cela dans le but de me faire réopérer afin de ne plus me déplacer en fauteuil roulant.
Suite au rapport de l expert, qui va dans le sens de mon invalidité, le conseil médical de la cardif stop mes remboursements de crédits, à savoir environs 1700€ de crédits alors que ma pension d invalidité est de 595€.
Le calcul est vite fait.
Le conseil médical va à l encontre de l expertise qui a été faites.
</t>
  </si>
  <si>
    <t>26/01/2017</t>
  </si>
  <si>
    <t>marius-112378</t>
  </si>
  <si>
    <t>Pas très sérieux !
Relation avec la clientèle  : exécrable !!!!
Je pense avoir tout dit quand J'ai affirmé que la relation de mon assureur avec la clientèle est de mauvaise qualité !!!
Des jours entiers , il est impossible de les contacter !
Personnellement, je suis très déçu !!
Il n'y a pas que le prix qui est important , une relation correcte avec la clientèle, à mon avis , est aussi très importante !!!!!!</t>
  </si>
  <si>
    <t>02/05/2021</t>
  </si>
  <si>
    <t>imesh-100985</t>
  </si>
  <si>
    <t xml:space="preserve">Facile à contacter prix très compétitifs j'ai bénéficié d'une réduction sur l'année suivante  et les explications ont été a la hauteur de mes attentes
</t>
  </si>
  <si>
    <t>04/12/2020</t>
  </si>
  <si>
    <t>123-122464</t>
  </si>
  <si>
    <t>Adhésion simple, interlocuteurs très disponibles et professionnels, prix compétitifs.
Reste à voir au court et moyen terme. 
Et également le SAV au long cours.</t>
  </si>
  <si>
    <t>06/07/2021</t>
  </si>
  <si>
    <t>charly-13-97413</t>
  </si>
  <si>
    <t xml:space="preserve">Une véritable catastrophe !
un vrai parcours du combattant on envoie les documents il manque toujours quelque chose impossible d'avoir une personne qui suit votre dossier c'est un véritable labyrinthe 
Vous recevez des mails automatique qui contredisent ce que vous venez de faire ,pour les avoir au téléphone c'est un enfer .
A fuir
</t>
  </si>
  <si>
    <t>15/10/2020</t>
  </si>
  <si>
    <t>gdec2-63720</t>
  </si>
  <si>
    <t>Les tarifs sont chères et les garanties peu étendues... la réactivité depend des agents. En revanche il y a pas mal de partenariats permettant d avoir des réductions cinéma etc.
L application est bien faite.</t>
  </si>
  <si>
    <t>02/05/2018</t>
  </si>
  <si>
    <t>seydina-ousmane-t-131999</t>
  </si>
  <si>
    <t>Simple et pratique. Pas trop cher et le prix rentre dans mon budget pour une première assurance. Je recommanderai à mes proches cette assurance.
Elle est simple.</t>
  </si>
  <si>
    <t>bendrev-75075</t>
  </si>
  <si>
    <t xml:space="preserve">Explication très claire des garanties
Prise en compte des attentes </t>
  </si>
  <si>
    <t>15/04/2019</t>
  </si>
  <si>
    <t>fabien-g-116920</t>
  </si>
  <si>
    <t xml:space="preserve">je suis satisfait par ce service tres tres rapide et simple a utilisait je recomande vivement pour vous et vos proche dommage on et obliger de laisser un avis lol </t>
  </si>
  <si>
    <t>13/06/2021</t>
  </si>
  <si>
    <t>nelson68-79356</t>
  </si>
  <si>
    <t xml:space="preserve">Service client si j'aurais pu mettre zéro je l'aurais fait suite à une perte emplois j'avais demander à mon agence de passer du tous risque au tiers vue que le tous risque me fait trop chère on m'a envoyer balader en me disant que cela était pas possible en quoi je sais toujours pas mais pas possible selon eux j'ai demander plusieurs fois même discourt du coup j'ai pas pu payer les mensualités je me suis retrouver résilier pour non payement super de la plus assurance et même pas de relever information c'est seulement 3 ans après du fait de mon travail que un employer de la macif qui était dans une autre agence en racontant ma problématique avec leurs enseigne qui a fait le nécessaire pour me fournir au moins le relever information je le remercierai jamais assez cette homme enfin un à qui le mot client même sis c'est plus le cas veux dire quelque chose résultat je doit trouver une assurance pour maluser alors que l'erreur venait de eux avec un bonus de 0,85 super et en plus il m'avoue qles gars je vous remercie pas ue l'agence où jetait avait eux beaucoup de souci de ce type et que le chef agence c'est fait licencier au vue des plainte ben bravo je vous remercie pas </t>
  </si>
  <si>
    <t>khalid-g-133179</t>
  </si>
  <si>
    <t xml:space="preserve">Je suis satisfait d’être assuré chez vous et j’ai le plaisir de vous connaître vous êtes bien réputé dans le marché des assurances et j éspere avoir une bonne relation avec vous </t>
  </si>
  <si>
    <t>nad54-85314</t>
  </si>
  <si>
    <t xml:space="preserve">Refus prise en charge invalidité </t>
  </si>
  <si>
    <t>28/12/2019</t>
  </si>
  <si>
    <t>lo-96289</t>
  </si>
  <si>
    <t xml:space="preserve">A éviter absolument. Franchises prohibitifs, (même sur les bris de glace), impossibilité d avoir un conseiller dans un délais correct (18 appels avec 10 mn d attente à chaque coup de fil en une journée avant de pouvoir joindre quelque un !!!).
Au lieu de faire des centaines de pub TV il serait bien de s occuper des clients. J ai résilié pour une assurance plus proche de ses adhérents (et seulement pour quelques euros de plus par an !) </t>
  </si>
  <si>
    <t>13/08/2020</t>
  </si>
  <si>
    <t>vincent-v-128860</t>
  </si>
  <si>
    <t>Trés satisfait, par contre il serait plus simple (avec notre autorisation) de pouvoir demander le document de validation d'infirmations directement à l'assureur (je pense que cela serait possible)
Cordialement</t>
  </si>
  <si>
    <t>linajade95-75483</t>
  </si>
  <si>
    <t>J'aimerai savoir qui a déjà souscrit à l'assurance Avizen. Moi j'ai été mis en invalidité catégorie 2 et j'ai été licencié également pour inaptitude professionnelle. Et mon assurance refuse de m'indemniser la garantie invalidité pour raison suivante: je ne suis pas en IPT alors que je souffre chaque jour de mes douleurs!</t>
  </si>
  <si>
    <t>30/04/2019</t>
  </si>
  <si>
    <t>moro-franck-123634</t>
  </si>
  <si>
    <t xml:space="preserve">Après 41 ans assure à la Mat Mut sans aucun accidents donc plusieurs véhicules et deux résidences assurés, suite à un sinistre survenu à ma résidence secondaire par un tiers à ce jour la Mat Mut est incapable de me faire effectuer un devis pour une reprise du ravalement, motif il n'ont aucune entreprise pour cette retouche qui concerne le ravalement réponse c'est à moi de trouver une entreprise en pleine période de vacance juste une reprise de 20 cm   écœuré.. No comment. </t>
  </si>
  <si>
    <t>16/07/2021</t>
  </si>
  <si>
    <t>damien-l-128979</t>
  </si>
  <si>
    <t xml:space="preserve">Très bien, ce fut très rapide. J'ai fait un devis sur les furets et j'ai contractualisé très rapidement. Le site est très pratique et simple. Merci beaucoup. </t>
  </si>
  <si>
    <t>21/08/2021</t>
  </si>
  <si>
    <t>jerome-d-130958</t>
  </si>
  <si>
    <t xml:space="preserve">je suis satisfait de vos service et je recommande la g m f a tous mes amis et famille                                                                merci </t>
  </si>
  <si>
    <t>solene-97257</t>
  </si>
  <si>
    <t>Personne  du service client téléphonique a l ecoute qui répond parfaitement aux questions et sait trouver  des solutions  rapidement  et efficacement.</t>
  </si>
  <si>
    <t>jerome-c-112870</t>
  </si>
  <si>
    <t>PRIX SATISFAISANT
MALGRE UN BONUS ETRANGER ACQUIS MAIS NON REPRIS EN TOTALITE. DOMMAGE J AURAI APPRECIE UNE REPRISE TOTAL DE MON BONUS ACQUIS AU COURT DES DERNIERES ANNEES</t>
  </si>
  <si>
    <t>06/05/2021</t>
  </si>
  <si>
    <t>ait-abba-a-139452</t>
  </si>
  <si>
    <t xml:space="preserve">Je suis content d'être parmi à vos côté et et d'être previliege professionnalisme merci cordialement.......
A se jours je vous prépare les les papier demandé </t>
  </si>
  <si>
    <t>12/11/2021</t>
  </si>
  <si>
    <t>rachid70-98581</t>
  </si>
  <si>
    <t>Suite à des dégâts causés par une fuite de canalisation de radiateur située sous le plancher ,En janvier 2020, j'ai pris attaché avec mon assureur la Macif. Un mois plus tard , n'ayant aucun artisan à me proposer pour faire une recherche non destructive j'ai dû me débrouiller pour en trouver un par mes propres moyens. j'ai dû négocier avec lui ses honoraires d'intervention afin que cela entre dans leur barème de prix. En mars 2020 la fuite est détectée, j'avance le règlement des honoraires qui ne me seront remboursés que quelques mois plus tard. Je fais intervenir un plombier pour réparer la fuite à ma charge. Ce n'est qu'en mai 2020 qu'un expert est nommé pour évaluer les dégâts causés par la fuite de canalisation et ceux causés par le plombier pour réparer la fuite. En effet cette intervention avait causé un gros trou au milieu du couloirs. Je signale que j'avais fait des travaux de rénovation dans l'ensemble de la maison 3 mois auparavant et que j'avais posé un parquet et une peinture de qualité haute. L'expert ne s'étant pas déplacé faute de covid, les constatations se sont faites par WhatsApp. Le rapport d'expertise n'a été rendu que vers fin juin. L'etude faisait apparaître un taux de vétusté de plusieurs années et le montant des réparations évalués par l'expert n'atteignait pas le prix du parquet à lui seul sans compter la colle, la peinture des murs et la main d'oeuvre . Avec l'entreprise nommée par leur soin pour faire les travaux nous avons contesté l'évaluation de l'expert en août 2020. Nous sommes maintenant en octobre 2020 et l'expert n'est pas repassé pour faire une contre expertise et les travaux ne sont toujours pas fait. J'ai fait une réclamation à la Macif en leur rappelant que j'avais toujours un trou au milieu du couloir et que les enfants se sont blessés à plusieurs reprises. Je reste dans l'attente de la réaction du service réclamation de la Macif depuis 3 semaine. J'envisage de faire intervenir le médiateur d'ici peu.</t>
  </si>
  <si>
    <t>10/10/2020</t>
  </si>
  <si>
    <t>philippe-m-121836</t>
  </si>
  <si>
    <t>Le prix me parait cher pour l assurance de ce petit véhicule de 8 ans,
il pourrait être revu à la baisse au fil des années d'autant que nous avons deux contrats chez direct assurance.</t>
  </si>
  <si>
    <t>gucciardi-m-113309</t>
  </si>
  <si>
    <t xml:space="preserve">Procédure de transition facilitée par la loi HAMON. 
Prix correct au regard de la concurrence.
Semble OK. Service à voir au fur à mesure de la vie du contrat. 
</t>
  </si>
  <si>
    <t>abonaglia33-64627</t>
  </si>
  <si>
    <t xml:space="preserve">si vous avez le tiers payant, pas de problème particulier, en revanche, quand vous n'en bénéficiez pas, il faut les relancer sans cesse pour obtenir les remboursements. Parfois plusieurs mois entre la demande et le résultat, une catastrophe.  </t>
  </si>
  <si>
    <t>09/06/2018</t>
  </si>
  <si>
    <t>01/06/2018</t>
  </si>
  <si>
    <t>nath-67220</t>
  </si>
  <si>
    <t xml:space="preserve">Une honte !! cliente depuis 30 ans pour la voiture et 20 ans pour la maison je viens purement et simplement de me faire "virer" car en 5 ans j'ai subit un orage de grêle (comme si cela était de ma faute) et un dégât des eaux (fuite sous le carrelage), bref alors que j'ai vu un conseiller en début d'année qui m'a dit que tout allait bien là on me jette en me disant que de toute façon il n'y avait rien à faire en dépit de ma fidélité depuis 30 ans. La MAAF tant que l'on paye ça va, en revanche s'ils doivent faire leur boulot à savoir rembourser en cas de sinistre, là c'est dehors !!! </t>
  </si>
  <si>
    <t>stef-75247</t>
  </si>
  <si>
    <t>Un problème de hausse de tarifs , résolu par Lucie , au Top.</t>
  </si>
  <si>
    <t>louis-63211</t>
  </si>
  <si>
    <t xml:space="preserve">Bonjour, après avoir souscrit une assurance moto chez Assur Bon Plan le 21/03/2018, je n'ai plus aucune nouvelle! La souscription s'est bien passée, le paiement des 200 euros à été très vite encaissé, de ce coté la ils sont efficace! Aujourd'hui le 12/04/2018, je n'ai toujours pas ma vignette! après une dizaine d'appel, toujours rien, la réceptionniste ne fais que transmettre l'information à ses collègues.  J'ose pas imaginer leur délais de traitement en cas d'accident. Assurances à éviter! </t>
  </si>
  <si>
    <t>jeremy-m-110013</t>
  </si>
  <si>
    <t xml:space="preserve">Prix qui on augmenter au fils des années, mêmes sans sinistres,
En cas de problème franchise toujours élevé ou voir des clauses qui ne son pas prix en charge et dont on nous parle pas à la souscription. dégât électrique par exemple ! 
prix qui augmente également pendant un confinement national ou le véhicule est rester au garage pendant des mois. </t>
  </si>
  <si>
    <t>11/04/2021</t>
  </si>
  <si>
    <t>charlotte-71114</t>
  </si>
  <si>
    <t xml:space="preserve">J'ai eu un accident de la circulation le 12/12/2017, percuté par un automobiliste qui a pris la fuite. J'ai été blessée et depuis 14 mois, le service sinistre attend toujours le PV du parquet (14 mois pour obtenir un PV de délit de fuite)..........je les ai appelé plusieurs fois, j'ai l'impression de les déranger et toujours la même réponse !!!! scandaleux et honteux de la part de la GMF dont je suis sociétaire depuis plus de 40 ans !!!! j'ai 4 contrats à la GMF, si cela perdure, je prendrai des dispositions pour m'assurer ailleurs et c'est très dommage </t>
  </si>
  <si>
    <t>08/02/2019</t>
  </si>
  <si>
    <t>blanche66-56362</t>
  </si>
  <si>
    <t xml:space="preserve">L'olivier applique arbitrairement des augmentations annuelles exorbitantes (sans aucun sinistre déclaré dans l'année) : ma coti lors de la souscription était de 473€ et elle vient tout bonnement de passer à 853€ !!!! COMMENT est-ce possible de justifier près de 400€ d'augmentation quand on prétend geler ses tarifs en 2017 ?? J'ai cru à une vulgaire erreur mais non non mon interlocuteur chez L'olivier m'a bien confirmé que sous prétexte des événements écoulés au niveau régional et national c'était bien le montant de ma nouvelle coti !!! Mais SOS L'olivier c'est juste une mauvaise blague pour attirer les clients avec des bas prix pour mieux les assommer la 2ème année ! Ce que je comprends pas c'est pourquoi la presse spécialisée ne les affichent pas pour ce qu'ils sont au lieu de cautionner leur mensonges en relayant leur soit-disant politique de gel des tarifs....
Tout cela me dépasse,  j'ai plus que 3 jours pour résilier mais ce sera fait sans hésitation, et gare à la pub que je vais vous faire !!
J'espère que le traitement de ma résiliation ne sera pas compliqué car j'ai lu des commentaires qui m'inquiètent un peu... </t>
  </si>
  <si>
    <t>29/07/2017</t>
  </si>
  <si>
    <t>diatta-s-110301</t>
  </si>
  <si>
    <t>Je suis satisfait du prix et des services proposés, mais je préférerais avoir un meilleur prix car ma voiture ne dispose pas beaucoup de chevaux. Cependant, vos prix sont meilleurs que la concurrence.</t>
  </si>
  <si>
    <t>marjorie-c-135334</t>
  </si>
  <si>
    <t xml:space="preserve">Topissime !!! Service rapide. Prix abordable. Je recommande direct assurance car le montant des cotisations est le plus bas du marché avec des garanties les plus hautes. </t>
  </si>
  <si>
    <t>didier-c-107296</t>
  </si>
  <si>
    <t>Prix correct (c'est toujours trop cher .... :-) , parfois un peu long à atteindre par téléphone mais service très pro, bon suivi de dossiers. Personnel compétent</t>
  </si>
  <si>
    <t>20/03/2021</t>
  </si>
  <si>
    <t>thierry-a-124331</t>
  </si>
  <si>
    <t>Bonjour, je suis satisfait de AMV mais j'aurais aimé avoir une personne en ligne pour effectuer le changement de contrat et avoir des conseils sur les différentes options</t>
  </si>
  <si>
    <t>dams-122005</t>
  </si>
  <si>
    <t xml:space="preserve">Mutuelle réactive et qui répond présente en cas de soucis.
Mes sollicitations ont toutes trouvé une issue favorable et la maif a gérer parfaitement les dossiers
</t>
  </si>
  <si>
    <t>lilou-58460</t>
  </si>
  <si>
    <t xml:space="preserve">Je n'ai jamais eu aucun pb avec Metlife. Les personnes qui s'occupent de la plateforme sont très compétents et les délais sont satisfaisants.
Je recommande fortement.
Bien moins cher que leurs concurrents </t>
  </si>
  <si>
    <t>lga35-58394</t>
  </si>
  <si>
    <t>Les tarifs ne sont pas les plus compétitifs</t>
  </si>
  <si>
    <t>sylvie-sissi-58774</t>
  </si>
  <si>
    <t>Aberrant,  fin juillet 2019 je saisi l'assurance pour la futur prise en charge de.mon crédit sachant que je vais être arrêter plus de 6mois. L'indemnisation devait commencer mi octobre 2019, a l'heure d'aujourd'hui le 23 février 2020 mon dossier n'est toujours pas traité !!!! Toute les semaines j'appelle et je n'ai jamais le discours. .. soit c'est une attention employeur qui manque , soit un papier de la.banque non fourni ..    ce sont des menteurs tout ces papiers ont été envoyés par email, par envoi postal en AR et plusieurs fois ...   C'est une honte inadmissible!!!! ASSUREUR A FUIR !!!!!</t>
  </si>
  <si>
    <t>23/02/2020</t>
  </si>
  <si>
    <t>moi-m-107408</t>
  </si>
  <si>
    <t>la franchise même en tous risque  trop importante limite choquante  , je pense pour ce prix , nous payons la vignette , en espérant que rien n arrive .</t>
  </si>
  <si>
    <t>raymond-ausseray-61231</t>
  </si>
  <si>
    <t>La MatMut est loin d'être la moins chère, mais quand ont sait ce qu'il arrive à ceux qui courent après les rabais</t>
  </si>
  <si>
    <t>07/02/2018</t>
  </si>
  <si>
    <t>magali-m-111861</t>
  </si>
  <si>
    <t>Je suis satisfaite du service. Cependant, comme déjà signalé, attention à vos garages partenaires qui ne jouent pas le jeu. Quand on paye des suppléments pour avoir une voiture de remplacement on ne s'attend pas a devoir rouler avec une presque épave !</t>
  </si>
  <si>
    <t>mickael-j-123362</t>
  </si>
  <si>
    <t xml:space="preserve">Bien voir la suite ......    je me ferai une idées plus tard je me suis jamais assurer sur le net jattend bcp de cette expérience pour assurer mon père </t>
  </si>
  <si>
    <t>13/07/2021</t>
  </si>
  <si>
    <t>cb-42300-56494</t>
  </si>
  <si>
    <t xml:space="preserve">Démarchage téléphonique honteux  de personnes agees
Harcellement pour leur faire résilier leur contrat et les prendre comme nouveaux clients.
cela est sont des méthodes lamentables pour partie sous traitées à SAMASSURE courtier </t>
  </si>
  <si>
    <t>05/08/2017</t>
  </si>
  <si>
    <t>bruno-vetel-103652</t>
  </si>
  <si>
    <t xml:space="preserve">Objet demande de rachat après liquidation judiciaire.
Transmission de la demande par le site internet en demandant si il y a besoin d'une LRAR. Pas de réponse. Après quinze jours deux mails et un appel téléphonique, on m'annonce qu'il faut une signature. Envoi de tous les documents en LRAR. Appel téléphonique demandant une attestation sur l'honneur de fin d'activité par mail et 6 jours après toujours pas de nouvelles. Le contactweb est il la pour faire croire que le dossier est traité ?
</t>
  </si>
  <si>
    <t>04/02/2021</t>
  </si>
  <si>
    <t>jicky-74511</t>
  </si>
  <si>
    <t>contact excellent , explications claires et nettes, bravo à lissa  ,remboursements assez rapides, dans l'ensemble.
je vous souhaite bonne réception de la présente
michelle vanderstraeten</t>
  </si>
  <si>
    <t>aissiouane-o-129839</t>
  </si>
  <si>
    <t xml:space="preserve">Merci à Florence que j'ai eu au téléphone, qui m'a très bien expliqué et a répondu à toutes mes interrogation et aussi très sympathique.
C'était claire et rapide.
 </t>
  </si>
  <si>
    <t>bernard-m-107260</t>
  </si>
  <si>
    <t xml:space="preserve">Les démarches sont très simples et rapides par le site internet et les conseillers et les conseillères, au téléphone, sont efficaces et sympathiques. 
</t>
  </si>
  <si>
    <t>corsand-70416</t>
  </si>
  <si>
    <t>Aucune nouvelle de mon sinistre depuis 8 mois. Pas possible de joindre le service sinistre par téléphone, ne répondent à aucun mail, je ne suis toujours pas remboursé de mon accident.</t>
  </si>
  <si>
    <t>chipie2009-121499</t>
  </si>
  <si>
    <t>bonjour, 
je suis adhérente chez santevet depuis plus de 10 ans. en ce moment, j'ai 7 chats assurés dont un qui souffre d'arthrose du dos et qui nécessite des soins mensuels (laser et injections). je n'ai jamais eu de problèmes de remboursements (90% des frais chaque fois ) virés sous 48 heures. je ne trouve pas que les cotisations aient augmenté de manières considérables (pas plus que nos mutuelles personnelles) 
j'ai un plafond de 2200 euros par chat et par an en formule Premium 
je ne comprends  donc pas tous ces avis négatifs, le taux de remboursement est fonction du contrat souscrit.
il suffit de faire la comparaison avec les autres assurances animales (certes moins chères) qui ne remboursent rien avec des franchises à chaque remboursement. Santevet n'a qu'une franchise annuelle.
de plus, conseiller faciles à joindre 
quoiqu'il en soit pour ma part satisfaction +++
I. B.</t>
  </si>
  <si>
    <t>29/06/2021</t>
  </si>
  <si>
    <t>fanina-66078</t>
  </si>
  <si>
    <t xml:space="preserve">Bonjour,
Je vois que je ne suis pas la seule dans ce cas vu tous les avis négatifs, je suis dans le même cas que la personne précèdente.
Mon avis est que c est une compagnie a évité.
Cordialement.
</t>
  </si>
  <si>
    <t>08/08/2018</t>
  </si>
  <si>
    <t>walid-o-132660</t>
  </si>
  <si>
    <t>Il est un peu tôt pour parler du service non ? je viens juste de m'inscrire et de payer... On verra plus tard quand vous me serez ( peut-être ) utile, là on parlera de votre service :)</t>
  </si>
  <si>
    <t>nedrinas-138303</t>
  </si>
  <si>
    <t xml:space="preserve">C'est une assurance qu'il faut fuir à tout pris!!!! Car dès que votre animal nécessite des soins réguliers, il leur coûte de l'argent, donc ils augmentent vos cotisations mensuelles de 100% l'année suivante!!!, et rebolote l'annéee d'après, encore 100% !!!+ une augmentation de 15% dès que votre animal fête ses 10 ans!!!!!! une honte cette assurance! et dès que vous leur mettez un avis négatif, ils vous virent comme un malpropre!!! </t>
  </si>
  <si>
    <t>26/10/2021</t>
  </si>
  <si>
    <t>malika-d-126482</t>
  </si>
  <si>
    <t>site internet simple, conseiller au téléphone qui apporte des réponses clairs et précises, tarifs intéressants, à voir les prochaines années et les prises en charges.</t>
  </si>
  <si>
    <t>franck-g-121529</t>
  </si>
  <si>
    <t>Simple et très pratique pour un grand nombre de services.
Permet un gain de temps important tant pour payer comme pour demander un renseignement ou contracter un nouveau service.</t>
  </si>
  <si>
    <t>julie-104216</t>
  </si>
  <si>
    <t xml:space="preserve">Je suis très déçue par cette assurance !!! J’ai subit un vandalisme sur mon véhicule le 18/12/2020 . Devant un collège mon véhicule a été taggé de dessins obscènes sur le capot et sur les 4 portières . Nous avons porté plainte auprès de la police et fait notre déclaration auprès de la matmut en remplissant tous les papiers nécessaires. Il y a 3 jours je reçois une lettre de la matmut pour m’informer que le sinistre ne sera pas indemnisé par l’assurance car nous n’avons pas déclaré des rayures sur les pare choc avant et arrière . Or ces parties du véhicule n’ont rien à voir avec celles qui ont été vandalisées et nous ne demandions que la prise en charge des parties vandalisées et non  de la voiture entière .il semblerait que tous les moyens sont bons pour ne pas indemniser les sociétaires .  Je me retrouve donc à rouler avec une voiture avec des dessins obscènes ! Je paie une assurance tout risque pour ne pas être indemnisée en cas de sinistre et je trouve cela honteux . </t>
  </si>
  <si>
    <t>15/02/2021</t>
  </si>
  <si>
    <t>verone-82097</t>
  </si>
  <si>
    <t>un personnel très à l écoute et très soucieux de satisfaire la demande du client</t>
  </si>
  <si>
    <t>19/12/2019</t>
  </si>
  <si>
    <t>dgp-76732</t>
  </si>
  <si>
    <t>Il y a quelques jours j'aurais dit que la macif est un très bonne assurance. A ce jour je ne conseillerai à personne la macif. 14 ans que nous sommes assurés à la macif, tous nos véhicules et moto on allait passer la maison, sauf que la semaine dernière à cause du vent la portière de mon véhicule à touche celle d'un autre véhicule le choc ne se voit même pas, le conducteur étant en véhicule de société on fait un constat pensant qu'après toute cette ancienneté et en tant que bon client sans aucun incident en 14 ans on aurait pas de malus. Et bien non être fidèle à la macif ça ne sert à rien,  mon conseiller qui me dit c est la règle chez macif je peux rien faire ni sur votre malus de 14% (Au téléphone on nous dit 25% on comprend rien) ni sur les futurs tarifs. Donc quand on a un probleme ne comptez pas sur la macif. Quel est l'intérêt d'avoir des agences et des conseillers ??? Je ne comprends pas à quoi ça sert pour ma part ils sont inutiles dans tous les cas après 14 ans de fidélité je quitte cette assurance, surtout évitez la macif ils n'aiment pas les clients fidèles.</t>
  </si>
  <si>
    <t>12/06/2019</t>
  </si>
  <si>
    <t>azkara-65454</t>
  </si>
  <si>
    <t>pour une simple résiliation: 2 déplacements en agences, 4 appels téléphonique, 2 recommandés avec AR, et en retour: rappel d'impayé, mise en demeure et pour finir service contentieux, la MACIF a un très gros problème</t>
  </si>
  <si>
    <t>debira-m-113241</t>
  </si>
  <si>
    <t>RAS MEILLEUR PRIX SUR INTERNET? CONSEILLER PAR LE LYNX  ET UN AMI QUI M'A PARRAINNEE, je recommande largement cette assurance par rapport a mon ancienne assurance qui est plus cher pour les meme garanties</t>
  </si>
  <si>
    <t>seco-76748</t>
  </si>
  <si>
    <t xml:space="preserve">Contrat résilié car je n'ai pas reçu ma nouvelle carte grise dans les délais par l'Ants. Du coup, je me suis retrouvé sans assurance. Direct assurance m'a prélevé 3 mois d'accompte et résilié le contrat au bout de 2 mois, au final je reçois un courrier recommandé pour me dire qu'il rembourse 2,60 euros. </t>
  </si>
  <si>
    <t>13/06/2019</t>
  </si>
  <si>
    <t>kessy-137438</t>
  </si>
  <si>
    <t xml:space="preserve">je souhaite resilier mon contrat avec vous car la personne qui s'est occupée de moi n'a pas compris mes besoins. je paye très cher pour des remboursement minime.
De ce fait merci de me confirmer la résiliation immédiate de mon contrat.
Je tiens à vous informer que Je vais faire opposition sur mon compte bancaire pour tout prélèvement de votre organisme.
Je n'hésiterai en aucun cas d'entamer ces démarches auprès du TGI ainsi que de l'ACPR si je n'ai pas de courrier de confirmation de votre part dans les 8 jours.
 </t>
  </si>
  <si>
    <t>14/10/2021</t>
  </si>
  <si>
    <t>fabien-l-107110</t>
  </si>
  <si>
    <t>- Je ne comprends pas l'augmentation de ma prime d'assurance pour la période 2021/2022 à venir alors que je n'ai déclaré aucun sinistre responsable sur la période écoulée 2020/2021, pour laquelle la sinistralité a globalement fortement diminuée en raison du contexte sanitaire et de la pratique généralisée du télétravail, moi y compris ... et c'est chaque année la même chose.
- Espace client très mal conçu : aucun accès à l'historique des messages que j'envoie, parfois aucune réponse aux messages envoyés, mon nom apparait deux fois dans la liste des membres quand je me connecte sur l'espace client en utilisant mon iPad, je vois deux numéros de contrats auto à mon nom quand je me connecte sur l'espace client en utilisant mon iPad.</t>
  </si>
  <si>
    <t>beafal83-66752</t>
  </si>
  <si>
    <t xml:space="preserve">Client depuis 1991 avec un bonus à vie on refuse la réparation du véhicule de mon époux que l on a retrouvé embouti sur un parking d un magasin de bricolage l expert dit que le véhicule était en circulation n importe quoi en fait pour être rembourser il ne faut pas dire la vérité à la Maaf mais n importe quoi si on veut être rembourser c est le deuxième sinistre mais j en ai assez car je ne peux compter sur eux je ne vais pas les assigner à chaque fois pour voir afin mes droits reconnus  je téléphone demain et si pas de retour vu que l honnêteté n est pas récompensée je résilie les 2contrats auto les 4 contrats habitation et les assurances scolaires </t>
  </si>
  <si>
    <t>11/09/2018</t>
  </si>
  <si>
    <t>camille-l-124515</t>
  </si>
  <si>
    <t>Je suis satisfaite des tarifs.
Je suis satisfaite de la rapidité à être assurée et aussi de la facilité à m’assurer.
Je recommande April Moto a tous depuis que j’ai obtenue mon permis.</t>
  </si>
  <si>
    <t>laura2006-55805</t>
  </si>
  <si>
    <t xml:space="preserve">Bonjour, 
En 2006, j’ai pris une assurance emprunteur auprès d’April Assurances pour deux prêts. 
Depuis 2006 cette société applique une surprime mensuelle de 75% soit 340,44 € pour cause d’obésité. 
Le « petit » prêt est terminé. 
Le « gros » prêt est remboursé aux 2/3 (fin en 2021) et pourtant la surprime mensuelle ne diminue pas.
Fin novembre 2016 j’ai subi un Bypass pour améliorer ma santé.
Le 14 mars 2017 J’ai informé April  (gestion@april.com) que mon IMC était de 30 au lieu de +43. On m’a dit d’attendre 7 semaines pour obtenir une réponse. 
Le 25 mars Sans nouvelles d’April, j’ai appelé le service clients et reçu un questionnaire qui a été rempli et renvoyé dans la journée. On m’a alors demandé d’attendre 3 semaines supplémentaires.
Le 12 juin, Aucune réponse suite à l’envoi du questionnaire rempli. J’ai décidé d’adhérer à UFC Que Choisir Association de défense des Consommateurs, mon interlocuteur a confirmé qu’il était anormal qu’April continue d’appliquer une surprime pour une personne ayant un IMC à 28.
Le 15 juin, le médecin a établi un certificat médical qui confirme que mon IMC est de 28.
Le 21 juin: Réaction d’April soit 12 semaines d’attente en lieu et place des 3 annoncées le 25 mars. La surprime ne serait plus « que » de 50%. Cette proposition me semble discriminatoire, je cherche un interlocuteur légal et impartial qui puisse me dire que faire pour qu’April respecte mes droits d’assurée.  
 La SURprime serait enfin dégressive alors qu’elle ne l’a pas été pendant dix ans et diminuerait en fonction des montants restant à assurer. 
Elle aurait dû être dégressive depuis le début en 2006. 
Depuis le 14 mars quatre prélèvements de 340,44€ ont eu lieu.
Ce 11 juillet mon IMC est de 28, je n’ai JAMAIS eu de diabète 1 ou 2. 
AUCUN traitement médical, Pas de tabac, Pas de vapotage, Pas d’alcool. Toujours pas de diabète 1 ou 2. Depuis 2016 je fais de 12 à 15 000 pas chaque jour. Alors pourquoi cette surprime de 50% ?
Et ce n’est pas fini, mon objectif est d’atteindre un IMC de 23 d’ici fin 2017 et de m’y tenir. April sera averti si je suis encore cliente. 
</t>
  </si>
  <si>
    <t>11/07/2017</t>
  </si>
  <si>
    <t>gbrv31-71555</t>
  </si>
  <si>
    <t xml:space="preserve">Un assureur responsable agence Aux pratiques cavalieres et agressives pour vous revoir les garanties pourtant signees et avis d’echeance en bonnes et dues formes 
Soit disants des événements Sur mon dossier alors qu’Un simple appel pour renseignement sans déclaration de sinistre se compte comme un evenement chez lui
ce responsable est par ailleurs hautain imbu de sa personne et meprisant
je change de cremerie Adieu la Maaf 
 pourtant satisfaite de leur service plateforme telephonique </t>
  </si>
  <si>
    <t>22/02/2019</t>
  </si>
  <si>
    <t>madoudou-62072</t>
  </si>
  <si>
    <t xml:space="preserve">Bonjour - Au 1er septembre 2017, j'ai eu la chance (?) de partir à la retraite malgré mes 59 ans. De ce fait, plus d'I.J. de la CPAM, donc plus de rbt de la part de la CARDIF. J'ai demandé à ma caisse de retraite de me délivrer 1 attestation "inaptitude" au vu de mon âge et de mon dossier. La Caisse de retraite m'a répondu par la négative car elle ne délivre ce document qu'aux PERSONNES AGEES DE PLUS DE 62 ANS !!! UBUESQUE ! Et pourtant, c'est ce que je vis ! 
En espérant que ma demande de révision se fasse rapidement ...
</t>
  </si>
  <si>
    <t>13/03/2018</t>
  </si>
  <si>
    <t>jcb-63155</t>
  </si>
  <si>
    <t>je suis en galère depuis sept 2017 !!avec AXA FLUVIAL 
depuis que j'ai déclaré un sinistre sur mon bateau. M Zunino mon courtier AXA de Paris se bat avec AXA FLUVIAL pour faire valoir mes droits j'ai dépensé plus de 20000 € pour être remboursé 2000 € moins la franchise de 200 € je suis chez AXA pour toutes mes assurances depuis 20 ans.J'ai alerté le service client par mail et je n'ai pas eu de réponse.</t>
  </si>
  <si>
    <t>03/05/2018</t>
  </si>
  <si>
    <t>enduro05-50534</t>
  </si>
  <si>
    <t xml:space="preserve">Donc je regrette de le dire mais c'est une assurance à FUIR très rapidement. 
Aujourd'hui cela représente plus 8600€ qui sont dans la nature pour moi.
+ de 15 ans d'assurance chez AMV sans sinistre. et la 30 Octobre 1er accident responsable mais et pas de tiers. déclaration faite, je reçoit rapidement les papier à compléter. rendez vous le 9 novembre avec l'expert. plus de 15 jours sans nouvelle. C'est donc au client de relancer les différents intervenants. Donc je relance l'expert j'envoi les documents en double exemplaire à Amv et à l'expert. La moto est déclarée non réparable. je rappel pour avoir des nouvelles, je cede mon véhicule à Icare, Icare m'envoi un courrier en me disant que le véhicule n'as pas pu être récupéré, je les rappelle, finalement le véhicule à bien été récupéré le 14 décembre. aujourd'hui le 21 décembre je rappelle pour avoir des nouvelles, Amv me dit qu'il sont dans l'attente des documents d'Icare.... Bref c'est très très long, entre chaque étapes il se passe de longues semaines et si le client ne rappelle pas les intervenants pour relancer il ne se passe rien.
Quand je lis les commentaire de certain je désespère d'être remboursé un jour, et on ne peut pas faire grand chose car tous ce passe par téléphone. Je vais quand même me renseigner auprès d'une association de consommateur pour voir si il a des démarches à faire pour accélérer le remboursement.
</t>
  </si>
  <si>
    <t>21/12/2016</t>
  </si>
  <si>
    <t>raymond-j-134692</t>
  </si>
  <si>
    <t>je suis satisfais du service rapide et efficace claire maintenant je reste très attentif aux déroulement du service et surtout sur votre réactivité...</t>
  </si>
  <si>
    <t>emilie49650-85538</t>
  </si>
  <si>
    <t>Besoin d'un renseignement , très bien accueillit par téléphone par Gwendal. J'ai déjà contacté plusieurs fois le service et Toujours bien accueillit et mes demandes sont traitées.</t>
  </si>
  <si>
    <t>06/01/2020</t>
  </si>
  <si>
    <t>mimi65-101995</t>
  </si>
  <si>
    <t>Je suis adhérente MGP depuis 23 ans et j'en suis très contente.
Les mensualités sont assez élevées  mais en contrepartie le remboursement des soins est satisfaisant.
Les conseillers sont très serviables et très agréables.</t>
  </si>
  <si>
    <t>30/12/2020</t>
  </si>
  <si>
    <t>zdiri-b-107103</t>
  </si>
  <si>
    <t xml:space="preserve">Je suis très satisfait , espace abonné simple et rapide , les conseillers sont très sympas au téléphone, en plus des prix très raisonnable , merci et bonne continuation </t>
  </si>
  <si>
    <t>ahmed--b-129964</t>
  </si>
  <si>
    <t xml:space="preserve">Je suis bien satisfait niveaux prix et garantie les deux c'est bien correct par rapport à d'autres compagnies d'assurance 
J'espère que ça va durer comme ça </t>
  </si>
  <si>
    <t>benchaa-a-116785</t>
  </si>
  <si>
    <t xml:space="preserve">J’ai été bien orienté vers l’assurance la mieux adapter. Très contente de l’accueil et des prix ainsi des garanties proposer par l’olivier assurance. </t>
  </si>
  <si>
    <t>11/06/2021</t>
  </si>
  <si>
    <t>flo200776-81740</t>
  </si>
  <si>
    <t xml:space="preserve">Plusieurs soucis. J'ai souscrit à une mutuelle de groupe avec mon employeur et Santiane a bien voulu me résilier mais m'a fait payé un mois complet alors que j'avais envoyé les papiers avant la fin du mois d'avant. De plus, il est impossible de joindre le service client par téléphone, votre espace client sur internet est nul, vous n'accédez à aucun document vous concernant et lorsque vous demandez des documents via le formulaire et bien vous ne les recevez jamais. Mutuelle à fuir </t>
  </si>
  <si>
    <t>10/12/2019</t>
  </si>
  <si>
    <t>mozi-91177</t>
  </si>
  <si>
    <t>Bon service devis bien pratique, prix interessants qui demande à étudier l'offre si celle ci est complète et claire!!!!!!!!!!!!!!!!!!!!!!!!!!!!!!!!!!!</t>
  </si>
  <si>
    <t>barroca-j-126204</t>
  </si>
  <si>
    <t>Je suis satisfait, il faut voir par la suite si les conditions annoncées soient mises en place.
Mise a part cela rien d'autre de spécifique.
bien cordialement.</t>
  </si>
  <si>
    <t>gia-franco-b-112163</t>
  </si>
  <si>
    <t xml:space="preserve">Site toujours en maintenance ou ne fonctionne pas incroyable 4 jours que j'essaye de vous envoyer un dossier Comment faire pour avoir une attestation par contre les retraits bancaires eux sont pris. </t>
  </si>
  <si>
    <t>30/04/2021</t>
  </si>
  <si>
    <t>adlihtam-100910</t>
  </si>
  <si>
    <t>C'est un véritable scandale. 
Ma maman est décédée depuis le 14/09/2020 et depuis il font trainer le dossier, demande les pièces jointes au compte goutte et en plus sont désagréables au téléphone à chaque relance. 
Cela fait donc désormais plus de deux mois que l'argent de ma défunte mère qui est désormais le notre légalement est entre leurs mains. Sans parler des mails auxquels ils ne répondent jamais et mettent 1 mois à traiter. Si vous voulez protéger votre famille, je vous conseille de fuir CARDIF !</t>
  </si>
  <si>
    <t>03/12/2020</t>
  </si>
  <si>
    <t>nicolas-s-131782</t>
  </si>
  <si>
    <t>tres satisfait des tarifs et de la rapidité de la souscription pour assurer ma moto yamaha dt 125. c est tout bon c est juste pour avoir le nombre de caracteres</t>
  </si>
  <si>
    <t>emma-89585</t>
  </si>
  <si>
    <t xml:space="preserve">Suite aux intempéries du samedi 9 mars à Vanves 92170 ( reportage  sur ces intempéries sur TF1 au JT du 10 mars ) notre chaudière a subit la foudre ce qui a grillé deux pièces de la chaudière. 
Nous avons fait une déclaration de sinistre à la Maif en y ajoutant le devis de réparation de 400€ (devis prenant en compte que le prix des pièces car nous avons un  contrat d'entretien avec Engie ce qui nous permet de ne pas payer la main-d'oeuvre et le déplacement ).  
Ce matin le 13 mai la Maif m'a  contacté pour avoir des informations complémentaires sur par exemple l'ancienneté de la chaudière et les raisons de cette panne.
A l'issue des éléments communiqués  la conseillère Maif m'a  informé que je ne serai pas prise en charge car ma chaudière à plus de 10 ans. 
Étonnée de cette réponse car dans mon contrat d'assurance habitation il est noté notamment que le remplacement ou la réparation des biens en cas de dommage lié  à des conditions climatiques type orage sont pris en charge.
J'ai rappelé cela à  la conseillère sans succès.
 J'ai rappelé également  à la conseillère Maif que nous payons pour une maison de 90 m2 une assurance à plus de 600€ par an, que tous les contrats que nous avons avec la Maif  coûtent plus de 2500€ par an et que nous avons avec eux presque 30 ans d'ancienneté. Malgré ces informations la conseillère m'a répondu que nous ne serions pas pris en charge que seuls les mobiliers de moins de 5ans sont pris en charge avec une franchise de 135€ et un abbatement de 10% par an sur le prix du mobilier endommagé. 
Au vu de mon étonnement et de mon mécontentement  la conseillère m'a invité à faire une lettre de réclamation à la Maif (réponse très administrative).  
Je suis très mécontente et insatisfaite de mon contrat habitation de la Maif et m'interroge sur la possibilité de trouver un nouvel assureur pour mes différents contrats </t>
  </si>
  <si>
    <t>13/05/2020</t>
  </si>
  <si>
    <t>helena-69921</t>
  </si>
  <si>
    <t>Sociétaire Maif depuis 20 ANS jamais d'accident responsable, au mois de décembre un bus me percute par l'arrière, sans aucun souci que le chauffeur de bus reconnait et signe sauf que la maif ne l'entend pas de la même oreille en premier le schéma que j'ai mis sur le constat pour eux me désigne comme responsable okay la TAM accepte de refaire le constat noir sur blanc le chauffeur écrit qu'il a mal géré le porte à faux toujours responsable aux yeux de MAIF, donc la MAIF ne défend pas les intérêts de ses sociétaires bien aux contraire pourtant toujours a jour de mes cotisations jamais aucun incidents tout simplement bon payer et c'est tout.</t>
  </si>
  <si>
    <t>04/01/2019</t>
  </si>
  <si>
    <t>robertpinchon75-89790</t>
  </si>
  <si>
    <t>Mutuelle rapide dans les remboursements. Malgré le nombre de commentaires négatifs, je m'étais bien inquiété... Tout fonctionne normalement pour moi depuis plus d'un an maintenant. Je recommande!</t>
  </si>
  <si>
    <t>bumpy-112271</t>
  </si>
  <si>
    <t>Top super bonne écoute super structure et bien presi merci d'avance pour llles informations ki son rapide et bien ecrite ke meilleur prix grâce o services linx</t>
  </si>
  <si>
    <t>charmeur-47126</t>
  </si>
  <si>
    <t xml:space="preserve">Un service client très décevant. Un traitement froid, distant et rarement efficace. </t>
  </si>
  <si>
    <t>20/12/2016</t>
  </si>
  <si>
    <t>senee-m-111743</t>
  </si>
  <si>
    <t xml:space="preserve">Le prix de mon contrat me conviens complètement,                                                                                              
et la communication avec les hôtesses de clientèles est parfaite   </t>
  </si>
  <si>
    <t>patrick-c-112190</t>
  </si>
  <si>
    <t xml:space="preserve">les prix me conviennent   l’accueil et le service téléphonique très bien personnel,, très sympathique et il sont à l'écoute des demandes, bonne continuation à tous.  Cordialement </t>
  </si>
  <si>
    <t>carla-80798</t>
  </si>
  <si>
    <t xml:space="preserve">je suis très satisfait de la prestation de cette mutuelle  
remboursements automatique réseau carte blanche  optique 0 reste a charge . application de la loi 100%santé et sur les 5 derrière année augmentation de 3% je la recommande </t>
  </si>
  <si>
    <t>07/11/2019</t>
  </si>
  <si>
    <t>douay31-54758</t>
  </si>
  <si>
    <t xml:space="preserve">Ayant eu a gérer le décès de ma mère, cette dernière ayant souscrit une assurance vie auprès de la CARDIF, je peux vous assurer que cette assurance est la plus longue de toutes à régler. Réception du dossier un mois après signification du décès. Règlement toujours pas effectué trois semaines après envoi du dossier complet. Toutes les autres assurances vie souscrites auprès d'autres assureurs sont depuis longtemps versées. Les intérêts que je sache cessent de courir au jour du décès. </t>
  </si>
  <si>
    <t>18/05/2017</t>
  </si>
  <si>
    <t>marie-u-125523</t>
  </si>
  <si>
    <t>Satisfaite pour le service. Prix sont abordable cest bien dd pouvoir tout finaliser sur internet en quelques clics. Je me demqande toutefois si il faut envoyrr des pieces justificatives et comment  je nai pas trouve linfo</t>
  </si>
  <si>
    <t>arsouille35-77715</t>
  </si>
  <si>
    <t xml:space="preserve">Un petit commentaire pour remercier l'équipe de leur professionnalisme ! Je viens de souscrire pour ma superbe CB1000R et je suis super content de la qualité des services. Le commercial avec qui j'ai parlé était un vrai passionné  - Romu - ! Ma conseillère - Angélique - est à l'écoute des demandes annexes que j'ai pu avoir et ma bien indiqué toutes les démarches à suivre pour le contrat ! C'est simple, je recommande vivement cette assurance !  </t>
  </si>
  <si>
    <t>17/07/2019</t>
  </si>
  <si>
    <t>sam-50787</t>
  </si>
  <si>
    <t xml:space="preserve">Bonjour, j'ai envoyé une lettre de résiliation après avoir reçu mon échéancier daté du 24 octobre, mais envoyé seulement le 12/12/2016. J'ai reçu l'avis de réception tamponne par Neoliane le 19/12, mais quand j'ai enfin réussi à avoir quelqu'un au téléphone, la personne me dit qu'il n y a aucune trace de ma demande de résiliation dans mon dossier. Pire, il me dit que Neoliane n'est pas concernée par la loi Châtel, alors que mon contrat de se termine le 31/12/2016. Que dois-je faire pour obtenir une confirmation de résiliation rapidement. Merci  </t>
  </si>
  <si>
    <t>30/12/2016</t>
  </si>
  <si>
    <t>otmani-m-117647</t>
  </si>
  <si>
    <t>satisfait,bien sur,je vous souhaite une bonne journee en attente de la finalisation
veuiller recevoir mes sinceres salutations j'attends de vos nouvelles  merci</t>
  </si>
  <si>
    <t>20/06/2021</t>
  </si>
  <si>
    <t>audreyrv-53122</t>
  </si>
  <si>
    <t>impossible de les joindre, tarif hors de prix même pour une jeune, à déconseiller très vivement!!!je suis vraiment déçue étant enseignante, il n’y aucun ou très peu d’intérêt de s'y attacher!</t>
  </si>
  <si>
    <t>09/03/2017</t>
  </si>
  <si>
    <t>nade-44133</t>
  </si>
  <si>
    <t>Tres mauvaise  assurance pour les animaux,  cela fait plusieurs fois qu'ils ne me remboursent pas les frais de vétérinaire pour ma chienne, vous payez pour rien, je la déconseille fortement</t>
  </si>
  <si>
    <t>04/06/2020</t>
  </si>
  <si>
    <t>de-witte-r-139571</t>
  </si>
  <si>
    <t>je suis satisfait de mon contrat le prix très attractif rapidité de vos service accueil tres cordial rapidité gentillesse patience je suis très satisfait  cordialement</t>
  </si>
  <si>
    <t>13/11/2021</t>
  </si>
  <si>
    <t>couscous-65714</t>
  </si>
  <si>
    <t>Demande de rachat partiel sur assurance vie transmise le 10 juillet. L agent me demande un papier pour justifier le prolongement a 15 ans de la validite de ma carte d identité, ce qui est inutile. Puis longue attente.. malgré de nombreux appels telephoniques: finalement le 06 aout, j apprends -en insistant - qu ils attendent le paiement de la cotisation d aout pour traiter ma demande !?! Tjs rien de viré à ce jour.. Tres decu par swisslife. Manque de professionalisme et peu de reactivité, le credit agricole debloque en 6 jours maxi Je deconseille donc la compagnie Swisslife.  Fuyez!!!</t>
  </si>
  <si>
    <t>SwissLife</t>
  </si>
  <si>
    <t>andre-b-106071</t>
  </si>
  <si>
    <t>le service est très satisfaisant , mais  je pense quand même que c 'est un peu cher .en effet si je n'avais pas beneficié d 'une remise pour bonne conduite pendant 5 ans , je paierai une cotisation de  près de 1000 euros</t>
  </si>
  <si>
    <t>eleonore-a-122684</t>
  </si>
  <si>
    <t>Je n'ai rien à dire de spécial hormis le fait que le service client est très réactif mais je trouve cependant qu'il y a un manque de logique dans les process. En effet, contrat souscrit à mon nom puis repris par mon ex colocataire mais sans m'informer que je devais résilier mon contrat .</t>
  </si>
  <si>
    <t>tita-66025</t>
  </si>
  <si>
    <t>26juillet 2018 tomber en panne sur l'autoroute de Angers grosse galère et au bout du 5eme appel ou tout allait bien je tombe sur une incompétente qui s'en foutait de mon problème changer de boulot ce genre de mauvaise femme la</t>
  </si>
  <si>
    <t>enrick-d-126519</t>
  </si>
  <si>
    <t xml:space="preserve">Je suis très très satisfait de la GMF. Vous êtes et vous avez toujours été la pour ma Famille et moi à tout moment. C'est la raison pour laquelle ma Famille et moi nous vous sommes reconnaissant et fidèle. </t>
  </si>
  <si>
    <t>petafum-93777</t>
  </si>
  <si>
    <t xml:space="preserve">je suis assuré chez April moto depuis plusieurs années en tous risques. J'ai crevé la semaine derniere a 200 km de chez moi et quand j'appelle l'assistance voici la réponse: vous n'etes pas assuré pour la crevaison!!! un cauchemar! depuis je cherche a les joindre par mail ou telephone mais aucune reponse. Je change evidemment d'assureur.
</t>
  </si>
  <si>
    <t>11/07/2020</t>
  </si>
  <si>
    <t>nc81400-115702</t>
  </si>
  <si>
    <t>Mutuelle qui a plus le souci de faire "rentrer" de l'argent que de répondre aux courriers, mails, ...
De plus pour retarder un maximum les remboursements, ils demandent des documents ABUSIFS.
Mutuelle à FUIR</t>
  </si>
  <si>
    <t>joss-68525</t>
  </si>
  <si>
    <t xml:space="preserve">J ai souscrit par téléphone ils font une erreur ils le reconnaissent grâce à l écoute des appels mais c est qd même vous qui en payer les conséquences je suis extrêmement déçue je vais attendre impatient 1 an pour résilier mon contrat et celui de mon fils </t>
  </si>
  <si>
    <t>11/11/2018</t>
  </si>
  <si>
    <t>joel-55683</t>
  </si>
  <si>
    <t xml:space="preserve">Je n'ai pas eu de sinistre mais juste un prélèvement mensuel qui n'a pas été honorer par ma banque à la date de présentation... Pour 48.00 Euros, j'ai été harcelé sans arrêt plusieurs fois par jour, par sms, par appel téléphonique, par mail, tout y est passé... J'ai cru un instant que j'avais tué père et mère et le voisin en même temps. Et pour finir le tout, on me facture 20 Euros de frais (pour 48.00 euros) à moins de 10 jours de non paiement et on clôture le tout par une lettre recommandée menaçante de mise en demeure sachant tout de même qu'entre temps l'impayé a été régularisé. Conclusion juste pour 48,00 euros c'est la fin du monde chez eux, j'imagine quand il y a un sinistre, on doit vous menacer de rendre votre permis !
Fuyez cet assureur... je viens de le faire !
</t>
  </si>
  <si>
    <t>28/06/2017</t>
  </si>
  <si>
    <t>lucas-k-132738</t>
  </si>
  <si>
    <t>ok
TRESsatisfait et jesper de ne pas avoir des surprise.
jesper que nous pourillon faire dautre assurance comme asurance dhabitta,mais finalison dabord ce contra.</t>
  </si>
  <si>
    <t>hu78270-86000</t>
  </si>
  <si>
    <t xml:space="preserve">très bonne assurance </t>
  </si>
  <si>
    <t>16/01/2020</t>
  </si>
  <si>
    <t>samuel-m-108142</t>
  </si>
  <si>
    <t xml:space="preserve">Je suis très satisfait de mon interlocutrice qui a été très professionnelle, à l'écoute et disponible. Des réponses très claires.
Tout ceci malgré le contexte compliqué de l'incendie du serveur informatique.
</t>
  </si>
  <si>
    <t>olaketal-52782</t>
  </si>
  <si>
    <t xml:space="preserve">GMF assurement INHUMAIN ! cela fait plus de 2 ans que notre maison s'est fissurée à cause d'une catastrophe naturelle secheresse. Et depuis tout ce temps, la gmf nous "ballade " entre courrier et expert. Nous sommes fatigués et ma mère en dépression à cause de cette assurance. Ils avaient normalement seulement quelques mois pour nous donner une réponse... 
fuyez!! </t>
  </si>
  <si>
    <t>26/02/2017</t>
  </si>
  <si>
    <t>ron'-131418</t>
  </si>
  <si>
    <t xml:space="preserve">Je suis à moitié satisfait car je me suis fait volé le volé le vélo de mon fils dans mon abri de jardin et mon assurrance maison ne couvre pas les frais de remboursement </t>
  </si>
  <si>
    <t>di-chiappari-i-114865</t>
  </si>
  <si>
    <t>Très satisfaite du service téléphonique ainsi que des tarifs proposés. La conseillère fût très disponible, et extrêmement à l'écoute de nos questions et besoins.</t>
  </si>
  <si>
    <t>26/05/2021</t>
  </si>
  <si>
    <t>estelle-65504</t>
  </si>
  <si>
    <t>La Matmut elle assure pas du tout!!!
 La Matmut égare des courriers avec A/R dans leur bâtiment, leur expert ignore ce qu' il vient faire chez vous, les délais sont purement indicatifs,la gestion des sinistres est laborieuse, énormément d' interlocuteurs pour très peu de résultats.....c'est honteux!??</t>
  </si>
  <si>
    <t>eric-y-132562</t>
  </si>
  <si>
    <t>simple et pratique pour l'instant!  voir pour ajouter des options dans l'avenir. Donc j"aurai besoin de conseils dans les jours qui suivent par rapport à l'age de cette voiture sachant que j'assure aussi une Peugeot</t>
  </si>
  <si>
    <t>h-124484</t>
  </si>
  <si>
    <t>Bonsoir je suis assuré chez Direct Assurance depuis 3 ans et je n’ai eu aucun sinistre. Je possède une 407 coupée v6 hdi finition griffe 
Je suis assuré  tout risque et je paye 100€ chaque moi pour assurer mon véhicule très bien entretenue depuis qu’il est en ma possession. Il avait appartenue a seulement une personne avant moi.Je l’avais acheté au enchère chez alcopa auction de Lyon. Malheureusement mon véhicule a été vendalisé l’extérieur et l’intérieur. Je l’ai donc déposé au garage afin que l’expert puisse le voir et après ça j’ai été choqué du montant de l’expertise 1000€ sachant que mon véhicule est de 2006 et qu’il est côté 5000€ a largus. L’expert ne m’a demandé aucune facture rien du tout pas de facture d’achat  je l’ai acheté Il y a moins de 3 ans seulement et j’ai fait énormément de frais Je conclue que l’expert ne fait pas correctement son travail il cherche juste a chiffrer très très bas afin que l’assurance ne paye que très peu lassuré sachant qu avec la franchise je suis en dessous des 500€ je suis choqué et outré. Donc je vous conseil de faire très très attention avant de vous assurer chez ce genre d’assurance.( J’étais chez la macif de nombreuses années et ça s’est toujours bien passée dans les mauvais moments )</t>
  </si>
  <si>
    <t>cel-102814</t>
  </si>
  <si>
    <t xml:space="preserve">Mutuelle qui est toujours à l’écoute de l’assuré 
Rien a redire 
Très satisfaite des services et des remboursements 
Au téléphone, ils répondent rapidement et sont très aimables </t>
  </si>
  <si>
    <t>18/01/2021</t>
  </si>
  <si>
    <t>ery-97812</t>
  </si>
  <si>
    <t>J'ai sollicité la MAAF pour la responsabilité civile, sinistre déclaré en ligne simple a utiliser.
Prise en compte et traitement rapide. 
Bref rien à dire, sérieux et efficace</t>
  </si>
  <si>
    <t>24/09/2020</t>
  </si>
  <si>
    <t>mamiegold-63512</t>
  </si>
  <si>
    <t>pour le paiement c'est de suite sinon pas assuré et pour le remboursement il faut attendre et ils se servent généreusement au passage voir autres compagnies certainement plus capables de vous satisfaire
assurance à eviter</t>
  </si>
  <si>
    <t>geraldine-p-107758</t>
  </si>
  <si>
    <t>Les prix me conviennent, et cela a été trés facile de faire le changement d'assurance pour mon véhicule opel corsa. J'espère que Direct assurance sera présente en cas de sinistre.
Cordialement</t>
  </si>
  <si>
    <t>daniel-l-131712</t>
  </si>
  <si>
    <t>J AI ETE TRES BIEN INFORME DE LA PART DU REPONSABLE AU TELEPHONE QUI A SU PRENDRE MON DOSSIER DANS LE MEILLEUR BENEFICE POUR MOI LE PRINCIPAL ETANT DE GRADER LE CLIENT
A CONSERVER LE RESPONSABLE POUR SON AGREABLE SERVIABILITE M DANIEL LEFEVRE</t>
  </si>
  <si>
    <t>yan-l-108778</t>
  </si>
  <si>
    <t>Je suis satisfait sans l'être dans la mesure ou je n'ai pas eu a faire appel a vous il m'est compliqué d 'émettre un avis donc je vais donner un avis moyen de 3 étoiles au niveau de satisfaction . De plus après une augmentation de 23€, sans sinistre,  il m'est difficile de mettre une note supérieur à 2.
Bonne réception,
Cordialement 
Yan LOUP</t>
  </si>
  <si>
    <t>pubert-a-137306</t>
  </si>
  <si>
    <t xml:space="preserve">Interface Très bien présenter très facile d’utilisation, très simple et très rapide , assurer dans la journée sans problème , réactivité au top , merci </t>
  </si>
  <si>
    <t>13/10/2021</t>
  </si>
  <si>
    <t>laurent33-60769</t>
  </si>
  <si>
    <t xml:space="preserve">amis motard passez votre chemin. accident survenu y as bientôt 3 mois. 100% responsable pour la partie adverse. moto déclarée VEI l'expert propose une somme qui ne correspond pas au rachat d'un véhicule identique. impossible de joindre l'expert pendant les 30J avant de me retrouver avec la carcasse sur les bras, du coup obligé d'accepté l'offre. ensuite il faut pleurer toutes les semaines chez l'assureur pour avoir des nouvelles. j'apprend par hazzard que tous se qui est dommage corporel faut encore que je traite avec quelqu'un d'autre .je suis en arrêt depuis le début et j'attend de savoir si je doit être opéré. la semaine dernière je rappel l'assurance ou il m’apprenne que c'est bon l'expert a renvoyer tout les papiers. n'ayant toujours pas de réponse je rappel aujourd'hui. il vienne juste de voir que mon dossier été bien arrivé mais qu'il traîne sur leur serveur donc pas traité. donc il sont bien présent pour prendre l'argent tous les mois mais en cas de dommage il ne traite rien. faut traité soit même avec l'expert puis avec une autre filiale pour se qui est corporel etc. pu qu'as attendre le chèque de remboursement pour voir combien il vont me donner pour la moto + équipement et la je craint le pire. comme dis au début amis motard passez votre chemin après presque 10 ans chez eux et 1er dommage je sais a quoi m'en tenir. 
</t>
  </si>
  <si>
    <t>serge-m-105126</t>
  </si>
  <si>
    <t>Bonjour,
Je suis vraiment très mécontent concernant l'augmentation  de prix de mon contrat habitation.
J'ai demandé au téléphone à un de vos téléconseiller un geste commercial qui m'a été refusé.
Je trouve cela inacceptable.
J'envisage de résilier mon contrat habitation ainsi que mon contrat auto dans les prochains jours.</t>
  </si>
  <si>
    <t>02/03/2021</t>
  </si>
  <si>
    <t>jean-marie-j-114789</t>
  </si>
  <si>
    <t>je suis très satisfait du produit.
Les prix me conviennent.
Rien à signaler pour le moment, tout ce déroule parfaitement.
On verra suite à un sinistre si tout ce passe aussi bien.
Aucune raison d'en douter.</t>
  </si>
  <si>
    <t>olivier-63362</t>
  </si>
  <si>
    <t xml:space="preserve">Suite à une marche arrière, une automobiliste est entré en collision dans mon véhicule en stationnement. Je n'ai pas eu de véhicule de prêt et, j'ai du attendre trois semaines entre passage d'expert et travaux ! Ces derniers jours, persistant dans la GMF,... pour l'achat d'un véhicule neuf, j'ai contacté le service adéquat par internet et téléphone,... Quatre interlocuteurs, quatre sons de cloches différents et les véhicules sélectionnés non disponibles,.. Résultat, perte de temps et... d'argent... Fini pour moi la GMF alors que j'étais sociétaire depuis... 1992 !... Les temps changent, le service client... Aussi !!! </t>
  </si>
  <si>
    <t>valerie34-106001</t>
  </si>
  <si>
    <t xml:space="preserve">Il ne paie pas ce qui est dû, c'est innacceptable. J'ai apporté tout les elements nécessaires mais passe outre et me privant de mes indemnités malgré la guerison donc non consolidé </t>
  </si>
  <si>
    <t>delanoe--102951</t>
  </si>
  <si>
    <t xml:space="preserve">Personnes a l’écoute ..
Après avoir cherché auprès d’autres assureurs ..les Prix sont compétitifs ..
Les contrats sont clairs ...
Je recommande les assurances AMV à mon entourage..
</t>
  </si>
  <si>
    <t>youns-e-108788</t>
  </si>
  <si>
    <t>Le prix est bien, mais manque de flexibilité avec les commerciaux, j'attendrais un petit geste commercial, mais ils sont fixé sur leur grilles de prix, dommage.</t>
  </si>
  <si>
    <t>sara-b-126349</t>
  </si>
  <si>
    <t>Franchement Je suis satisfaite du service simple et pratique et aussi  c'est pas la peine de ce déplacer faire inscription chez moi  , même prix me conviennent. Merci</t>
  </si>
  <si>
    <t>gigi-133215</t>
  </si>
  <si>
    <t>renseignements demandés par téléphonne à Raware,au sujet des séances de l'ostéopathe et du forfait pour les cures thermales. j'ai eté bien renseigné merci</t>
  </si>
  <si>
    <t>coincoin-138013</t>
  </si>
  <si>
    <t>Neoliane ça ne vaut rien. J ai pris l option 7sur 8 pour être super bien remboursé sur les dents et bien ils sont nuls de chez nul. D ailleurs 3 mois après mon inscription, j ai pris une autre mutuelle pour la fin de l année. Ne savent pas ouvrir un devis, ne le comprennent pas, ne l on pas reçu, bref des incapables. Je déteste cette mutuelle sante, Neoliane = 0</t>
  </si>
  <si>
    <t>22/10/2021</t>
  </si>
  <si>
    <t>zulal-101524</t>
  </si>
  <si>
    <t xml:space="preserve">Je ne suis pas du tout satisfaite. A éviter à tout prix, il vaut mieux payer un peu plus cher ailleurs que de se faire traiter de cette manière. En plus cela vous permettra d'être réellement assuré.
Un service client et un accueil juste inadmissible, je n'ai jamais été traité de cette manière !!!
Vous souhaitez résilier on ne vous le permet pas et on ne vous assure pas votre nouveau logement !!!
Aucun suivi client pour vous expliquer comment les choses se passe et quand vous appeler pour trouver une solution vous vous retrouver avec une téléconseillère arrogante et incompétente qui ne cherche qu'à avoir le dessus au lieu de vous aiguiller et faire son métier pour lequel elle est payée !!!
Bravo, vous faite des belles promesses mais il faut pouvoir suivre, le service client est la base !!! 
</t>
  </si>
  <si>
    <t>16/12/2020</t>
  </si>
  <si>
    <t>christine-g-132624</t>
  </si>
  <si>
    <t xml:space="preserve">Les prix sont très intéressants avec de bonnes conditions
La souscription est très rapide et bien expliquée
Les choix sont judicieux et bien pensés
Les options sont bien adaptées </t>
  </si>
  <si>
    <t>sorciere-89912</t>
  </si>
  <si>
    <t>mutuelle accessible par internet et téléphone
bon accueil téléphonique
accessible à tout moment
rapide et efficace</t>
  </si>
  <si>
    <t>25/05/2020</t>
  </si>
  <si>
    <t>vero94350-61970</t>
  </si>
  <si>
    <t>Très facile s’ouvrir un contrat. Parcours du combattant pour se faire rembourser. Ont reçu 5 fois le devis pour un bris de glace de baie vitrée et prétendre ne pas l’avoir reçu alors que je les bois dans les messages. Donc ne veulent pas rembourser la facture car prétendent ne pas avoir le devis. À chaque appel au service client me mettent en attente et raccrochent. Service sinistrés ne répond jamais</t>
  </si>
  <si>
    <t>lau67-69564</t>
  </si>
  <si>
    <t xml:space="preserve">Prix attractifs par rapport à d'autre compagnies d'assurance auto
Toujours disponible à votre écoute et à vos demandes
</t>
  </si>
  <si>
    <t>19/12/2018</t>
  </si>
  <si>
    <t>sidibe-m-130184</t>
  </si>
  <si>
    <t xml:space="preserve">Je suis vraiment satisfait du service mi en place , il est simple, efficace et super pratique…
Les tarifs me conviennent et le service assistance et au top </t>
  </si>
  <si>
    <t>30/08/2021</t>
  </si>
  <si>
    <t>sainson-n-112355</t>
  </si>
  <si>
    <t>Je suis satisfaite du service et du prix de cette assurance. Votre site est pratique d'utilisation et simple. Les informations sont claires et précises</t>
  </si>
  <si>
    <t>stl-79199</t>
  </si>
  <si>
    <t xml:space="preserve">Assurée depuis 1979 dans la même agence à cherbourg (50) Ma maman s'est fait prendre de haut par un correspondant au téléphone. Apres lui avoir ri au nez parce qu elle ne comprenait pas qu elle devait payer une franchise suite à des dégradations volontaires sur son véhicule avec auteur identifié et interpellé, ce dernier lui a demandé qui elle était pour qu elle puisse imaginer qu on change une loi pour elle-même, tout en rajoutant:" mais madame vous serez rembourser de votre franchise, qui sait dans 2ans peut-être" tout en rigolant! Quel arrogance et quel manque de respect quand vous êtes dans le désarroi, avec un véhicule dégradé et devoir payer presque 300euros. Un simple " comprenez madame que dans  nos clauses les choses ne se passent pas comme ça, nous sommes désolés pour votre sinistre et ne manquerons pas de rembourser votre franchise dès le jugement passé".. et bien non, on préfère se moquait d une cliente fidèle depuis 1979 en la rabaissant et en rigolant. Cher Mr, que j aimerai avoir à faire à votre maman si un jour elle était dans une situation inconfortable... 
J'espère que votre responsable de cherbourg vous obligera à vous excuser auprès d'elle..  </t>
  </si>
  <si>
    <t>14/09/2019</t>
  </si>
  <si>
    <t>gwada-90271</t>
  </si>
  <si>
    <t xml:space="preserve">Aprés un rejet j'ai etait contrainte de payer 1années d'assurance pour au finale ne pas etre assurer.malgrer l'erreur venais leurs part je nes ue aucune facilité de paiement jai du régler 1300 en cheque de banque </t>
  </si>
  <si>
    <t>06/06/2020</t>
  </si>
  <si>
    <t>camaro-80953</t>
  </si>
  <si>
    <t xml:space="preserve">J AI ETE ASSUREE CHEZ APRIL ET JE VOUS LA DECONSEIL .J AI EU 1 ACCIDENT EN MOTO 1 VOITURE MA COUPER LA ROUTE ALORS QUE JE ROULAIS SUR MA VOIE A 20 KM/H DONC LA VOITURE ETAIT 100% RESPONSABLE MAIS APRIL LA PAS VUE COMME CA IL M ONT MIS 50/50 QUELLE HONTE .APRES J AI VENDU MA MOTO FIN JUILLET J AI ENVOYER LE CERTIFICAT DE CESSION MAIS ILS ONTS CONTINUEZ A RETIREZ  L ARGENT EN AOUT ET SEPTEMBRE 2 FOIS 45 EURO MAIS POUR ETRE REMBOURSEE ILS ONTS MIS 2 MOIS ET M ONTS RENVOYER 1 CHEQUE DE 66 EURO .QUI ES LE PERDANT DANS L HISTOIRE C ES BIEN VOUS CAR C ES BIEN  VOS CLIENTS ET J ESPERE QUE LES GENS QUI VONS LIRE CES AVIS ILS IRONTS VOIR AILLEURS </t>
  </si>
  <si>
    <t>13/11/2019</t>
  </si>
  <si>
    <t>guillaume59280-57302</t>
  </si>
  <si>
    <t xml:space="preserve">Très déçu véhicule accidenté depuis un an et toujours pas réparé car le véhicule était en stationnement et moi au tiers </t>
  </si>
  <si>
    <t>13/09/2017</t>
  </si>
  <si>
    <t>duval-j-114300</t>
  </si>
  <si>
    <t xml:space="preserve">Je suis satisfait de ce service simple et efficace avec des prix intéressants en plus de ce faire être assuré en un clic ! Je trouve ça plus tôt pratique.
Cordialement,
Mr DUVAL </t>
  </si>
  <si>
    <t>19/05/2021</t>
  </si>
  <si>
    <t>yann-d-125631</t>
  </si>
  <si>
    <t xml:space="preserve">Satisfait du tarif et de la facilité de souscription du contrat.
Néanmoins déçu que le paiement de la cotisation mensuellement revienne plus cher 0que le prix de la cotisation annuelle </t>
  </si>
  <si>
    <t>ananas59-77326</t>
  </si>
  <si>
    <t xml:space="preserve">Je déconseille totalement... Contrat signé il y a 1 mois et demi, envoi 3 fois de la carte verte que je n'ai toujours pas reçu ! Conseillères très désagréables au téléphone qui n'hésitent pas à vous hurler dessus au téléphone. Ils nous prennent vraiment pour des chèvres, et bien évidemment aucun moyen de resilier malgré le fait qu'ils sont en tord et ne m'envoient pas ma carte verte, puisque ça ne fait pas 1 an que je suis chez eux... Bref je déconseille vivement, sauf si vous souhaitez perdre votre temps, votre argent et en prime, être pris pour un imbécile.
</t>
  </si>
  <si>
    <t>04/07/2019</t>
  </si>
  <si>
    <t>tresorine-112576</t>
  </si>
  <si>
    <t xml:space="preserve">des gens a l'ecoute , aide au constat , de nombreuses option comme pret de vehicule , reactivité , dialogues et petits prix , je recommande direct assurance </t>
  </si>
  <si>
    <t>lmk-111270</t>
  </si>
  <si>
    <t xml:space="preserve">Fuyer de chez harmonie mutuelle des gros ESC.... T...! 
qui joue sur les mots
Il mon résilier sans raisons en plein covid alors que j'ai la complémentaire santé solidaire sous prétexte que mes 3 mois janvier février et mars je les ai payer en avril 2021. Ils mentent en disant qu'il mon envoyé une relance en février alors que jetait au téléphone en mars pour un probleme de carte. Normalement je suis chez eux jusqu'au 31 juillet 2021 date de la fin de mes droit complémentaire santé solidaire ils on encaisser leur 3 mois et me resili en avril. Une honte ! Je n'est jamais reçu de courrier depuis le confinement de 2020! Et il me dise qu'ils ont bien un duplicata ! Pitoyable je suis chez eux depuis 2017! Si une personne a subit la même chose j'aimerais les attaquer en justice voilà mon adresse mail merci à vous lecteur. 
boubou.lamlam@gmail.com </t>
  </si>
  <si>
    <t>siham92-102212</t>
  </si>
  <si>
    <t>A FUIR !!!!! 
J'ai souscrit à cette mutuelle via mon entreprise en janvier 2019 , j'ai démissionné en Aout 2019 , et depuis cela fait maintenant 1 an et demi que je bats pour avoir mes remboursements bien que j'ai envoyé des mails , appelé de nombreuses fois , envoyé des courriers en recommandés,  lorsque vous les appelez,  vous patientez 20 minutes minimum pour avoir un employé incompétent qui ne vous apporte aucune solution ( après vous avoir mis en attente durant 15 minutes minimum, le temps de contacter un autre service soit disant ) , attention en fonction des appels vous avez bien évidemment des versions complètement différentes sur votre situation . J'ai été prélevée chaque mois d'un montant de 36.45 euros mais pour les remboursements bizarrement votre dossier d'affiliation disparaît ... je compte entamer des procédures judiciaires . Un conseil n'y allez surtout pas !!!!!!!!!!!!!!!!!!!</t>
  </si>
  <si>
    <t>05/01/2021</t>
  </si>
  <si>
    <t>nisck-90857</t>
  </si>
  <si>
    <t>Je suis assez satisfait du service j’attend de voir maintenant pour un devis pour 2 véhicules 
Rapidité et facile de compréhension 
Rien de plus à dire</t>
  </si>
  <si>
    <t>15/06/2020</t>
  </si>
  <si>
    <t>bianchi-e-109829</t>
  </si>
  <si>
    <t>Pour la souscription c'est plutôt simple, tarif correct, maintenant reste à voir comment cela va se passer. En principe je suis très retissant au assurance en ligne, pour une fois j'ai fais confiance, j'espère ne pas le regretter.</t>
  </si>
  <si>
    <t>09/04/2021</t>
  </si>
  <si>
    <t>emna-m-133180</t>
  </si>
  <si>
    <t xml:space="preserve"> JE TROUVE QUE C'EST CHER J'AI DÉJÀ DEUX véhicules ASSURES CHEZ VOUS.
QUE POURRIEZ VOUS ME PROPOSER DE PLUS intéressant EN TERME DE TARIF AVANTAGEUX ET COUVERTURE ?</t>
  </si>
  <si>
    <t>montredon-j-114605</t>
  </si>
  <si>
    <t xml:space="preserve">Je suis satisfait de cette assurance elle est pratique  ce qui un point positif c'est que c'est nous qui faisons notre devis avec nos Choi est on peut le faire partout </t>
  </si>
  <si>
    <t>ernestine-78036</t>
  </si>
  <si>
    <t>J'ai téléphoné pour avoir un devis d'assurance AUTO. On m'a demandé quel emploi je réalisais. Je travaille pour Caritas (réseau secours catholique - association 1903 à but NON RELIGIEUX mais d'ORIGINE religieuse). On m'a rétorqué que j'avais dit "le mot qu'il faut pas". Et on m'a expliqué doctement que je payerais plus cher car je travaille  pour une association à but confessionnel... (ravie de l'apprendre). Je ne savais pas qu'être laïque c'était être discriminatoire envers une association d'origine chrétienne. 
Je pensais que dans ce monde moderne tout le monde connaissait le "vivre ensemble" et le respect mutuel, l'ouverture à l'autre... Apparemment pas la MAIF qui aime rester entre laïcards. Honte à eux.</t>
  </si>
  <si>
    <t>cyrille-n-105211</t>
  </si>
  <si>
    <t xml:space="preserve">Les prix sont assez raisonnables en comparaison avec mes deux précédents assureurs et le service client est assez réactif, notamment en ce qui concerne l'envoi des documents. Cependant je met une petit remarque en ce qui concerne la prise en charge du changement d'assureur. </t>
  </si>
  <si>
    <t>moussel-a-133843</t>
  </si>
  <si>
    <t>Je suis satisfait du service.
Simple et rapide.
Explications et compréhensions claires.
La conseillère a su me guider.
avec efficacité et convivialité.</t>
  </si>
  <si>
    <t>abbaci-m-115015</t>
  </si>
  <si>
    <t>Je suis très satisfait, content de votre service qui est pratique, rapide et écologique. Pourriez-Je vous prie de bien vouloir me donner l'adresse du siège de votre direction?</t>
  </si>
  <si>
    <t>27/05/2021</t>
  </si>
  <si>
    <t>ludo80500-94448</t>
  </si>
  <si>
    <t>Des teleconseillers hautains envers la clientèle. Qui vous répondent que chez direct assurance on fait ce que l'on veut</t>
  </si>
  <si>
    <t>cnpasreponse-101955</t>
  </si>
  <si>
    <t>Impossible d'obtenir un contact après 3 mails sur les coordonnées liées aux réclamations.Un désastre pour être indemnisé.
Un standart sourd à votre détresse, des mails sans réponses.Pas de retour téléphoniques en 3 mois, un service client jamais intervenu.</t>
  </si>
  <si>
    <t>29/12/2020</t>
  </si>
  <si>
    <t>rcramoel-95633</t>
  </si>
  <si>
    <t>assez satisfaisant au niveau u caractère prix de la disponibilité des conseiller de clientèle et du prix de l’assurance assez abordable et l'un des meilleur sur le marché de l'offre une bonne qualité d'intervention en cas de sinistre et n excellent montant de remboursement en cas de sinistre</t>
  </si>
  <si>
    <t>29/07/2020</t>
  </si>
  <si>
    <t>todireanu-d-122924</t>
  </si>
  <si>
    <t xml:space="preserve">
Bravo . très rapide . Chois des prix. Contact téléphonique avec les staff .Genial . Malgré une connexion mauvaise du réseaux . Je choisi l'assurance par rapport ou service propose . CHOIX DES SERVICE - Prix raisonnable </t>
  </si>
  <si>
    <t>pascal-d-115457</t>
  </si>
  <si>
    <t>Prix tres cher sachant que je suis client depuis au moins 20 ans. et que j'ai 50% de bonus. Je pensais que j'aurais eu au moins un tarif famille
Cordialement</t>
  </si>
  <si>
    <t>rayane--l-125885</t>
  </si>
  <si>
    <t xml:space="preserve">Très bien, pas très cher avec de bonne chose, merci, je recommande cette assurance, site assez maniable et facile, rapide,                            . </t>
  </si>
  <si>
    <t>coco-95737</t>
  </si>
  <si>
    <t>Pour le moment rien de particulier a signaler
Tarif correct par rapport a d'autres.Carte des explications au moment de signer les contrats auto habitation et protection juridique</t>
  </si>
  <si>
    <t>raja-i-133936</t>
  </si>
  <si>
    <t>Je suis satisfaite de la simplicité et la fluidité de la démarche sur le site. C'est ma première assurance, le début me rassure.
Une conseillère m'a contactée, elle a répondu à toutes mes questions. J'ai trouvé l'offre qui m'interesse.</t>
  </si>
  <si>
    <t>gueux-d-121929</t>
  </si>
  <si>
    <t xml:space="preserve">Très rapide très compétent c est très facile et très compréhensible un grand bravo à toute l équipe de l'olivier assurance et très fière de faire parti de vos clients </t>
  </si>
  <si>
    <t>heliogabale-50601</t>
  </si>
  <si>
    <t>Assurance incompétente. Aucune vignette verte depuis un an. On me demande un nouvel ordre de prélèvement bancaire en échange de la dite carte alors que mon compte est prélevé mensuellement.</t>
  </si>
  <si>
    <t>23/12/2016</t>
  </si>
  <si>
    <t>zak-a-111727</t>
  </si>
  <si>
    <t>Je suis satisfait de la prestation.
La communication est correcte.
Le prix est un peu élevé, et mes année de conduite à l'étranger n'ont pas été valorisés.</t>
  </si>
  <si>
    <t>armelle-67486</t>
  </si>
  <si>
    <t xml:space="preserve">TRES MAUVAIS  SERVICE </t>
  </si>
  <si>
    <t>09/10/2018</t>
  </si>
  <si>
    <t>lou-106554</t>
  </si>
  <si>
    <t>La conseillére de mon compagnon a envoyé une photo de son decolté pendant le confinement dois je la signaler? Ou porter plainte? Nous allons dénoncer tous les contrats est ce un motif réel pour anticiper la rupture des contrats?</t>
  </si>
  <si>
    <t>14/03/2021</t>
  </si>
  <si>
    <t>hakim--b-126390</t>
  </si>
  <si>
    <t xml:space="preserve">Le service est bon mais pour le prix d'assurance je trouve que c'est un peut chers par rapport le type, l'âge, le pris à l'argus de la voiture assuré. </t>
  </si>
  <si>
    <t>jean-michel-v-130844</t>
  </si>
  <si>
    <t xml:space="preserve">Le prix me convient interface simple d’utilisation grosse économie par rapport à mon précédent assureur
Pour faire simple je recommanderais April Moto a mes proches sans hésiter </t>
  </si>
  <si>
    <t>bibialiya-136839</t>
  </si>
  <si>
    <t>Je suis assuré chez Matmut J’ai fait un contrat d’assurance chez eux et Franchement à fuir à fuir à fuir au moment de l’inscription très agréable mais quand il s’agit d’un sinistre les masques tombent ça fait plus d’un mois que j’attends qu’on puisse me rembourser mon sinistre que j’ai eu mais à ce jour il y a même plus de réponses honteux honteux honteux fuir fuir fuir</t>
  </si>
  <si>
    <t>10/10/2021</t>
  </si>
  <si>
    <t>flo77-96106</t>
  </si>
  <si>
    <t>Cela fait plus de 10ans que je suis assuré à la MACIF, jai toujours réglé mes cotisations en temps et en heure.
Suite à un accident (reponsable) mais impossible à éviter.
Aquaplaning dans un parking souterrain filmé par le parking ainsi qu'avec une Dashcam. Vitesse de 5km/h. Je me retrouve avec un malus de 25%. La MACIF n a rien voulu savoir... je trouve cela désolant et je me sents vraiment pris pour une vache à lait... 
Je suis extrêmement déçu, je possède plusieurs assurance chez eux, je compte faire la modification de l ensemble de mes assurances car je ne comprend absolument a quoi mettre un tels si cest pour ne pas être écouter ou bien même compris.</t>
  </si>
  <si>
    <t>09/08/2020</t>
  </si>
  <si>
    <t>sophiekiki-50275</t>
  </si>
  <si>
    <t>J'ai cherché un moment avec mon courtier pour trouver une formule qui rembousait bien l'optique et je suis bien contente d'avoir trouvé Néoliane ce qui m'a permis sans payer des cotisations folles de pouvoir changer mes lunettes en achetant de la bonne qualité.</t>
  </si>
  <si>
    <t>lebredonchel-v-136482</t>
  </si>
  <si>
    <t>Je suis satisfait de votre service très correcte pas chère et très très bien accompagné dans la démarche je suis ravi de des services rapide comme le votre.</t>
  </si>
  <si>
    <t>mischler-e-108563</t>
  </si>
  <si>
    <t>Simple et pratique, tarifs attractifs. Les conseillers sont très aimables et expliquent très bien les différents points du contrat. Il n'y a pas d'incitation à la sur-enchère !</t>
  </si>
  <si>
    <t>30/03/2021</t>
  </si>
  <si>
    <t>matboeuf-61069</t>
  </si>
  <si>
    <t xml:space="preserve">Pas du tout satisfaite avant même d'avoir un sinistre, de mon assurance habitation résidence principale et de la protection juridique de la MATMUT. Je recommande à tous ceux qui me lisent pour 5€ de plus chez Goupama vous avez une PJ extraordinaire, chez Groupama   la Protection Juridique est une assurance complémentaire attachée à la personne  pas à la résidence principale, et qui donc garantie aussi votre résidence secondaire entre autre. Il faut assuer sa résidence principale pour avoir accès à cette PJ. Le TOP, je recommande Groupama et Allianz qui ont semble-t-il des garanties similaires. Inouïe quau XXI ième siècle il existe des contrats d'assurance du 19ième siècle à fuir.  </t>
  </si>
  <si>
    <t>02/02/2018</t>
  </si>
  <si>
    <t>domi5417-91745</t>
  </si>
  <si>
    <t>Très satisfaite de cet assureur. Je les ai appelé 2 fois pour des pannes de batterie, et à chaque fois 1/2h après un dépanneur était là et tout a été réglé.</t>
  </si>
  <si>
    <t>21/06/2020</t>
  </si>
  <si>
    <t>jean-louis-c-114153</t>
  </si>
  <si>
    <t>Très bon rapport prix, j'espère que je serais satisfait en cas de besoin., lors de sinistre et pour les augmentation des prochaines années. Le site est bien fait.</t>
  </si>
  <si>
    <t>virginie-m-112629</t>
  </si>
  <si>
    <t>satisfaite des prix et des services
rapidite et simplicite des demarches
il faudrait plus de rapidité pour les contacter au telephone
mais clareté dans les renseigneents, les conseillers sont a lecoute</t>
  </si>
  <si>
    <t>mimi57-108119</t>
  </si>
  <si>
    <t xml:space="preserve">Mutuelle très réactive. Des conseillers toujours à notre écoute, sympathiques et professionnels. Les derniers évènements me concernant m'ont permis de juger les prestations et personnellement je n'ai absolument pas été déçu. Pour moi très certainement une des meilleures mutuelles Je ne peux que vous féliciter et vous encourager à poursuivre </t>
  </si>
  <si>
    <t>alban-131351</t>
  </si>
  <si>
    <t>Satisfait des gens avec qui j'ai pu discuter service client chaleureux et souriant à voir pour la suite, les prix sont correct l'ancien propriétaire de min véhicule m'a conseillé cette assurance</t>
  </si>
  <si>
    <t>nathalie-l-129496</t>
  </si>
  <si>
    <t>Tout est nickel. Clair, les tarifs sont avantageux et la  rapidité de souscription est appréciable . Je recommande fortement pour les nouveaux bénéficiaires</t>
  </si>
  <si>
    <t>jeremelo-74669</t>
  </si>
  <si>
    <t>Toujours en attente de remboursements pour des soin,dépassement honoraires principalement pour FIV)ayant eu lieu en décembre 2018....multiple relance,courrier recommandé...rien n y fait...des factures soit disant non conforme(provenant d une clinique qui a pignon sur rue depuis des décennies)mais pour lesquels des remboursements ont déjà été effectué,mais pour des montants dérisoires par contre...pour les montants plus important c est plus problématique....
Les remboursements devaient être effectué le 27.03.19 ...toujours rien aujourd'hui le 02.04.2019</t>
  </si>
  <si>
    <t>penotemma-67098</t>
  </si>
  <si>
    <t>Que se soit via les conseillés téléphoniques ou bien les services en agence je suis très satisfait de mon assurance Habitation chez eux. Anciennement chez Suravenir du CMSO, j'ai eu la chance en allant chez axa de retrouver des garanties supérieur pour un tarif 30% moins chère. Ayant eu un sinistre avant j'en garde bon souvenir tant sur la rapidité des travaux que sur leur contenu. Un salon totalement inondé suite à une tempête qui fut entièrement refait selon nos gouts et non selon les tarifs. Une assurance qui sais à la fois écouter et confirmer leurs paroles est à noter.</t>
  </si>
  <si>
    <t>miralles-mp-97746</t>
  </si>
  <si>
    <t xml:space="preserve">Excellent accueil téléphonique et prise en charge de mes demandes par des conseillers à l'écoute des sociétaires. Temps d'attente téléphonique correct malgré la crise sanitaire actuelle. Sinon le principe de se faire rappeler par un conseiller est quelque chose de très appréciable.  </t>
  </si>
  <si>
    <t>23/09/2020</t>
  </si>
  <si>
    <t>dgil-99158</t>
  </si>
  <si>
    <t>Tout va bien pour payer et ouvrir le dossier, mais tout ce complique après, le dossier n'est jamais complet demande régulière de documents complémentaires après envoi et confirmation de la réception des documents , nouvelles demandes de documents et toujours pas de carte verte. L'interlocuteur au téléphone ne veut rien savoir , renvoyé les documents , il ne sait dire que cela</t>
  </si>
  <si>
    <t>23/10/2020</t>
  </si>
  <si>
    <t>mohammad-b-104958</t>
  </si>
  <si>
    <t>J’ai deux sinistres déclarés dans lesquels je ne suis pas responsable et je n’ai pas reçu de remboursements.
Trop cher et service mauvais.
Je ne conseillerais cet assureur à personne</t>
  </si>
  <si>
    <t>julie-b-131400</t>
  </si>
  <si>
    <t>je suis satisfait du tarif, la souscription est simple et rapide et le conseiller de bons conseils,
je recommande direct assurance,
j'espère rester longtemps chez vous
merci
cordialement</t>
  </si>
  <si>
    <t>depaul-s-137189</t>
  </si>
  <si>
    <t>Très bon conseiller merci pour vos explications pour un nouveau contrat 
A un prix intéressant pour une assurances en tiers confort merci à vous tous.</t>
  </si>
  <si>
    <t>12/10/2021</t>
  </si>
  <si>
    <t>bruno-66844</t>
  </si>
  <si>
    <t>la plus mauvaise prise en charge sinistre  un an apres toujours pas de reponse A PART VENDRE DES ASSURANCE TOUT BENEF POUR EUX</t>
  </si>
  <si>
    <t>14/09/2018</t>
  </si>
  <si>
    <t>marc-g-122144</t>
  </si>
  <si>
    <t xml:space="preserve">Je ne suis pas satisfait de vos tarif après plusieurs année de d'adherent il s'avère que les tarifs pour les nouveaux adherent sont plus avantageux je me pose la question faut il allez voir ailleurs pour avoir de meilleurs tarif 
Cordialement </t>
  </si>
  <si>
    <t>saadi-s-128451</t>
  </si>
  <si>
    <t>Je recommande vivement l'olivier assurance. Il sont réactif, il réserve à tous leurs clients le meilleur accueil possible. Et rien à dire au niveau des prix.</t>
  </si>
  <si>
    <t>18/08/2021</t>
  </si>
  <si>
    <t>bruno-99709</t>
  </si>
  <si>
    <t>si vous n'avez pas de sinistre, tout va bien. 
des que vous avez un problème le service sinistre trouve des excuses pour ne pas indemniser. il sont très fort pour s’exonérer de leur devoir.
payer plus cher mais allez voir ailleurs</t>
  </si>
  <si>
    <t>05/11/2020</t>
  </si>
  <si>
    <t>audoin-g-130303</t>
  </si>
  <si>
    <t xml:space="preserve">Je suis satisfait du service…les prix merci beaucoup pour votre accueil et votre gentillesse merci cordialement bonne journée à vous vous avez une bonne assurance </t>
  </si>
  <si>
    <t>fanny-139645</t>
  </si>
  <si>
    <t>Aucun suivi correct, après 2 dégâts des eaux en mars et septembre mon dossier a été pris en charge par une personne qui était en stage de formation
résultat les 2 dossiers ont été mélangés, suite à une demande d'envoi de la facture de laverie automatique pour vérifier si je ne l'avait pas éditée moi même car elle ne comportait ni tampon ni signature mais tous les renseignements nécessaires
le responsable de la laverie a qui j'ai demandé si il pouvait me mettre un tampon, m'a répondu qu'il n'en avait pas et que les factures qu'il fournissait aux entreprises étaient acceptées par la comptabilité, j'ai donc envoyé l'original à Nanterre pensant que ce serait rapide, malheureusement Nanterre vérifie cette facture et l'envoi à Aix, cela demande parfois entre 15 jours et un mois, en attendant, j'ai 75 ans et une petite retraite, actuellement je suis à découvert au vu des dépenses que j'ai effectuées depuis 4 mois</t>
  </si>
  <si>
    <t>15/11/2021</t>
  </si>
  <si>
    <t>pitykro-98172</t>
  </si>
  <si>
    <t>J'ai été résilié après quelques mois d'assurances, un bris de glace et un accident en stationnement (non responsable avec délit de fuite auteur identifié).
Je ne suis ni mauvais payeur ni escroc.
J'ai un bonus de 50% depuis un moment et jamais eu de soucis. Vraiment déçu !</t>
  </si>
  <si>
    <t>30/09/2020</t>
  </si>
  <si>
    <t>toto-139539</t>
  </si>
  <si>
    <t>tout d'abord pas cher mai attention le jour ou vous avez un probléme sai pas sa du tout il font tout pour pas payer ils dise qu'il leur manque des document alors qu'il sont en leur possession</t>
  </si>
  <si>
    <t>christine-f-113570</t>
  </si>
  <si>
    <t xml:space="preserve">je suis tres satisfaite de mon assurance et les prix vraiment mini celon  notre choix vraiment merci et je recommande tres bonne assurance et en suis tres heureuse </t>
  </si>
  <si>
    <t>bruno-p-115901</t>
  </si>
  <si>
    <t>J'ai été un peu déstabilisé par votre site qui proposait des tarifs différents pour les mêmes garanties, il est vrai que j'étais en // sur 2 fenêtres différentes....
Vous sera-t-il possible de me rappeler car j'ai d'autres véhicules assurés et peut-être qu'en regroupant les contrats je pourrai économiser quelques dizaines voire centaines d'euros?
Merci.
Cordialement.
Bruno PLANTADE</t>
  </si>
  <si>
    <t>simone-94195</t>
  </si>
  <si>
    <t>Une mutuelle qui brille par son incompétence. Demande de prolongation de garantie entreprise via la loi Evin effectuée le 30 avril, via internet IMPOSSIBLE, un site FANTÔME !!!! Pas de reconnaissance des identifiants, renvoi avec message ERREUR SURVENUE. Allez, envoi par courrier postal...sans réponse bien sûr. Passage par la pharmacie, où l'on m'indique que je n'ai plus de droits depuis le 30/06/20 ?????? Je suis en retraite depuis le 01/07/20, et c'est pour cela que j'avais anticipé la fameuse Loi Evin. Appel téléphonique chez MERCER pour obtenir des explications , je devrai patienter au minimum plus de 10 mn, et donc j'essaye en même temps (toujours en attente au téléphone) de me connecter à nouveau sur le site MERCERNET, qui est toujours aussi "FANTÔME".
HOURRA !!!!! Au bout de 45 minutes, on daigne enfin prendre mon appel, pour me dire , qu'en ce moment, vu le contexte , MERCER est débordé !!!! Ben voyons !!!! Tout cela pour m'expliquer , qu'en effet , mon courrier du 30 avril est bien en leur possession, mais bizarrement au 15 juillet, mon dossier n'est pas fait. 2 mois et demi, et rien n'est fait ?????? Chez MERCER, ce ne devait pas être le "télétravail", mais plutôt le "télétravaillepas", ce qui ne change pas grand chose finalement. COURAGE...FUYONS !!! Et ne revenons JAMAIS !!!
Aucun regret !!</t>
  </si>
  <si>
    <t>15/07/2020</t>
  </si>
  <si>
    <t>pipna-63693</t>
  </si>
  <si>
    <t>Une catastrophe ! Ma maman agée de 70 ans vient de déménager de la Belgique vers la France. Je lui ai conseillé Direct Assurance. Mauvaise idée ! L'assurance provisoire d'un mois est rapidement en place mais les problèmes arrivent ensuite. DA lui réclame une déclaration de sinistres. Nous l'envoyons. C'est un modèle belge qui reprend cependant (en francais) tous les éléments requis (nom, dates d'assurance et indication des sinistres - à savoir RIEN en plus de 10 ans). Ma mère bénéficie du bonus malus minimum en Belgique et elle s'attendait donc à bénéficier du BM 0.50 en France. Et bien non, le document est refusé plusieurs fois sans explications. Au bout de deux appels au service client il apparait que DA refuse la déclaration belge et décide d'appliquer à ma mère (qui je le rappelle n'a jamais eu d'accident de sa vie) le bonus malus maximum (jeune conducteur !) ce qui a un impact énorme sur le prix. J'ai contacté entretemps d'autres assurances qui acceptent sans problème le document belge et l'équivalence du bonus malus. J'envoie un mail à DA pour leur signaler ce fait et leur indiquer que nous refusons la nouvelle offre de prix et leur demander de reconsidérer leur position. Ils me répondent ne pas pouvoir accepter la résiliation du contrat car je n'ai pas envoyé de recommandé !!??? C'est un dialogue de sourd avec des gens qui ne comprennent rien à ce qu'on leur demande/raconte. Je n'ose pas imaginer ce qu'il se passerait en cas de problème .....</t>
  </si>
  <si>
    <t>laura-98596</t>
  </si>
  <si>
    <t>L'accueil était très chaleureux.  Très bon contact avec la conseillère.
Cependant, j'ai envoyé les feuilles de soins (sous courrier suivi qui a été réceptionné ) pour me faire rembourser, en respectant les délais et en envoyant tous les papiers qu'il fallait conformément au contrat.
Cela doit faire près de 3semaines, je n'ai toujours pas été remboursée... Je souhaitais savoir combien de temps il fallait attendre, les délais me paraissent longs.</t>
  </si>
  <si>
    <t>brigitte--d-122236</t>
  </si>
  <si>
    <t>Les délais de remboursements sont excessifs. 3 semaines minimum ! Quand on attend un manque sur salaire cela pose problème chaque mois.Par ailleurs lorsque je téléphone, j’ai toujours eu un excellent accueil.</t>
  </si>
  <si>
    <t>pastaga-55305</t>
  </si>
  <si>
    <t xml:space="preserve">Je suis client chez L'olivier Assurance depuis 6 ans avec aucun sinistre. Le jour ou j'ai voulu résilier mon contrat car j'ai vendu mon véhicule, j'ai envoyé ma demande de résiliation en envoyant le document officiel de cession de mon véhicule. L'olivier assurance m'a alors parlé d'un vice de procédure car ils souhaitaient, soi-disant, un document de la préfecture. Comme si j'avais que ça à faire de perdre une demi-journée à la préfecture. Par ailleurs j'estime être dans mon plein droit de vouloir résilier mon contrat d'assurance suite à la cession de mon véhicule. Aujourd'hui, ils me réclament le paiement de plusieurs mois de cotisation et me menacent même avec une société de recouvrement et des relances interminables. On marche sur la tête ! Ces pratiques sont scandaleuses. L'olivier Assurance refuse tout simplement la résiliation de mon contrat suite à la cession de mon véhicule, comme ci je devais payer à vie leurs cotisations. c'est une honte. 2 membres de ma famille ont également un contrat avec cette assurance et je peux vous dire qu'on va aussi les résilier asap. En fait c'est une assurance qui refuse tout simplement que vous les quittiez, comme si vous vous étiez engagé pour 10 ans et qui vous demande donc de payer encore et encore, avec en prime des menaces de recouvrement, car j'ai été dans l'obligation de demander à ma banque de stopper les prélèvements. Ce sont des méthodes inacceptables. Assurance à éviter absolument. Je peux vous dire que je les attends au tournant avec mon avocat s'ils veulent continuer dans leur bêtise. 
Situation hallucinante alors que j'ai cotisé pour environ 10 000 € en 6 ans sans aucun sinistre. Ecœurant.
</t>
  </si>
  <si>
    <t>20/06/2017</t>
  </si>
  <si>
    <t>djamil-101758</t>
  </si>
  <si>
    <t>Bonjour,
Mercer mutuelle est décidément la pire expérience client que j'ai pu rencontré à ce jour. Mercer a décidé ne plus rembourser ses adhérents? j'ai deux factures optiques non remboursées depuis plus de deux mois. Le centre de gestion m'indique de patienter à chaque appel, qu'ils traitent mon remboursement et que je n'ai pas à m'inquieter. Depuis 2 mois et malgrés des relances par email et téléphone...je n'ai toujours pas été remboursé car ils traitent mon dossier. C'est simplement scandaleux. Toutes les pièces justificatives ont été envoyées. plus de 600€ non remboursé à ce jour. Faut-il aller porter l'affaire en Justice? je paie comment mes cadeaux de Noël avec un tel monant abyssal dans mon budget?
Je vous laisse me démontrer que vous êtes une société sérieuse.</t>
  </si>
  <si>
    <t>22/12/2020</t>
  </si>
  <si>
    <t>uxisama-102403</t>
  </si>
  <si>
    <t xml:space="preserve">J'ai plusieurs contrats a la macif : 3 vehicules , 5 logements dont 2 gites classes ayant eu une baisse d'activite en 2020 du au covid , un camping car peu utilise en 2020 , malgre ma demande la macif a refuse une baisse des corisaations contrairement a d'autres assurances....conclusion je vais quitter la macif pour tous ces contrats </t>
  </si>
  <si>
    <t>09/01/2021</t>
  </si>
  <si>
    <t>galyna-g-110612</t>
  </si>
  <si>
    <t>Je sui très satisfaite du service, un bon suivi du dossier. J'ai été recontactée par les conseillers très vite. Le prix est très intéressant, je conseille vivement</t>
  </si>
  <si>
    <t>cdeas-60231</t>
  </si>
  <si>
    <t>TARIF UN PEU ELEVE POUR UN 50 CM3
TARIF UN PEU ELEVE POUR UN 50 CM3
TARIF UN PEU ELEVE POUR UN 50 CM3
TARIF UN PEU ELEVE POUR UN 50 CM3
TARIF UN PEU ELEVE POUR UN 50 CM3</t>
  </si>
  <si>
    <t>10/07/2021</t>
  </si>
  <si>
    <t>patricia-c-114779</t>
  </si>
  <si>
    <t>L'accueil est super.
Les prix ne sont pas tous attractif, dommage
Sinon les prix pour plusieurs contrats sont possibles.
Ce que j'apprécie le plus c'est l'accueil avec des personnes françaises</t>
  </si>
  <si>
    <t>psoulier-53031</t>
  </si>
  <si>
    <t>Service très lent et désorganisation totale. J'ai adhérer en décembre 2016 et j'ai reçu ma carte tiers  payant seulement au mois de février. Depuis maintenant plus de deux semaines j'attend qu'ils enregistrent auprès de ma CAF ma mutuelle, bien entendu je n'ai aucun remboursement depuis décembre.</t>
  </si>
  <si>
    <t>06/03/2017</t>
  </si>
  <si>
    <t>ericka-57368</t>
  </si>
  <si>
    <t xml:space="preserve">Active assurances est juste une assurance comme les autres . Ils ont tout simplement pas mal de procédure à respecter et jusqu’ici je n'ai pas encore eu de soucis avec eux .
Niveau prix ça passe
Accueil et service excellent </t>
  </si>
  <si>
    <t>15/09/2017</t>
  </si>
  <si>
    <t>rdellecase-121298</t>
  </si>
  <si>
    <t>En attente depuis 9h45 alors qu’il est 14h30 pour avoir un rapatriement avec un taxi !!!! Et nous attendons encore…. Personne n’appelle. Nous sommes contraints de rappeler pour avoir des infos. C’est insupportable !!!!</t>
  </si>
  <si>
    <t>sylvain-r-114570</t>
  </si>
  <si>
    <t xml:space="preserve">Je suis très satisfait de vos service des conseillers  à l’écoute est très professionnel je recommanderai direct assurance à mes amis et à ma famille </t>
  </si>
  <si>
    <t>sbiro-61560</t>
  </si>
  <si>
    <t>Entièrement satisfait pour le moment ! J'ai déclaré un seul sinistre non responsable, qui a été traité de manière efficace.</t>
  </si>
  <si>
    <t>19/02/2018</t>
  </si>
  <si>
    <t>estelle-d-129713</t>
  </si>
  <si>
    <t xml:space="preserve">Simple rapide et pas cher, satisfaite pour le moment. Tarifs attractif, j’attend maintenant de voir si ce sera aussi simple lorsque j’aurais besoin des services de direct assurance </t>
  </si>
  <si>
    <t>loic-b-106490</t>
  </si>
  <si>
    <t>dommage qu 'il faut payé  trois mois d avance et qu 'il y ait des frais de dossiers alors que c' est nous qui venons vers vous 
je vais voir pour moto et habitation</t>
  </si>
  <si>
    <t>13/03/2021</t>
  </si>
  <si>
    <t>peyronnet-j-119092</t>
  </si>
  <si>
    <t>Je suis très satisfait de la mise en place du dossier et de son suivi. Le prix est très correct pour un jeune conducteur et les garanties proposées sont intéressantes.</t>
  </si>
  <si>
    <t>24/06/2021</t>
  </si>
  <si>
    <t>sarah-64493</t>
  </si>
  <si>
    <t xml:space="preserve">Je me suis bien fais avoir par cette assurance auto. Au bout d'un an d'engagement, ils m'ont refait signer un contrat qui m'a donc réengagé sur un an (90€ de frais de résiliation si je veux rompre le contrat) et de plus ils n'ont pas arrêté l'ancien contrat qui a donc été prélevé sur mon compte, entrainant un découvert. je paye donc 2 assurances auto pour 1 véhicule et suis engagée pour encore un an chez eux. </t>
  </si>
  <si>
    <t>05/06/2018</t>
  </si>
  <si>
    <t>bouguedba-f-127690</t>
  </si>
  <si>
    <t xml:space="preserve"> je suis très  satisfaite des services d'olivier assurance  de la qualité du service, écoute, des bon conseille au top 
un bon prix pour jeune conductrice </t>
  </si>
  <si>
    <t>12/08/2021</t>
  </si>
  <si>
    <t>ze-deng-z-114274</t>
  </si>
  <si>
    <t>Good service, content! Très vite, simple, bonne service, paradis pour les voitures ;
Je n'ai plus grandchose à ajouter, c'était un service parfait, merci!</t>
  </si>
  <si>
    <t>so56-65431</t>
  </si>
  <si>
    <t xml:space="preserve">Très déçue par cette mutuelle qui préleve les mensualité n importé quand parfois plusieurs a la fois ce qui fait mal au portefeuille. Lors de ma souscription j'ai fait une erreur ds la date du coup ils prélevé 3 mois de plus nous étions en février lorsque j'ai souscrit ils m'ont prélevé d un coup novembre décembre et janvier... Ils n'ont biensur pas voulut me rembourser. Et ont continu à me prélever alors que je viens de les quitter.... </t>
  </si>
  <si>
    <t>12/07/2018</t>
  </si>
  <si>
    <t>arthur-81454</t>
  </si>
  <si>
    <t>J'ai mon chiot a qui on a detecter une dysplasie coxo fémorale, "Santevet et la seule assurance qui prend en charge la dysplasie", oui ils la prennent dans un indice de "gravité" allant de 0 à 0.5( et des dizaines d'autres motifs), autant dire un chien innopérable, bizarrement le mien a 0.98, on m'avais pourtant soutenu au cours du premier rdv téléphonique que mon chien serait pris en charge sans soucis, me disant qu'elle en était sure et ne mentionnant surtout pas le prérequis de l'indice, seulement l'age auquel on detecte la dysplasie. enfin bref, un délai de rétractation au contrat d'assurance supérieur au temps d'attente d'une réponse donc une assurance inutile a payer pendant 1 ans. Merci Santévet :)</t>
  </si>
  <si>
    <t>29/11/2019</t>
  </si>
  <si>
    <t>nat-75650</t>
  </si>
  <si>
    <t xml:space="preserve">Je ne recommande pas Harmonie Mutuelle. Mauvaise gestion. Les appels ne sont pas tracés donc problème de suivi du dossier. Les informations sont incohérentes entre le service client et les agences. Tarifs élevés au vu des garanties proposées et augmentations importantes de la cotisation d'une année à l'autre. </t>
  </si>
  <si>
    <t>06/05/2019</t>
  </si>
  <si>
    <t>nadido-88467</t>
  </si>
  <si>
    <t>Assurance  pris en 01/2020. Au départ, il faut payer 3 mois d'avance soit 250 € pour le 1T. le 10 mars, il preleve  84€ pour couvrir 10 avril au 10 mai et ne veulent pas me rembourser</t>
  </si>
  <si>
    <t>21/03/2020</t>
  </si>
  <si>
    <t>01/03/2020</t>
  </si>
  <si>
    <t>pierre-79342</t>
  </si>
  <si>
    <t>Assurance vie Euractiel souscrite le 30/06/2013. Versé 150 € sur 15 mois soit 2250€ et résultat le 31/12/2018 :1449€. Ai pris Axa sélection Stars qui joue avec la bourse. Résultat une belle erreur. que faire rester en espérant me refaire ou partir?</t>
  </si>
  <si>
    <t>chevaux82-89185</t>
  </si>
  <si>
    <t xml:space="preserve">A la mgen depuis 10 ans et j'ai une assurance de prêt immobilier auprès de la mgen également. En fevrier 2019 je vends mon appartement et je rembourse mon prêt. J'envoie l'attestation de ma banque à la mgen pour qu'il annule mon assurance de prêt . 2 mois plus tard je les contacte et la mgen n'a aucune trace de mon doucement . Je n'ai pas fais de double et je redemande une seconde attestation à la banque ( 18€....) je leur renvoie en recommandé avec AR leur demandant l'annulation de cette assurance. Je patiente 1 bon mois et je les contacte pour connaître l'évolution de ma demande . Et la on m'indique Qu'ils ont aucune trace de la demande ...... après leur avoir indiqué que j'avais L'accuse de réception signe de leur part on m'indique qu'il vont faire des recherches ..... on me recontacte 1 semaine après pour me demander si j'ai pas un double que je puisse leur transmettre par mail...... ce que je fais 
Devant le non avancement de mon dossier je prends rdv avec un conseiller mgen. Il m'explique Qu'il traite ma demande dans la journée et que si j'ai un nouveau projet la mgen peut assurer mon prêt car je trouverais pas moins cher ailleurs ...
Moralité ils ont réussi à annuler mon assurance de prêt au bout de 10 mois et je suis passé par un courtier pour mon nouveau prêt immobilier avec une bien meilleure assurance que la mgen ( en prix et en garanties ) 
J'ai envoyé ma démission en février et j'ai été contacté 2 jours après pour connaître les motifs ..... moralité il faut démissionner pour qu'il s'occupe De vous </t>
  </si>
  <si>
    <t>hassan-s-126175</t>
  </si>
  <si>
    <t>Je suis satisfaits du service, les prix sont très corrects.
J'espère content d'avoir fait appelle à Direct Assurance qui m'a permis de choisir l'option tout risques.
Cordialement.
Hassan SAHNI</t>
  </si>
  <si>
    <t>sam972-134706</t>
  </si>
  <si>
    <t>Je dois avouer qu'il ne s'agissait pas de mon premier choix en matière de mutuelle santé mais les personne travaillant au sein de cette entreprise sont très aimables et compétentes à l'image de Daouda.  il pu/su résoudre mes problèmes et répondre à mes questions sans soucis et cela est  très appréciable.</t>
  </si>
  <si>
    <t>aline-p-115848</t>
  </si>
  <si>
    <t xml:space="preserve">Les prix me conviennent, rapide, pratique j'attends de voir les services en cas de besoin (en espérant ne pas en avoir l'utilité) 
En espérant ne pas avoir de mauvaises surprises... </t>
  </si>
  <si>
    <t>fred-97105</t>
  </si>
  <si>
    <t xml:space="preserve">Satisfait une très bonne assurance je recommande sérieux et répond vite au demande remboursement rapide sous 5 jours répond au attente gentils poli au téléphone. </t>
  </si>
  <si>
    <t>07/09/2020</t>
  </si>
  <si>
    <t>elise-g-112221</t>
  </si>
  <si>
    <t>Je suis une jeune conductrice. Les prix me conviennent parfaitement, je m'attendais à quelque chose de bien plus élevé. Le devis était très rapide et simple à réaliser. C'est simple et pratique.</t>
  </si>
  <si>
    <t>antoinethiercelin-53307</t>
  </si>
  <si>
    <t>Client à la GMF depuis plus de 10 ans sur l'auto, habitation, assurance vie et accidents et famille je viens d'apprendre la future radiation de mon assurance auto suite à 4 sinistres dont 3 bris de glaces non responsable et 1 accident de la circulation responsable. Merci la GMF.</t>
  </si>
  <si>
    <t>15/03/2017</t>
  </si>
  <si>
    <t>pat-59923</t>
  </si>
  <si>
    <t xml:space="preserve">Mon contrat habitation effet 1er janvier 2014 avec indice 915.80.prelevement mensuel 33.20€.
Aujourd'hui, courrier m'indiquant pour 2018,prelevement mensuel 46.04€,
En 4 ANS 39 % d'augmentation.
Plus cerise sur le gateau,une proposition de protection juridique de 6.25€ mensuel chez Juridica(bien sur)
Moi qui pensais, l'avoir d'inclus dans mon contrat. 
</t>
  </si>
  <si>
    <t>23/12/2017</t>
  </si>
  <si>
    <t>zimmer-c-111966</t>
  </si>
  <si>
    <t>il y a eu un changement de tarif entre le devis et la signature réelle, mais les prix restent cependant correct. A voir si les prestations convenues sont bien respectées</t>
  </si>
  <si>
    <t>desc-103724</t>
  </si>
  <si>
    <t xml:space="preserve">Site internet impossible à connecter , conseillers de clientèle injoignable . Cette mutuelle existe-elle vraiment ? je vais faire 1 an et au revoir c'est la première fois que je me fais avoir à ce point ! je pense que cette société a juste une boite au lettre . </t>
  </si>
  <si>
    <t>imrani-n-113854</t>
  </si>
  <si>
    <t>Ravie de la rapidité du service et le prix me convient, c'est mon premier engagement avec votre établissement et je recommande a d'autres personnes. merci</t>
  </si>
  <si>
    <t>runter-79969</t>
  </si>
  <si>
    <t>AXA me résilie mon contrat auto en fin d'année pour motif: "la sinistralité observée sur votre contrat nous amène à mettre fin à votre contrat"
Avec un bonus à 50% et aucun sinistre responsable !
Donc si vous êtes victime de sinistres vous avez droit au même sort que les responsables
En bref il ne faut rien vous arrivé sinon au-revoir.
Donc avec mes 4 contrats chez AXA et 1200 euros de cotisations annuelle ; j'avais l'intention de prendre un contrat auto pour mon fils et une mutuelle familiale pour 2020 cela aurais fait 6 contrats!!!
Bref je retire tous mes contrats restants et vais faire le bonheur d'un autre assureur.
A bon entendeur.</t>
  </si>
  <si>
    <t>12/10/2019</t>
  </si>
  <si>
    <t>alexandre-v-121152</t>
  </si>
  <si>
    <t>je suis très content de DIRECT Assurance et surtout de l'accueil téléphonique avec des personnes à l'écoute et très gentilles. Je recommande cette Assurance à mon entourage</t>
  </si>
  <si>
    <t>25/06/2021</t>
  </si>
  <si>
    <t>driss-58429</t>
  </si>
  <si>
    <t>Je viens de souscrire et pour l'instant je suis très content. Tarifs et garanties avantageux. Mais surtout un service client au top, je tiens à remercier Aurélie qui est une conseillère formidable, qui connait et maitrise très bien son sujet. Avec ce niveau de compétence, vous irez loin.</t>
  </si>
  <si>
    <t>27/10/2017</t>
  </si>
  <si>
    <t>laura-103435</t>
  </si>
  <si>
    <t>Nous sommes clients MAAF pour nos voitures et Maison; depuis 20 ans ; c'est une assurance facilement joignable ; toujours a l'écoute du client; tarif raisonnable; très réactifs a chaque fois que nous les contactons; jamais aucun soucis avec eux .</t>
  </si>
  <si>
    <t>29/01/2021</t>
  </si>
  <si>
    <t>mumu7777-137309</t>
  </si>
  <si>
    <t>Je viens de recevoir un mail d'Assur o'poil m'informant d'une augmentation de tarif liée à "la période difficile du fait de la situation sanitaire et de ses conséquences possibles" et qui passe à "Nous vous remercions de bien vouloir noter que le montant de votre cotisation au 1er Janvier 2022 sera de 55.89 €" !!! Je paye actuellement 37.72 euros par mois !! c'est une augmentation de 75% !! Je viens de les appeler pour savoir si il n'y avait pas erreur, et non, c'est normal me dit-on, c'est en rapport avec la consommation de l'année !! Voyant que je n'étais pas d'accord, mon interlocutrice me propose un nouveau tarif à la baisse que je ne recevrais que dans 4 jours !!! Mais Sérieux de qui se moque t'on ? Je suis chez eux depuis 3 ans et mon chien a déclaré une épilepsie durant le contrat, aujourd'hui si je n'accepte pas leurs conditions, aucune mutuelle ne voudra couvrir la maladie de mon chien. C'est inadmissible. Je pense attendre leur nouveau tarif et porter plainte contre eux.</t>
  </si>
  <si>
    <t>christian--109065</t>
  </si>
  <si>
    <t>Je suis membre fondateur de cette mutuelle et il faut se rappeler d'où elle vient. 
Avant son existence les tarifs d'assurance moto étaient exorbitants.
Les couvertures proposées sont excellentes, je pense que le rapport prix prestation est tout à fait cohérent. 
La notion de solidarité entre sociétaire est importante et il ne faut pas oublier que cette mutuelle ne fait que la moto, elle n'est pas adossée à un grand groupe d'assurance qui utilise la moto comme produit d'appel.
Cette mutuelle a été créée par des motards pour les motards.</t>
  </si>
  <si>
    <t>Mutuelle des Motards</t>
  </si>
  <si>
    <t>france-m-101026</t>
  </si>
  <si>
    <t>Tant que vous payez pas de souci. J'avoue que durant des années j'ai été relativement bien accompagnée. Mais cette année, je suis déçue. 1ère proposition de remboursement à hauteur de 11 800 euros. J'ai trouvé que le partenaire abusait et il ne prenait pas tout en compte. J'ai fait faire une proposition de devis par une autre société, 1000 euros en dessous environ et elle prenait en compte l'isolation qui était détrempée, donc affaissée et n'isolait plus de la même manière. Du coup on m'envoie un expert qui diminue le tout à 1300 euros. Remboursement des réparations nul. J'ai appelé un nombre de fois important. Chaque fois les correspondants, comprenant la situation, ont essayé d'intervenir pour que le service sinistre, injoignable, me rappelle. Même pas un rappel. Aucun respect du client. J'enlève tous mes contrats et ceux de ma mère et ma sœur que je gère.</t>
  </si>
  <si>
    <t>06/12/2020</t>
  </si>
  <si>
    <t>magali-n-131816</t>
  </si>
  <si>
    <t xml:space="preserve">LES PRIX ONT L AIR SATISFAISANTS. Facile de faire un devis et de souscrire une assurance auto.  A voir à l'usage si les tarifs n augmentent pas sans raison ou autre... </t>
  </si>
  <si>
    <t>anissabenomari-122899</t>
  </si>
  <si>
    <t xml:space="preserve">Attention teleconseiller qui vous crie au téléphone d’aucune écoute on doit envoyer les documents plusieurs fois 
Un conseiller m’a informé que ça arrive que dans un mail il ne traite qu’une pièce jointe il faut courir tous les mois après ses remboursements </t>
  </si>
  <si>
    <t>mahamadou-c-131722</t>
  </si>
  <si>
    <t>JE SUIS TRES SATISFAIT DU SERVICE DU PRIX ET DE LA RAPIDITE DE SOUSCPRITION SUR LE SITE INTERNET LES TARIFS SONT CLAIR ET TRES BONNES CONDITIONS AINSI QUE DU FAIT DE POUVOIR ETRE PARRAINE</t>
  </si>
  <si>
    <t>jennifer-a-134751</t>
  </si>
  <si>
    <t>Je suis satisfaite du service le prix me convient C'est une très bonne assurance est très facile Pour la souscription J'ai toujours été satisfaite de cette assurance et je la recommande à mon entourage</t>
  </si>
  <si>
    <t>tetrel-a-138220</t>
  </si>
  <si>
    <t>Super contact, je recommande l’olivier  pour son accueil et son niveau de service. Très bonnes réponses aux questions posées et réactivité impeccable !</t>
  </si>
  <si>
    <t>fabcity515-56787</t>
  </si>
  <si>
    <t xml:space="preserve">Gestion catastrophique de mon dernier sinistre; les services de la Maif se sont dégradés depuis plusieurs années.Suite à un soit problème informatique la maif n'a pas correctement enregistré mon sinistre, n'a soit disant pas reçu mes mails (pourtant moi j'ai les accusés réception pour preuve). Deux mois que j'attends réparation pour un dégât des eaux. J'ai dû les relancer pour avoir des nouvelles de mon sinistre. Eh bien rien du tout n'avait été entrepris : dossier à moitié saisi, aucun suivi, aucun expert mandaté, aucune société mandatée pour les travaux, rien de rien ! etc. Préjudice financier pour moi qu travaille à mon domicile et ne pourrai recevoir la clientèle pendant les travaux. 25 ans chez la Maif mas pas une année de plus, j'ai d'ores et déjà démarché la concurrence et je prépare mon courrier recommandé pour aller m'assurer ailleurs ! Il est loin le temps où la Maif faisait partie des assurances rapides aux tarifs compétitifs!  </t>
  </si>
  <si>
    <t>21/08/2017</t>
  </si>
  <si>
    <t>matthieu-l-135000</t>
  </si>
  <si>
    <t>Je suis satisfait du service., rapide et réactif et conseillère accueillante. Direct assurance m'assure en tous risques alors que d'autres ont refusé …</t>
  </si>
  <si>
    <t>29/09/2021</t>
  </si>
  <si>
    <t>lewis-71058</t>
  </si>
  <si>
    <t xml:space="preserve">tres  decue par la maaf une assurance qui ne respecte pas les droits de ses clients je suis cliente depuis 25 ans à  la maaf et au premier sinistre on refuse de reparer le prejudice il s'agit d un degat des eaux et je ne suis pas responsable la maaf me rembourse tres mal </t>
  </si>
  <si>
    <t>14/04/2019</t>
  </si>
  <si>
    <t>benjaminr-92808</t>
  </si>
  <si>
    <t>J’attends de recevoir certaines informations supplémentaires car je n’ai pas eu les renseignements désires concernant les montants des franchises que vous appliquez</t>
  </si>
  <si>
    <t>30/06/2020</t>
  </si>
  <si>
    <t>leblmil-59645</t>
  </si>
  <si>
    <t>J'ai eu un accident non responsable avec la voiture de mon beau frère assurer chez direct assurance et je me retrouve avec une franchise de 1500€. Je pense que c'est la seule Assurance qui demande une franchise sur un accident non responsable. À éviter le plus possible.</t>
  </si>
  <si>
    <t>fabien-105216</t>
  </si>
  <si>
    <t>5 mois pour me faire rembourser mon véhicule, sans être en tort. Accident avec une assurance étrangère ( et alors). Pas de relance de la part du service sinistre. Incompétent.</t>
  </si>
  <si>
    <t>christian-63311</t>
  </si>
  <si>
    <t>Sociétaire depuis près de 40ans, je constate depuis quelques années le changement de comportement de la MACIF envers ses sociétaires. Le comble ce soir où je reçois un courrier RAR me signifiant la non reconduction de l'une de mes assurances suite à des dossiers pour lesquels je n'étais pas en tord!! Joint à ce courrier l'historique de mon contrat démontrant un bonus de 50% supérieur à 17 ans sur ce véhicule. Ridicule, mesquin et indigne de la part d'une soit-disant mutuelle. Je vérifie qu'un assureur à le droit de mettre fin à un contrat d'assurance sans motif justifié. C'est comme si un médecin refusait de soigner son patient après qu'une maladie ait été déclarée. Affligeant. Je vais donc chercher une assurance digne de nom qui ne prend pas comme la Macif ses sociétaires pour des vaches à lait et lui transférer l'ensemble de mes contrats et non juste celle de ce véhicule.</t>
  </si>
  <si>
    <t>16/04/2018</t>
  </si>
  <si>
    <t>jack-64512</t>
  </si>
  <si>
    <t xml:space="preserve">Assuré depuis plus de 40 ans à la MACIF, sans avoir d'incident notoire, je constate aujourd'hui que la Macif n'effectue pas son travail pour laquelle je cotise.
Nous avons tous l'obligation d'être assuré que ce soit pour notre résidence ou notre véhicule et je constate que l'assurance en occurrence la MACIF n'est pas tenue à obligation pour rendre le service pour lequel nous cotisons.
le 3 janvier suite à la tempête, se produit une rupture des cables d'alimentation des cables électriques entre le pylône EDF et la maison. Ceci entraine la perte d' une phase du courant triphasé, ce qui est sans conséquence pour l'ensemble du matériel électrique de la maison sauf sur les compresseurs du chauffage par géothermie qui s'avèrent être détruits quand EDF rétablit l'alimentation en triphasé.
La MACIF m'annonce que je peux faire effectuer les réparations que de toute manière ma responsabilité n'étant pas engagée, La MACIF avancera une partie des frais de réparation.
Donc attente du matériel, 3 semaines de délais et réparation effectuée. Chauffage à nouveau en fonction début février (ça n'est pas trop tôt, il fait froid) Je paie les réparations, plus de 6000 € depuis, c'est à dire 5 mois après pas d'action de la MACIF, toujours la même réponse, nous attendons le rapport d'expertise! Si la seule excuse pour ne pas exécuter leur partie de contrat elle vaut pas . Ce n'est pas nous qui choisissons les experts et c'est bien à eux de s'assurer de leur travail! Le manque de sérieux de la MACIF dans l'exécution de leur partie du contrat peut mettre dans de grosses difficultés leurs sociétaire. Où est l'esprit mutualiste vanté dans les pubs!!!!! </t>
  </si>
  <si>
    <t>emp-88678</t>
  </si>
  <si>
    <t xml:space="preserve">Plus de 30 ans la mat mut toujours bien reçu a l'agence de Montélimar, comme beaucoup de gents le tremblement de terre a touchait ma maison, le problème pour les sinistrés ne vient pas le plus souvent des assureurs mais de quelques experts incompétents je garde encore confiance a la mat mut  mais ? </t>
  </si>
  <si>
    <t>03/04/2020</t>
  </si>
  <si>
    <t>z-soumya-91069</t>
  </si>
  <si>
    <t xml:space="preserve">Satisfait du service. Les prix me conviennent. La rapidité pour un devis est génial. J’espère pouvoir souscrire chez vous. Moins chère de toutes les assurances </t>
  </si>
  <si>
    <t>16/06/2020</t>
  </si>
  <si>
    <t>jmb-115361</t>
  </si>
  <si>
    <t xml:space="preserve">A ÉVITER À TOUT PRIX
Ne tient pas ses engagements, ne respecte pas le contrat signé. 
Gestionnaire de mon dossier injoignable. 
170 jours après mon sinistre auto, aucune indemnisation, aucune décision.
Au contraire la MAIF cherche toute excuse pour ne pas indemniser, quitte à inventer et mentir. </t>
  </si>
  <si>
    <t>30/05/2021</t>
  </si>
  <si>
    <t>nesimi-v-122513</t>
  </si>
  <si>
    <t>La souscription est facile et intuitive.
Lorsque j'ai appelé le service client la décroche était rapide et les réponses aimables et rapides.
Voir si la décroche sera aussi pour les questions de suivi du dossier..</t>
  </si>
  <si>
    <t>pigot-c-125575</t>
  </si>
  <si>
    <t>bonjour, Le 13 Février 2021, une visioconférence a été organisée avec une attachée commerciale pour un projet d'ouverture de PER et PROFILEO. Après avoir fait un bilan de diverses questions, je sollicite un nouvel entretien . Mes courriels et appels sont restés sans réponse ( pendant 3 semaines) jusqu'au 18 Mars pour cause de maladie de l'attachée commerciale .Le 20 Mars, j'envoie le dossier complet signé incluant RIB et pièce d'identité . Le 23 Mars, le chèque de 20 € pour le GERP est envoyé. A cette même date, Je fais un virement bancaire sur mon compte courant pensant que le prélèvement va se faire sous un court délai. Jusqu'au 11 Avril , aucune nouvelle de l'attachée commerciale ( à nouveau absente pour maladie) . A son retour du 11 Avril, après contact pris avec le comptabilité , on m'informe que le RIB est manquant ( alors qu'il était bien transmis dans mon courriel du 20 Mars)et que ma carte d'identité est périmée, ce même jour je renvoie RIB et passeport . Vos équipes ne sont elles pas informées que la durée de validité des cartes est désormais de 15 ans au lieu de 10 ?. Le 27 Avril, je recontacte l'attachée commerciale pour l'informer que mes fonds ne sont toujours pas prélevés ni les virements mensuels. Le prélèvement ne sera réalisé que le 12 Mai. Dans la globalité le montage du dossier a duré 3 mois alors que j'ai été très réactive et il était complet le 24 Mars . Je trouve cela dommage qu' aucune personne n'aie assurée le remplacement de l'attachée commerciale en congés maladie et que vos équipes comptables réclament des documents déjà transmis ou rejettent une pièce d'identité valable ( par chance, je venais de refaire mon passeport) . Sans passeport , mon dossier aurait il été rejeté ?.les fonds versés sur mon compte courant auraient pu m'apporter quelques intérêts sur mes comptes épargnes pendant ces 7 semaines d'attente de prélèvement . Manque de réactivité dans la gestion globale de mon dossier qui n'inspire pas confiance pour la gestion future de mes comptes PER et profiléo . Une réelle déception !</t>
  </si>
  <si>
    <t>Carac</t>
  </si>
  <si>
    <t>03/07/2021</t>
  </si>
  <si>
    <t>loic-vfr-63026</t>
  </si>
  <si>
    <t>J'ai été chez euro assurance pour ma moto pendant 16 ans. Aucun accident depuis 2006. 
Un accident responsable l'été 2017. Je reçois quelques mois après une lettre recommandée de résiliation avec inscription dans les fichiers de l'AGIRA
Aucune explication (ils n'y sont pas tenus) mais l'impression de se faire jeter comme un kleenex.
De plus aucune défense du dossier quand à la responsabilité de l'accident alors qu'elle était clairement discutable.</t>
  </si>
  <si>
    <t>Euro-Assurance</t>
  </si>
  <si>
    <t>06/04/2018</t>
  </si>
  <si>
    <t>yoan-06-104678</t>
  </si>
  <si>
    <t xml:space="preserve">Une catastrophe. Aucune empathie les délais de traitement sont extrêmement longs. Ils font tout pour ne pas payer en misant sur le fait que leurs assurés ne vont pas agir en justice. Le groupe swiislife est à fuir. </t>
  </si>
  <si>
    <t>24/02/2021</t>
  </si>
  <si>
    <t>nonos-89454</t>
  </si>
  <si>
    <t>Augmentation de la prime d'assurance de + de 14% sans raison ! 
1 accident NON RESPONSABLE !!</t>
  </si>
  <si>
    <t>07/05/2020</t>
  </si>
  <si>
    <t>antoine-p-127091</t>
  </si>
  <si>
    <t>satisfait du site, du prix et  et des garanties 
A voir dans le temps si les garanties sont respectées et les conseillers disponibles en cas de besoin</t>
  </si>
  <si>
    <t>08/08/2021</t>
  </si>
  <si>
    <t>sam-102889</t>
  </si>
  <si>
    <t xml:space="preserve">Le rapport qualité prix est très satisfaisant. Les interlocuteurs sont à l écoute et je n ai jamais été déçue depuis que je suis adhérentes. 
Je recommande
</t>
  </si>
  <si>
    <t>19/01/2021</t>
  </si>
  <si>
    <t>yoyo-81591</t>
  </si>
  <si>
    <t xml:space="preserve">situation ubuesque  pour un assureur professionnel qui dit assurer les véhicules sans permis ... </t>
  </si>
  <si>
    <t>berni--97340</t>
  </si>
  <si>
    <t xml:space="preserve">Reactif pour envoyer l appel de cotisation ça oui !
Et puis ....impossible de joindre qui que ce soit pour un rembourssement suite a la vente d une moto assuree chez eux .
LR debut juillet , relances mail ..rien
"Les promesses n engagent que ceux qui les ecoutent "
Je suis TRES SURPRIS pour etre poli de lire tous ces avis merveilleux quand au suivi des dossiers 
On aurai peur d avoir a declarer un accident et des suites apportees 
A fuir 
Le tarif ne fait pas tout 
Une pseudo assurance qui edite des contrats et encaisse  les cotisations point .
A fuir </t>
  </si>
  <si>
    <t>13/09/2020</t>
  </si>
  <si>
    <t>jimbono85-124195</t>
  </si>
  <si>
    <t>Jusqu'à présent j'étais satisfaite de l'assurance et de l'assistance. Mais rajouter mon fils qui a fait conduite accompagnée sur mon contrat à multiplier le cout de l'assurance par 1.5 ! Ce qui est incompréhensible pour moi puisque normalement le fait de faire conduite accompagnée réduit le malus nouveau conducteur. 
Je valide mais pas de nouveau contrat, on n'a pas le détail du calcul du montant de l'assurance. Bien que notre bonus augmente, chaque année l'assurance coute plus chère ? ! ! ! Même si pas chère à la base , une explication serait la bienvenue.
Je découvre en demandant mon relevé d'informations que L'Olivier n'aurait soit disant jamais reçu mon contrat rectificatif signé depuis 2019 et donc ne peut pas m'envoyer ce relevé. Malgré 4 envois en 1 mois par mail, téléchargement sur leur site, le document est toujours manquant.
Je suis vraiment déçue car jusqu'à présent tout allait plutôt bien . . . 
Je ne sais plus comment réagir pour enfin obtenir mon relevé d'informations. Dois-je envoyer un recommandé ? Saisir une association de consommateurs ?
Quel dommage ! En quelques semaines, vous avez cassé la confiance d'une assurée jusque là ravie !</t>
  </si>
  <si>
    <t>22/07/2021</t>
  </si>
  <si>
    <t>boudoit-53682</t>
  </si>
  <si>
    <t>l'une des mutuelle les plus nul que jai jamais eu franchement du nimporte quoi un an avec eux on ma jamais rembourser 1euro alors que sois disant jai une bonne formulle a 150euro PFFFFF</t>
  </si>
  <si>
    <t>29/03/2017</t>
  </si>
  <si>
    <t>riad-z-122285</t>
  </si>
  <si>
    <t xml:space="preserve">Je suis satisfait du service merci beaucoup très bonne assurance je conseille à tou tle monde rapide et des prix raisonnables merci en tout cas très bonne </t>
  </si>
  <si>
    <t>amoin-90291</t>
  </si>
  <si>
    <t xml:space="preserve">Sinistre en attente depuis 4 mois, injoignables, aucun retour de leur part et j'ai pourtant tenté tous les moyens de les contacter : mail, téléphone, formulaire de contact etc. Absolument aucune réponse et aucune nouvelle de leur part 
Je suis très déçu d'autant que j'ai deux motos assurées chez eux pour 110€ par mois et qu'à ce prix là j'attends un minimum de service client. 
C'est une assurance qui sait se présenter comme une mutuelle proche de ses clients et qui donne de bonnes garanties pour un prix un peu plus élevé qu'ailleurs. En réalité après le contrat signé vous finirez par comprendre que ça ne vaut pas plus le coup qu'ailleurs. 
Je ne me suis jamais senti si délaissé par une compagnie d'assurance et ce n'est pas du tout rassurant. </t>
  </si>
  <si>
    <t>07/06/2020</t>
  </si>
  <si>
    <t>claire82-53280</t>
  </si>
  <si>
    <t xml:space="preserve">Pitoyable et minable! Pas d'autres mots pour expliquer le service client de cette pseudo assurance!
Nous avons eu une fuite d'eau il y a un an et trois mois! Toujours pas réglé!!!!! Les artisans, commandés par la GMF, ne se sont pas déplacés et la GMF ne nous a pas avisé! 
J'ai mis des jours avant d'avoir le service sinistre. Et à ce jour, toujours rien!!!!! 
PITOYABLE! </t>
  </si>
  <si>
    <t>14/03/2017</t>
  </si>
  <si>
    <t>talle-d-115482</t>
  </si>
  <si>
    <t xml:space="preserve">Des frais s'ajoutent aux tarif inscrit au début avec par exemple le paiement mensuel, l'acompte demandé est aussi excessif. Cela m'a décourager d'assurer ma seconde voiture déjà assurer chez la Maif alors que vous êtes moins cher. 
</t>
  </si>
  <si>
    <t>tete-63012</t>
  </si>
  <si>
    <t>direct assurance change ces conditions générales et comme je suis assistante maternelle, il me résilie. et lorsque vous êtes résilié par une assurance vous galérez pour trouver une nouvelle assurance. De plus ma voisine fait l'erreur de m’abîmer ma clôture (pas volontairement) donc constat amiable montant réparation 350€ donc sinistre à ma charge sur l'assurance.
Merci direct assurance j'y étais assurée depuis 14ans sans aucun sinistre...</t>
  </si>
  <si>
    <t>givanno-127385</t>
  </si>
  <si>
    <t>Fuyez cette assurance les courtiers vous annoncent des options et au final sur le contrat c'est autre chose...et les conseillers sont désagréables et certains se permettent de souffler tellement ont les ennuies assurance à fuir.
A bon entendeur....</t>
  </si>
  <si>
    <t>10/08/2021</t>
  </si>
  <si>
    <t>audrey-k-136132</t>
  </si>
  <si>
    <t xml:space="preserve">Simple à mettre en place, offres claires
une assurance jeune conducteur moins chere que la concurrence sur tous les comparateurs.
Site très simple d'utilisation
Merci April
</t>
  </si>
  <si>
    <t>thierry-m-125614</t>
  </si>
  <si>
    <t xml:space="preserve">Ok je suis satisfait du service , des prix et de la qualité du site.
J'espère que tout se passera bien.
Et que le service sera nikel, et fidele au engagement </t>
  </si>
  <si>
    <t>jeanne-133749</t>
  </si>
  <si>
    <t>Rawane a été très gentil et très à l'écoute, j'espère retomber sur lui pour ma prochaine question. Je suis très satisfaite des tarif proposé, ils correspondent à mes besoins et mon budget. A bientot!</t>
  </si>
  <si>
    <t>alaink78-97071</t>
  </si>
  <si>
    <t xml:space="preserve">Souscripteur depuis plusieurs dizaines d'années chez Pacifica, j'ai eu un dégât des eaux qui a endommagé deux murs d'un pièce. L'un des deux murs portaient plus loin des traces de condensation dont le dommage était nettement moins important. Prenant prétexte de ces traces de condensation mais ne contestant pas les dégâts dus à la fuite d'eau, Pacifica a refusé de prendre en charge quoique ce soit de ce mur alors même que je lui proposai de partager les frais.
Cela m'a poussé à changé d'assureur et mes primes ont été divisés par deux.
</t>
  </si>
  <si>
    <t>06/09/2020</t>
  </si>
  <si>
    <t>nancy-l-132866</t>
  </si>
  <si>
    <t>Merci pour votre retour rapide je suis très satisfaite je vous remercie infiniment et vous recommande vivement. Grâce à vous je vous je vais pouvoir aller travailler avec ma nouvelles voiture MERCI</t>
  </si>
  <si>
    <t>tilly-79621</t>
  </si>
  <si>
    <t xml:space="preserve">Incompétents , tout devient complique pour la moindre demande (chose qui nest pas dans les autres centres d'assurances ) . Cessation de contrat est également tres compliqué et prend bcp de temps . Je recommande pas du tout cette assureur ,ne perdez pas votre temps  il y a mieux ailleurs </t>
  </si>
  <si>
    <t>tulipes-134674</t>
  </si>
  <si>
    <t>Au debut c'était tout nouveau tout beau. J'ai passé un mail resté sans réponse.  J'ai envoyé une facture d'ostéopathe et toujours pas de réponse. Il ne suffit pas d'attraper les clients il faut continuer de les bichonner. J'attends un peu s'il n'y a pas d'amélioration je  changerais.</t>
  </si>
  <si>
    <t>maite-67305</t>
  </si>
  <si>
    <t xml:space="preserve">J'ai été prise en charge au téléphone par une personne fort sympathique agréable et connaissant hyper bien son travail. </t>
  </si>
  <si>
    <t>03/10/2018</t>
  </si>
  <si>
    <t>rtruong-57343</t>
  </si>
  <si>
    <t xml:space="preserve">Pour déroger à la règle qui consiste à exprimer ses déboires sur ce Forum, voici le témoignage d’un client complètement satisfait de Direct Assurance.
Il y a 2 mois j’ai été victime d’une tentative de vol de mon véhicule BMW 520D garée dans ma propre cour fermée par un grand portail. Toute l’électronique a été proprement démontée sans aucun dégât sur le tableau de bord et la console centrale: vol du GPS, écran, joystick Idrive, ordinateur, sytème multimédia… et ceci sans aucune effraction (vitres non cassés et poignées de portières intactes).
Plainte déposée auprès de la Gendarmerie et sinistre déclaré auprès de Direct Assurance.
J’aurais « pu » casser mes vitres pour être à l’abri de tout litige de vol sans effraction mais ma voiture étant équipée du système « Connected Drive » de BMW, le « mouse hacking » ou vol électronique étant possible sur ce type de véhicule, j’ai préféré faire ma déclaration en l’état en bonne conscience.
L’expertise a été faite au garage dans le courant de la semaine suivante avec une contre visite à mon domicile pour vérifier les conditions d’accès et de parking.
Le rapport d’expertise conclut à une tentative de vol sans effraction.
Le service Sinistre puis le service d’étude des risques de Direct Assurance ont pris en charge la gestion du dossier et ont mis 2,5 mois pour statuer sur la prise en charge de ce vol.
Pendant ces 2,5 mois j’ai sollicité à maintes reprises (1 fois par semaine) l’accueil téléphonique, puis après directement le service Sinistre et enfin le service d’Etudes des risques pour être informé de l’avancement du dossier.
J’ai eu à chaque fois des interlocuteurs disponibles (ou quand ils ne le sont pas ils m’ont toujours rappelé) et tous ont été attentifs et à l’écoute à mes questions et remarques.
Ils ont été cordiaux et rassurants même s’ils ne pouvaient apporter des réponses définitives.
Un sinistre de cette importance (15000 € de réparations) et sa nature (mouse jacking sans effraction) nécessite une investigation technique approfondie pour voir si c’est possible ou pas sur ce type de véhicule.
Ceci a abouti finalement à la prise en charge par Direct Assurance de ce sinistre.
Je tiens à remercier mes différents interlocuteurs  de Direct Assurance de leur accueil et leur attention pour traiter ce dossier délicat car j’ai vécu tout de même 2 mois stressants mais finalement avec une issue positive.
Je conclus en ajoutant cette dernière information : j’ai demandé un devis pour l’assurance d’une BMW à acheter à une mutuelle (X pour ne pas la nommer)
Le tarif est 2 fois plus élevé que le tarif proposé par Direct Assurance et à ma question précise concernant le Mouse Jacking ou Vol électronique sans effraction, mon interlocuteur a dit que le vol sans effraction n’est pas couvert.
A vous d’en tirer vos conclusions. </t>
  </si>
  <si>
    <t>henrikiki-126246</t>
  </si>
  <si>
    <t>BONJOUR
JAI  ETAIT  BIEN  RECU  PAR ABO POUR ME  GUIDE DANS  MA  PREMIERE CONNECTION
SUR MON  COMPTE DE  ADHERENT  PAR  TELEPHONNE JE  VOUS  REMERCIE
CORDIALEMENT  MR  PAGNIER</t>
  </si>
  <si>
    <t>liberte-114469</t>
  </si>
  <si>
    <t>A propos de CEGEMA; Assurances MUTUELLE SANTE .AUCUN CONTACT AVEC LES CONSEILLLERS .VS PATIENTEZ 20 MINUTES AU TEL!!!!et vs dises ns vs contacterons et jamais  d'appels!!!!Les remboursements laissent à désirer !!!!ZERO POINTE PR CETTE Mutuelle .J'ai envoyé une lettre de résiliation en recommandé le 31 mai 2021, le courrier bien reçu par CEGEMA VILLENEUVE-LOUBET 06272;avis de réception en retour!!!mais toujours pas de nouvelles de leur part???  0000000000</t>
  </si>
  <si>
    <t>21/05/2021</t>
  </si>
  <si>
    <t>olivier13-71658</t>
  </si>
  <si>
    <t>Vieux client de la Mutuelle des Motards, j'ai eu un double sinistre vol (voiture et moto, lors d'un cambriolage de la maison). Mon dossier a été pris en charge immédiatement. Bon accueil téléphonique et bons conseils. Remboursement complet et dans des délais records !! Je ne souhaite à personne un sinistre, mais quand ca arrive, c'est super d'avoir un bon assureur! Bravo, la Mutuelle des Motards, et merci !!</t>
  </si>
  <si>
    <t>26/02/2019</t>
  </si>
  <si>
    <t>dominique-l-125530</t>
  </si>
  <si>
    <t>Bon rapport qualité prix, possibilité d'adapter son contrat avec de nombreuses options. Le site est clair et pratique, le premier contact téléphonique a été bon.</t>
  </si>
  <si>
    <t>dp-109295</t>
  </si>
  <si>
    <t xml:space="preserve">Très satisfaite  du dossier de la maison pour les travaux . 
Et vous remercie sincèrement 
Merci pour l'accueil téléphonique Pacifica est une assurance sérieuse   </t>
  </si>
  <si>
    <t>bb-121945</t>
  </si>
  <si>
    <t>Si vous avez des problèmes de santé, fuyez, la gestion de votre dossier par les conseillers ne fera que les accentuer ! Le suivi est inacceptable, tout est compliqué, même lorsqu'on se fait opérer à l'hôpital public, il faut batailler pour obtenir des actes acquittés Format paysage pour espérer être remboursé. La MGEN ne permet aucune fluidité entre le centre de soin et le patient. J'attends toujours des remboursements datant de décembre,( nous sommes en juillet) suite à une intervention à l'Hôpital Trousseau à Tours! La MGEN Poitiers me demande aujourd'hui de faire un courrier de réclamation à la direction. Il s'agit dans mon cas de remboursement de frais de lit pour être restée dormir dans la chambre de ma fille pour une intervention lourde, prélèvements sanguins... Totalement inadmissible !</t>
  </si>
  <si>
    <t>phil80-71095</t>
  </si>
  <si>
    <t>Bonjour, 
Suite à un dégât des eaux lié à une canalisation encastrée dans un mur, notre conseiller nous renvoie sur le numéro de la plate-forme située au Maroc (ce que nous ne savions pas encore). Une gestionnaire prend notre appel et nous assure que toutes les réparations seront prises en charge mais qu'il faut tout d'abord procéder à la recherche de la fuite. Nous précisons que nous savons où elle se situe grâce à notre plombier. Elle ne veut rien savoir et mandate leur entreprise, condition obligatoire pour que la réparation soit prise en charge.  5 jours d'attente et un technicien vient repérer la fuite (et surprise, elle se situe bien où nous pension), casse le mur et, en faisant cela, aggrave la situation en créant une nouvelle fuite. Puis, il rédige un rapport et s'en va. Encore 4 jours d'attente pour apprendre que finalement pour l'assurance le dossier est clos (travaux terminés pour eux) et que la réparation ne sera pas prise en charge. L'entreprise a facturé 462 euros à l'assurance qui nous réclame 166 euros de franchise pour un trou dans un mur et une nouvelle fuite. Depuis, plus aucune nouvelle, personne ne répond ni au téléphone, ni à nos mails. Notre conseillère, en France, est étonnée de la situation et essaye d'obtenir un rappel de la plate-forme mais rien. Nous restons avec une fuite d'eau dans notre maison, un trou béant et n'avons aujourd'hui rien de concret. D'après notre service client AXA, les travaux sont terminés et nous devons nous payer la franchise. Je pensais avoir choisi, il y a 16 ans, une assurance pour sa proximité... Cela a bien changé, plus d'humain, plus aucune prise en compte des clients, nous sommes juste considérés comme une source de profit... Car les cotisations, elles, augmentent d'année et année pour être couverts de moins en moins.</t>
  </si>
  <si>
    <t>david-c-131590</t>
  </si>
  <si>
    <t>bonjour, dossier simple et facile à remplir en moins de 15 minutes, néanmoins je trouve les tarifs un peu élevés. A voir dans le temps si les remboursements et ou réactivités seront à la hauteur.</t>
  </si>
  <si>
    <t>06/09/2021</t>
  </si>
  <si>
    <t>djsgarrac-89100</t>
  </si>
  <si>
    <t>Victime d'un accident de la route aucun effort fait par la macif pour défendre ma bonne foi je suis totalement irresponsable et ne voulant pas allez plus loin qu'un constat rempli de manières pas correct par la partie adverse et décide 50-50</t>
  </si>
  <si>
    <t>23/04/2020</t>
  </si>
  <si>
    <t>lucie-r-127169</t>
  </si>
  <si>
    <t>souscription rapide et proposition de pack très clair.
juste paiement de la première mesualité et des frais de dossier pas très clair, ni la liste des documents à envoyer.</t>
  </si>
  <si>
    <t>09/08/2021</t>
  </si>
  <si>
    <t>jamaa-c-134985</t>
  </si>
  <si>
    <t>JE SUIS SATISFAIT  PAR VOTRE SERVICES LE SEUL PROBLEME QUE J'AI EU C'EST QUE VOUS N'AVEZ PAS LE PAIEMENT MENSIEUL 
VOUS ATES LE LEADER EN ASSURANCE 
MERCI</t>
  </si>
  <si>
    <t>kamham69-71356</t>
  </si>
  <si>
    <t xml:space="preserve">Je suis déçu sur le suivi des sinistres, on est obligé de courir à l information. De plus suite à mon accident, comme par hasard mon compte est résilié sans même être informé deux mois avant par A/R sachant que avant ça, j avais demandé une suspension de contrat qui m avait été confirmé par cet assureur. De plus je n ai même pas accès à mon RI vu que mon contrat est résilié pour souscrire chez un autre assureur, malgré plusieurs demandes par mail ils s en foutent royalement. .  Je suis vraiment déçu et je déconseille vivement cet assureur, c 'est la galère c est la course à l information etc etc ........ Pour ceux qui veulent en savoir plus n hésitez pas à venir me contacter par mail. Je cherche des assurés dans le même cas car je saisir la répression des fraudes la CNIL également. </t>
  </si>
  <si>
    <t>13/02/2021</t>
  </si>
  <si>
    <t>mohammed-m-114086</t>
  </si>
  <si>
    <t>j'ai déjà des problème d'incohérence entre le devis et le contrat que vous me demander de signer., donc avant même que je commence mon contrat d'assurance.</t>
  </si>
  <si>
    <t>william-a-132115</t>
  </si>
  <si>
    <t>Paiement compliqué pour le reste les tarif sont correct jattend avec impatience le devis complet. Merci de votre attention. Dans l'attente de ma carte verte. Merci</t>
  </si>
  <si>
    <t>sm-57265</t>
  </si>
  <si>
    <t xml:space="preserve">bonjour,
Je subi une augmentation de cotisation sur la première année de 100 euros sans avoir déclaré durant cette année aucun sinistre ou n'ayant fait aucune modification de contrat.
ayant contacté le service qualité je n'ai a ce jour aucune réponse depuis le 06/09/17 donc au revoir l'olivier ......
</t>
  </si>
  <si>
    <t>jam-69628</t>
  </si>
  <si>
    <t>Suite à un accident auto non responsable Axa a tout d'abord confirmé la prise en charge des frais de taxi ainsi qu un prêt de véhicule comme stipuler sur mon contrat
Au final j ai du avancer les frais de taxi et je n ai plus de voiture de remplacement je retéléphone au moins de 60 fois à Axa un coup c oui un coup c non je m'énerve a en pleurer et on me propose une prise en charge direct chez un loueur je prends un taxi avec mes deux enfant en bas âge arrivée à l agence le document de prise en charge n est pas conforme et ni professionnel se sont les mots du responsable de l agence le document était sous forme Excel et n importe qui  peut le modifier aucune mentions légale y était inscrite Bref un document que mon boulanger aurait pu crée lui même
Je rentre chez moi sans voiture et en plus Je paie de ma poche les frais de taxi qui ne seront pas remboursé
Merci Axa de foutre en l air mes vacances de noel les sorties prévues avec mes enfants le plaisir d aller choisir cadeaux de noel</t>
  </si>
  <si>
    <t>22/12/2018</t>
  </si>
  <si>
    <t>achouri-m-127131</t>
  </si>
  <si>
    <t xml:space="preserve"> je suis satisfait du prix, concernant le service  pour le moment tout va bien néanmoins il reste très tôt pour avoir une idée précise sur le fonctionnement des assurances en ligne? c'est ma première expérience   </t>
  </si>
  <si>
    <t>ludovic-b-127296</t>
  </si>
  <si>
    <t>Je suis satisfait du prix et des services proposés. Ce sont les meilleurs tarifs que jai pu trouver pour une assurances. Souscriptions très rapide ras</t>
  </si>
  <si>
    <t>paul-s-127124</t>
  </si>
  <si>
    <t>L'application est simple et les choix claires.
Les prix me semblent correctes par rapport aux concurrents.
Pas encore eu à faire appel en cas réel, à confirmer.</t>
  </si>
  <si>
    <t>chardon-d-114376</t>
  </si>
  <si>
    <t>rapide et efficace ,contact avec un commercial par téléphone très sympathique.
explications claires. Tarif avantageux pour les jeunes conducteurs. à voir par la suite.</t>
  </si>
  <si>
    <t>psalero-109287</t>
  </si>
  <si>
    <t xml:space="preserve">j'ai eu en contact EMELINE, qui à été une excellente conseillère, et qui m'a aidé a créer mon compte adhèrent,
très satisfait du 1er contact après signature de mon contrat mutuelle.
cordialement </t>
  </si>
  <si>
    <t>alter-ego-99660</t>
  </si>
  <si>
    <t>Nous avons fait, par erreur, un virement au bénéfice de cette société.
Depuis le mois de Juillet nous ne comptons plus les courriers, courriels, et appels téléphoniques que nous avons fait pour leur demander le remboursement de cette erreur.
Sans succès, les communications restent très vagues.... Ils ne savent pas...
Comment faire confiance à une entreprise qui fonctionne ainsi ?
Nous connaissons tous la réputation des assurances, et avec Malakoff nous en avons la caricature.
Nous allons faire intervenir notre banque, service payant et non garanti, mais nous ne sommes plus à cela prêt!</t>
  </si>
  <si>
    <t>clairvoy2-81347</t>
  </si>
  <si>
    <t>Très bonne expérience et conseils reçus avec tous les services de la MAIF : notamment suite à une panne auto pour la rapidité de rapatriement au domicile et de la qualité de l'expert automobile choisi, avec un suivi compétent du service juridique. De ce fait, nous avons une certaine sérénité et certitude d'être bien assurés avec la MAIF.</t>
  </si>
  <si>
    <t>26/11/2019</t>
  </si>
  <si>
    <t>siva-s-117678</t>
  </si>
  <si>
    <t>Je suis insatisfait du prix. Depuis 3 ans le tarif ne cesse d'augmenter . Je compte résilier le contrat..
L'explication fournie par les  conseillers restent incompréhensibles.</t>
  </si>
  <si>
    <t>fuentes-f-108429</t>
  </si>
  <si>
    <t xml:space="preserve">très bon service, je recommande, apres plusieurs appels telephoniques je constate toujours un tres bon acceuil et un tres bon relationnel avec cette equipe
</t>
  </si>
  <si>
    <t>29/03/2021</t>
  </si>
  <si>
    <t>nath16310-81262</t>
  </si>
  <si>
    <t>Nous sommes très déçu par Maaf. Sachant que nous avions 6 contrats différents, ils ont résilié mon fils avec un accident responsable. C'est beau de faire les super publicités pour attirer du monde, mais maaf ne fait rien pour garder les clients.</t>
  </si>
  <si>
    <t>22/11/2019</t>
  </si>
  <si>
    <t>veroliv-75618</t>
  </si>
  <si>
    <t>En 2018 ma mère de 90 ans a payé 620 euros pour un appartement de 74m2 , contrat datant de 2004
Après son décès ma compagnie m'a facturé 217 euros pour ce même appartement soit 3 fois moins cher 
Agence Allianz de Sevran Livry à fuir</t>
  </si>
  <si>
    <t>05/05/2019</t>
  </si>
  <si>
    <t>francois-xavier-q-105029</t>
  </si>
  <si>
    <t>Très facile et pratique pour souscrire en ligne
Le site est très bien construit et je n'ai rencontré aucunes difficultés pour souscrire en ligne
Je recommanderai dans mon entourage</t>
  </si>
  <si>
    <t>tannai-l-132992</t>
  </si>
  <si>
    <t>Je suis satisfait du service
Je suis satisfait du prix
Je sis satisfait du contact
Je suis satisfait des garantis
je suis satisfait du délai
je sui satisfait dans l ensemble</t>
  </si>
  <si>
    <t>manon-65-latour-98480</t>
  </si>
  <si>
    <t>Assurance à fuir bris de glace pris en compte seulement pour un élément s'il vous casse 3 glace si pour vous vous passer de 90 € à 368 € de franchise il vaut mieux payer un poil plus cher et être mieux assuré ils ont toujours la petite ligne pour pas vous payer  il vous facture des frais de gardiennage pendant le sinistre alors que mon véhicule est assuré tout risque je me retrouve avec un avis d'expert pour mon véhicule à 1700 € et tenez vous Bien 898 € d'indemnisation Bravo vive le Tous risques à fuir absolument</t>
  </si>
  <si>
    <t>kiki2kiki-51569</t>
  </si>
  <si>
    <t xml:space="preserve">j'ai pris mon assurance pour ma moto chez Peyrac Assurances, j'ai souscrit sur le site internet en 5 minutes. Le lendemain une conseillère m'a rappeler pour voir si j'avis tout compris et si j'avais des questions.
Tout était clair et les documents a envoyé faciles et rapides.
c'est vraiment très simple et leur tarif pas cher </t>
  </si>
  <si>
    <t>Peyrac Assurances</t>
  </si>
  <si>
    <t>23/01/2017</t>
  </si>
  <si>
    <t>souhail-75059</t>
  </si>
  <si>
    <t>4 ans que je suis clients, 4 que le prix annuel augmente de plueisiers dizaines d'euros sans explications. 
En même temps, cela fait 4 ans que je gagne en bonus...
Quand je les appelé pour demander la raison, et surtout pour leur dire que je trouve des assurances moins chères pour les meme garanties, on me répond que c'est de la faute au nombre de sinistres dans ma région... la blague :)</t>
  </si>
  <si>
    <t>soufiane-h-131208</t>
  </si>
  <si>
    <t xml:space="preserve">Je suis satisfait du service les prix me conviennent la rapidité des démarches et la fiabilité du site est super je le conseille fortement vu les prix </t>
  </si>
  <si>
    <t>aurelie-m-128571</t>
  </si>
  <si>
    <t xml:space="preserve">Satisfait du prix et de la qualité et rapide à assurer je prendrai d'autre assurance merci beaucoup et au plaisir de prendre d'autre assurance chez vous </t>
  </si>
  <si>
    <t>riri-69818</t>
  </si>
  <si>
    <t>J'ai réglé 3 mois d'assurance par CB ,renvoyé le devis en suivi avec tous les papiers nécessaires et toujours pas de carte verte depuis le 6 décembre ! Pas de réponse au mail et impossible de me connecter à l'espace client je n'ai jamais reçu mon numéro  de contrat</t>
  </si>
  <si>
    <t>02/01/2019</t>
  </si>
  <si>
    <t>mrbins-90002</t>
  </si>
  <si>
    <t xml:space="preserve">Après 1 an chez eux suite à un démarchage téléphonique, je déconseille à 100%. Je ne sais pas si c'est le cas, mais j'ai fort l'impression que tout est fait pour "rembourser le moins possible", éviter de donner la carte tiers payant pour débourser moins, faire tout trainer.  Il faut regarder que tout est remboursé correctement. Les derniers mois, ma carte tiers payant n'était meme plus accepté en pharmacie. Bref une mutuelle où l'on ne peut pas avoir confiance pour se faire rembourser, c'est franchement pas sérieux. Service qui m'a fait perdre du temps, de l'argent. 0% confiance. </t>
  </si>
  <si>
    <t>28/05/2020</t>
  </si>
  <si>
    <t>trouet-n-103190</t>
  </si>
  <si>
    <t>En tout plus de 800 euros d'économie, le top. Je vais regrouper mes contrats auto et habitation chez direct assurance, car vous êtes compétitif. Merci direct assurance</t>
  </si>
  <si>
    <t>25/01/2021</t>
  </si>
  <si>
    <t>ilhan-k-138477</t>
  </si>
  <si>
    <t xml:space="preserve">Je sui satisfait de prix et service 
Conseiller ils sont gentil et ils ont en écoute et sont rapide et Profosienel Merci et à bientôt équipés aprila assurance </t>
  </si>
  <si>
    <t>28/10/2021</t>
  </si>
  <si>
    <t>chengui-e-132613</t>
  </si>
  <si>
    <t xml:space="preserve">Très bien avec votre contrat et j’espère que je vais continue cette contrat indinifinment et que vous m’a envoyé le certificat de assurance plus vite possible </t>
  </si>
  <si>
    <t>carlos-p-114062</t>
  </si>
  <si>
    <t>Le prix me parait correct par rapport au garanties proposé.
L'utilisation de l'interface me parait simple et pratique sur ordinateur.
J installerai l'application Android afin de disposer d'une interface a tout moment</t>
  </si>
  <si>
    <t>touha-97758</t>
  </si>
  <si>
    <t xml:space="preserve">Service parfait, plus de facilité et de compréhension, accès rapide et simplicité dans les demarche pour transférer les documents et déclaration de senistre </t>
  </si>
  <si>
    <t>fab-66372</t>
  </si>
  <si>
    <t>La MACIF qui m'assurait depuis 35 ans ma déçu fortement.
Je viens d'avoir un feu de cheminée, certe ma cheminée n'était pas busée mais cela n'était pas obligatoire à l'époque de l'installation, et la MACIF n'a rien voulu savoir, elle ne rien donné.
Conclusion pour elle, je viens d'aller ailleurs pour m'assurer, la MACIF a du me rembourser près de 800euros  ( je lui donnais 1300euros par an), elle m'aurai donné les 800euros je restais chez elle mais non rien à faire elle n'a pas cédé. En conclusion une assurance qui prend l'argent mais qui n'a aucune sensibilité quand il y a un sinistre  c'est nul.
Il faut dire aussi que l'expert qui est venu constater les dégâts était absolument nul.</t>
  </si>
  <si>
    <t>08/09/2018</t>
  </si>
  <si>
    <t>ilayda-i-105755</t>
  </si>
  <si>
    <t>Aucun retour après un sinistre pour au final être reconnue 100% fautive sans aucune raison alors qu'aucun constat amiable n'a été fait par manque d'accord avec celui qui M'EST rentré dedans, aucune communication, changement d'assurance prévu au plus vite, c'est une honte, ça n'en restera pas là.</t>
  </si>
  <si>
    <t>07/03/2021</t>
  </si>
  <si>
    <t>camillebieunais-77135</t>
  </si>
  <si>
    <t>Excellent service, prix très compétitifs. Très satisfaite du service client ! Meilleur prix trouvés jusqu'ici</t>
  </si>
  <si>
    <t>26/06/2019</t>
  </si>
  <si>
    <t>baselo-136981</t>
  </si>
  <si>
    <t>A fuir !!!
Accident auto non responsable début septembre2021. J'ai attendu plus de 2 semaines pour que l'expert passe. Vous devez les appeler plusieurs fois par semaine car personne ne vous recontacte. Ils m'ont indemnisé suite rachat de mon véhicule le 21/09. J'ai attendu 2 semaines pour avoir l'argent. Aujourd'hui je me bat car ils n'ont toujours pas résilié mon contrat. Aucune considération pour l'assuré, vous êtes baladé de service en service. Aucun lien entre eux. Déplorable. J'ai l'impression d'être dans un sketch.</t>
  </si>
  <si>
    <t>11/10/2021</t>
  </si>
  <si>
    <t>laura-88696</t>
  </si>
  <si>
    <t>J'étais sociétaire Macif, j'ai eu un sinistre depuis juin 2019, jusque là pas encore remboursé. Un mail m' a été envoyé en mars 2020 pour me dire que le sinistre sera remboursé, je l'es ai recontacté et plus aucune réponse.</t>
  </si>
  <si>
    <t>04/04/2020</t>
  </si>
  <si>
    <t>daisy94-121837</t>
  </si>
  <si>
    <t>Pour ma part j'étais contente de l'assurance animaux. En mars on détecté une maladie à ma chienne. Mars avril ils remboursent. En mai le vétérinaire conseil ne veut plus prétextant une anomalie génétique faisant partie des exclusions au contrat ! Deux vétérinaires,  le mien et celui de l'école vétérinaire de Maison Alfort ont fait une lettre expliquant que la maladie n'est en aucun cas une anomalie congénitale, rien y fait. Ils ne me remboursent pas. L'avocat vu hier me confirme qu'ils sont en tort et incohérents.  Ma chienne est décédée et j'avais vraiment pas besoin de ce litige. Donc choisissez une autre assurance.  Pour ma part je suis très déçue.  37 ans au CIC pour en arriver là....</t>
  </si>
  <si>
    <t>stehlin-f-108696</t>
  </si>
  <si>
    <t xml:space="preserve">Service tres satisfaisant au telephone online et par echange email 
tarif attractif bref le meilleurs choix que je puisse faire !!! bien cordialement </t>
  </si>
  <si>
    <t>clavaud-98603</t>
  </si>
  <si>
    <t xml:space="preserve">Très déçue , cliente depuis des années pourtant . Aucune considération , vraiment très déçue et surtout manque de communication de leur part . Pas de courrier , résilier en un claquement de doigt! Je ne recommande pas </t>
  </si>
  <si>
    <t>jacob-l-115470</t>
  </si>
  <si>
    <t xml:space="preserve">Moins cher à prestations comparables , notamment en comparaison avec les assurances automobile des mutuelles , même avec fidélité et bonus comparables </t>
  </si>
  <si>
    <t>lefrancois-s-111805</t>
  </si>
  <si>
    <t xml:space="preserve">Très bon relationnel 
Accueil téléphonique parfait
Très à l'écoute
Très satisfait des réponses et demandes à mon interlocuteur
Je vous remercie et j'essaierai de vous ramener des clients </t>
  </si>
  <si>
    <t>schneider-a-113754</t>
  </si>
  <si>
    <t xml:space="preserve">Bonjour, je trouve que le prix est un peut élevé mais les service et le service client m’a l’aire ok donc c’est pour cela que je me suis assuré cher vous </t>
  </si>
  <si>
    <t>joseph-g-133342</t>
  </si>
  <si>
    <t>Satisfait du prix, l'inscription est simple et rapide, je recommande direct assurance a des amis,  l'avenir me dira si j'ai fait le bon choix en souscrivant chez direct assurance..</t>
  </si>
  <si>
    <t>18/09/2021</t>
  </si>
  <si>
    <t>bensaid-e-114258</t>
  </si>
  <si>
    <t>Service simple clair et rapide. 
Prix compétitif et bonne prise en charge. 
Service client réactif et professionnel
Diversité des offres et des services</t>
  </si>
  <si>
    <t>angelique-r-107161</t>
  </si>
  <si>
    <t xml:space="preserve">Je suis satisfaite, les tarifs sont correct et suite à mes appels mes demandes sont comprises et réalisées dans les meilleurs délais ! Je suis contente de vos prestations. </t>
  </si>
  <si>
    <t>lilisoleil-58604</t>
  </si>
  <si>
    <t>apres sinistre aucun suivi personne en ligne 3 mois pour reparation tres mal faite (petit choc sur parechoc)n ont pas refait la peinture enfin rien bon qu a encaisser la prime!tres decu car j avias ete assure chez eux pour ma premiere assurance en 1996 et ca c etait tres bien passe voila pourquoi je metais reassurer chez eux pour mon dernier vehicule; merci de me donner l opportunite de m exprimer quant a mon experience il faut que les gens  sachent</t>
  </si>
  <si>
    <t>05/11/2017</t>
  </si>
  <si>
    <t>sam-109219</t>
  </si>
  <si>
    <t xml:space="preserve">Je me suis assurée en ayant fait un devis a 75€/mois. On m'a rappelé, j'ai souscrit en comprenant plus tard que je paierai finalement 20€ de plus. Sans compter les 110€ de frais de dossier qui ne m'ont pas été mentionnés que j'ai vu prélevés sur mon compte. J'ai demandé a ce qu'ils s'alignent avec le devis, ils me l'ont refusé et ne m'ont pas laissé le choix de partir avant minimum 1an. </t>
  </si>
  <si>
    <t>05/04/2021</t>
  </si>
  <si>
    <t>denis-d-118021</t>
  </si>
  <si>
    <t>je suis tres satisfait de vos services,et vos prix sont plus que raisonnable,et la souscription est tres simple,je suis tres content pour toutes ces raisons</t>
  </si>
  <si>
    <t>jl37-104018</t>
  </si>
  <si>
    <t xml:space="preserve">Compagnie à fuir rapidement ! après 1 an d'existence de mon contrat "animal" mes cotisations ont été augmentées de + 8,09% !! Cette assurance ne respecte pas ses propres "Conditions Générales" , pour un animal de moins de 5 ans il est déjà prévu + 5% /an !! c'est incroyable !! à contrario, le démarchage pour une signature de contrat en ligne fonctionne , manque d'informations , réponses très vagues concernant mes interrogations qui sont limites du mensonge ! informations importantes non évoquées etc ... !! autre exemple : si votre animal a reçu sa vaccination , le rappel  peut se trouver ( suivant la convocation du véto ) dans la même année du contrat ! Pas de remboursement du rappel !! après de multiples échanges j'ai enfin eu gain de cause concernant la résiliation de mon contrat ! </t>
  </si>
  <si>
    <t>11/02/2021</t>
  </si>
  <si>
    <t>zizou-92833</t>
  </si>
  <si>
    <t>Je suis satisfait du service...Les prix me conviennent...Simple et pratique.
Merci direct Assurance...Je recommande direct assurance à tous mes amis..</t>
  </si>
  <si>
    <t>kevin-b-129120</t>
  </si>
  <si>
    <t xml:space="preserve">Très bon assurance. Prix cohérent et garanti de qualité.
Rien a signaler pour l instant à voir dans le temps.
Aussi assurer pour bateaux chez eux. Ras </t>
  </si>
  <si>
    <t>lulz75-70322</t>
  </si>
  <si>
    <t>resilie ses contrats quand on lui coute trop chere sur une courte periode 3 degats des eaux subies en 4 an et hop à la porte pourtant les tiers sont identifiés</t>
  </si>
  <si>
    <t>17/01/2019</t>
  </si>
  <si>
    <t>ymonnet-71921</t>
  </si>
  <si>
    <t xml:space="preserve">assuré depuis plus de trois mois je n'ai toujours pas reçue ma carte de tiers payant, je la réclame depuis ce temps là et on m'envoie une carte provisoire par mail valable qu'un mois à chaque fois, après comparatif cette mutuelle est plus chère que beaucoup d'autre pour la même couverture, je me suis fais avoir suite à un harcèlement téléphonique de santiane et attend avec impatience la date anniversaire pour me barrer de cette mutuelle </t>
  </si>
  <si>
    <t>06/03/2019</t>
  </si>
  <si>
    <t>jj-89476</t>
  </si>
  <si>
    <t>Suite à un accident, les réparations ont été très mal faites, je me suis rendu à plusieurs reprises dans d'autres garages pour essayer de réparer...1 an et demi que ça dur !!! Les services vous baladent jusqu'à ce que lâchiez prise. C'est jamais le même gestionnaire qui gère votre dossier de ce fait...il faut chaque fois recommencer.</t>
  </si>
  <si>
    <t>camille-d-122041</t>
  </si>
  <si>
    <t>ai toujours reçu de bons conseils auprès des conseillers. Ai aussi apprécié les rendez-vous réguliers pour faire le point sans intention de vendre de nouveaux contrats.
Espère qu'en cas d'accident j'aurai d'aussi bons contacts.</t>
  </si>
  <si>
    <t>narcos-88799</t>
  </si>
  <si>
    <t xml:space="preserve">Comme beaucoup d'héritiers AFER ne daigne pas répondre aux mails et lettre recommandée, cela fait plus de trois mois que je suis sans nouvelles. Mon seul contact, le conseiller qui rencontre le même problème pour obtenir des nouvelles.Je comptais investir chez eux suite à une futur vente immobilière, mais cette entreprise est vraiment à fuir. </t>
  </si>
  <si>
    <t>09/04/2020</t>
  </si>
  <si>
    <t>coppin-b-137995</t>
  </si>
  <si>
    <t>simple et pratique , juste quelques bugs de connections , les sont prix intéressants , réponse très rapide surtout pour les jeunes conducteurs . Merci de votre attention</t>
  </si>
  <si>
    <t>schtiotte-86217</t>
  </si>
  <si>
    <t>Le site est conçu pour que nous ne puissions pas envoyer nos réclamations. Et lorsque nous arrivons à leur adresser notre demande. Elle reste sans réponse!</t>
  </si>
  <si>
    <t>22/01/2020</t>
  </si>
  <si>
    <t>fifi-66545</t>
  </si>
  <si>
    <t>la macif m'a menti en me disant que j'allai etre indemnisé pour un accident ou j'ai été victime d'un délit de de fuite j'ai été obligé de faire trois expertise sur plusieurs mois pour car la macif ne m'a meme pas recontacté et j'ai du attendre un an avant que ces incapables m'informe qu'il n'allait pas m'indemniser.</t>
  </si>
  <si>
    <t>ambre2107-85390</t>
  </si>
  <si>
    <t>Lorsque j'ai souscrit chez eux j'ai demander une assurance décès, qui selon eux s'élève a 60 000 Euros, lorsque j'ai du me faire opéré j'ai redemander....et surprise.....aucune prévoyance décès n'as était souscrite.
De plus ils refusent de me résilier car soit disant je doit rester abonné chez eux 12 mois. Mais manque de bol ils ont commis plusieurs erreur dont celle de m'annoncer la date a laquels je peut envoyé ma lettre de résiliation LOI CHATEL, malheureusement pour eux RIEN.
Au téléphone personne ne sais jamais rien, ils ne rembourse pas les devis annoncés....................
Je ne suis ABSOLUEMENT pas satisfaite de leur service, ils mentent, font patienter des plombs.
Personnellement je saisi la justice et contact mon assistance juridique.</t>
  </si>
  <si>
    <t>rattez-y-103239</t>
  </si>
  <si>
    <t>Les devis pour les véhicules sont compétitifs mais le devis habitation est largement plus cher qu'une autre proposition actuelle.
Le site est très bien fait et facile à utiliser</t>
  </si>
  <si>
    <t>philippe-l-114989</t>
  </si>
  <si>
    <t>Comment justifier une augmentation de 10% de mon contrat sur un an? Il me semble que les sinistres ont sérieusement baissés suite aux confinements. Je ne suis pas satisfait de cette hausse excessive et injustifiée.</t>
  </si>
  <si>
    <t>corinne-l-131922</t>
  </si>
  <si>
    <t>Tout me convient chez AMV la facilité de souscrire ,les tarifs et les formules aux choix. Je suis assurée depuis plusieurs années et tout est parfait .</t>
  </si>
  <si>
    <t>bp57-60097</t>
  </si>
  <si>
    <t xml:space="preserve">Très cher en Guadeloupe, ne tient pas compte de la situation individuelle. Retraité, en 41 ans de permis, dont 30 en Guadeloupe pas 1 accident, pas 1 PV, pas 1 excès de vitesse à mon nom. 50% depuis très longtemps. Garage fermé. Roulage faible. Mais près du double de mon frère à situation équivalente en métropole... </t>
  </si>
  <si>
    <t>02/01/2018</t>
  </si>
  <si>
    <t>winnie-81656</t>
  </si>
  <si>
    <t>Assurance à fuir</t>
  </si>
  <si>
    <t>05/12/2019</t>
  </si>
  <si>
    <t>claudine-c-125383</t>
  </si>
  <si>
    <t>Je suis satisfaite du service, rapide, prix compétitif, efficace ! Tout ce dont j’avais besoin en quelques minutes seulement ! Ce la m’a pris peu de temps et franchement je recommande !</t>
  </si>
  <si>
    <t>myopus-80209</t>
  </si>
  <si>
    <t>Résiliation abusive, et puis, bon,finalement, non, sauf si oui, bref on ne sait pas trop !!!!!!</t>
  </si>
  <si>
    <t>carocco-53843</t>
  </si>
  <si>
    <t>Client chez eux depuis 4 ans, demande ce jour de revoir mon assurance voiture car a la concurrence on me propose la même chose avec une différence 50 euros. Le conseillé au téléphone me dit que nous ne pouvons pas faire une réévaluation de mon contrat que les offres attirantes sont seulement pour les nouveaux clients. Drole de fidélisation chez direct assurance. On attire des nouveaux clients mais on ne fait rien pour les garder. Du coup, j'ai souscrit ailleurs. Bye bye direct assurance !</t>
  </si>
  <si>
    <t>04/04/2017</t>
  </si>
  <si>
    <t>gauthier-j-115982</t>
  </si>
  <si>
    <t>JE SUIS SATISFAIT DE NOS ECHANGES JE RECOMMANDERAI VOTRE ASSURANCE
UN BON RAPPORT AVEC LE CLIENT ET UN TRES BONNE ACCUAIL AVEC VOS SERVICES TRES REACTIFS</t>
  </si>
  <si>
    <t>04/06/2021</t>
  </si>
  <si>
    <t>emilie-a-105084</t>
  </si>
  <si>
    <t>Prix exorbitants augmentation chaque année sans aucun motif alors que je n'ai jamais eu d'accident. Quand vous voulez parler à un conseiller les plateformes sont à l'étranger et vous donne les même éléments que vous trouver sur le site de l'annonceur. Bref, je fais les démarches pour partir.</t>
  </si>
  <si>
    <t>pascale-m-105631</t>
  </si>
  <si>
    <t>Depuis le 31/12 tout va très bien !
seule assurance à avoir repris mon ancienneté d'assurance scooter pour ne pas démarrer en jeune conducteur.
nous sommes satisfaits</t>
  </si>
  <si>
    <t>moi-138145</t>
  </si>
  <si>
    <t xml:space="preserve">Mutuelle réactive, a l ecoute vous conseille et vous guide dans vos démarches… remboursement rapide sans grand effort je vous conseille fortement april sante !!! </t>
  </si>
  <si>
    <t>monany-v-121188</t>
  </si>
  <si>
    <t>Très professionnel merci pour votre rapidité et vos prix qui sont en dessous du prix offert sur internet.je vous recommande sans aucun doute et vous remercie</t>
  </si>
  <si>
    <t>med100-75891</t>
  </si>
  <si>
    <t>Depuis le 07/01/2019 j essaie de résilier le contrat avec axa je tout fait comme il faut avec la loi Hamon
J arrive toujours pas on me dise des problème sur site depuis 5mois 
Je suis très en colère</t>
  </si>
  <si>
    <t>14/05/2019</t>
  </si>
  <si>
    <t>laurence--106278</t>
  </si>
  <si>
    <t xml:space="preserve">Ma mère paye une fortune pour une mutuelle qui ne réponds jamais ou au bout d'un mois !!! Impossible de les joindres qui ne rembourse pas ou très tard et voir pas du tout !!! </t>
  </si>
  <si>
    <t>11/03/2021</t>
  </si>
  <si>
    <t>lucielabelle-94998</t>
  </si>
  <si>
    <t>je suis tres contente de cette mutuelle que j ai depuis 5ans  niveau garantie niveau rembourssement je suis satisfaite du service client ils repondent generalement assez vite</t>
  </si>
  <si>
    <t>23/07/2020</t>
  </si>
  <si>
    <t>marmotte73-57798</t>
  </si>
  <si>
    <t>Cette assurance peut résilier votre contrat si vous avez deux sinistres en un an alors que vous êtes client depuis 3ans et que vous avez fait 90 000km Les sinistres que j'ai eu :
 - un bris de glace qui leur a coûté 108€. Je n'ai pas fait exprès d'avoir un petit impact (moins grand qu'une pièce de 2€) sur mon pare-brise.
- un sinistre responsable qui leur a coûté trop cher.
Je ne suis pas rentable donc au revoir Madame. Je trouve cela lamentable !!</t>
  </si>
  <si>
    <t>04/10/2017</t>
  </si>
  <si>
    <t>chrys-104823</t>
  </si>
  <si>
    <t>Une étoile c'est déjà trop!!!!!
Je demande un devis pour une assurance emprunteur. J'accepte le devis on me demande des tonnes de documents que j'envois, documents personnel quand même!!!!
On me renvoi un mail pour renvoyer des documents que j'envois et ce à quatre reprises y compris sur le portable du conseillé et pourtant on continue à me réclamer ses mêmes documents. Je fais une puis deux réclamations et depuis silence radio.
APRIL pour moi correspond à manque de professionnalisme, "foutage de gueule" pardon d'être vulgaire.
Alors merci APRIL car grâce à votre manque de professionnalisme j'ai décidé de mettre un avis et là je me rends compte que vous n'êtes pas sérieux du tout. 
Heureusement pou moi du coup!!!Je n'irai donc pas plus loin avec vous!</t>
  </si>
  <si>
    <t>26/02/2021</t>
  </si>
  <si>
    <t>pigeon-94813</t>
  </si>
  <si>
    <t>A fuir. Ils n'ont que le prix avantageux mais le service est désastreux.
Lors de la mise en place de l'assurance au téléphone, la personne qui m'établit l'assurance me propose du tout risque ce que j'accepte sans me proposer d'autres options dont l'assistance 0km.
Je tombe en panne par la suite à quelques km de chez moi et je découvre qu'il n'y a pas l'assistance 0km alors qu'ils ne m'ont en même pas parlé au moment de souscrire l'assurance !!
Service client qui ne veut rien savoir</t>
  </si>
  <si>
    <t>22/07/2020</t>
  </si>
  <si>
    <t>lilianh-77763</t>
  </si>
  <si>
    <t>malgré un dépôt de plainte en gendarmerie contre Mr V..ta..on pour dégradation volontaire de matériel, devis de réparation , 20 coups de fil, lettres de relance, un soit disant expert qui c'est déplacé (jamais vu ) mais qui à trouvé le dossier complexe, un nouvel expert mandaté , des relances en agence .1 moi après le sinistre toujours pas de solutions pour la clim qui ne fonctionne plus dans mon restaurant !!! Juin et juillet 2019 avec des record de températures . Merci Groupama ; A fuir absolument</t>
  </si>
  <si>
    <t>19/07/2019</t>
  </si>
  <si>
    <t>lebon-f-117574</t>
  </si>
  <si>
    <t xml:space="preserve">Satisfait du service, le rapport qualité prix excellent, réponse simple et efficace. Les réponse sont à la auteur de la demande avec les garanties optimales </t>
  </si>
  <si>
    <t>19/06/2021</t>
  </si>
  <si>
    <t>oliver-86755</t>
  </si>
  <si>
    <t xml:space="preserve">service à la limite de l honnêteté lorsque je sollicite multi impact pour réclamer le remboursement des sommes prélevées
les frais de dossier ne sont pas pris en compte si vous ne motivez pas votre demande par mail
(demande et explication oral réalisée avec le service client)
une manière de leur part de ne pas rembourser la somme trop perçu 
pas tres sérieux ni honnete; l image de l assureur , une nouvelle fois degradé par un service ou la satisfaction  client est placé au second rang!
</t>
  </si>
  <si>
    <t>05/02/2020</t>
  </si>
  <si>
    <t>thevenet-x-133319</t>
  </si>
  <si>
    <t xml:space="preserve">je suis satisfait 
bon contact 
prix intéressant 
je recommande  les assurances l Olivier au prix attractif  et très à l écoute de leur client 
facile  d accès  on assure une voiture  en deux  minutes </t>
  </si>
  <si>
    <t>luga-107294</t>
  </si>
  <si>
    <t>les services de la Macif présente un 
bon accueil, un bon suivi du sinistre. Très bonne réactivité, bonne couverture adaptable et implication citoyenne.</t>
  </si>
  <si>
    <t>ds-65711</t>
  </si>
  <si>
    <t>Assureur scandaleux ! Ma mère est décédée le 17 avril et avait souscrit 2 assurance vie. Pour la 1ère, nous avons fini les démarches et été payés le 10 juillet. Pour l'AFER, prévenue en même temps, nous attendons toujours les dossiers. Tout est dit ! Pas d'interlocuteur, pas de réponse, la seule communication est pour nous demander pour la 2ème fois qui sont les bénéficiaires alors que cette information est confidentielle et qu'ils la possèdent bien sûr.... J'en suis au stade où je vais saisir une association de consommateurs voire un avocat. A fuir.</t>
  </si>
  <si>
    <t>23/07/2018</t>
  </si>
  <si>
    <t>khaled-77626</t>
  </si>
  <si>
    <t xml:space="preserve">Bonjour, mise en demeure envoyée le 4 juillet pour un prélèvement qui ce fait le 10 juillet, j'appelle ma banque pour demander des explications, cette dernière me dit qu'au refus n'a été émis, je contacte Active assurance sur un numéro qu'on m'a fourni, mais personne ne décroche, on me propose de cliquer sur dièse pour qu'on me rappelle, mais personne ne rappelle et aucune réponse à mes mails.
Sachant que je suis toujours en attente de ma carte verte </t>
  </si>
  <si>
    <t>15/07/2019</t>
  </si>
  <si>
    <t>carillo-103917</t>
  </si>
  <si>
    <t xml:space="preserve">Personnel incompétent, c’est épuisant de devoir communiquer avec eux. Et les remboursements ne sont pas intéressants. Coup dur pour l’éducation nationale... </t>
  </si>
  <si>
    <t>10/02/2021</t>
  </si>
  <si>
    <t>sonia1975-79792</t>
  </si>
  <si>
    <t xml:space="preserve">j ai appelée santiane pour avoir un renseignement sur un petit soucis de prélèvement de mon compte. j ai eu une interlocutrice Caroline qui m a trouvée la solution . </t>
  </si>
  <si>
    <t>07/10/2019</t>
  </si>
  <si>
    <t>bosserr-h-127691</t>
  </si>
  <si>
    <t xml:space="preserve">Je suis très content
Service client parfait une bonne écoute du client 
je recommande car prix attractif pas comme certain autres se permettant de nous "voler" </t>
  </si>
  <si>
    <t>kania-l-115860</t>
  </si>
  <si>
    <t>J'ai été très bien conseillée pour la souscription de mon contrat auto. Les prix sont attractifs et pour les mêmes garanties que d'autres compagnies. Je ne regrette pas mon choix de faire partie des nouveaux clients L'olivier assurances</t>
  </si>
  <si>
    <t>gege35-87438</t>
  </si>
  <si>
    <t>Evénement surréaliste: Je me rends il y a quelques jours à mon agence macif pour me plaindre de l'absence de réponses suite à un sinistre corporel que j'ai déclaré il y a déjà plusieurs mois. Après m'être plaint à la conseillère, celle-ci vraisemblablement "au bout du rouleau" me dit qu'elle-même est sur le départ tant elle n'en peut plus de se faire houspiller tous les jours par des sociétaires de la macif. Elle me dit aussi qu'il.....vaut mieux que j'aille m'assurer ailleurs tant les problèmes sont innombrables à la macif.
C'est ce que je suis en train de faire!!</t>
  </si>
  <si>
    <t>21/02/2020</t>
  </si>
  <si>
    <t>jessy-75691</t>
  </si>
  <si>
    <t>Sami m'a très bien renseigné, j'appelais en me disant que j'aurai (comme tout les autres services téléphoniques) plus de questions que de réponses et finalement, j'en ressors avec plus aucune question. Un énorme merci à Sami !</t>
  </si>
  <si>
    <t>titi67-79965</t>
  </si>
  <si>
    <t xml:space="preserve">Depuis plus de 40 ans au crédit mutuel, 25 ans aux acm, ai négocié 0 euros de franchise,  et chaque année ai payé 500 euros pour cela , ai fait joué l'assurance 5 fois pour des petites sommes depuis 2016, au total pas plus de 800euros de remboursement. Cette situation est intolérable pour les am, donc ils me demandent de signer un avenant avec une franchise de 150 euros, soit je dégage. </t>
  </si>
  <si>
    <t>neel-l-137240</t>
  </si>
  <si>
    <t>Super accepte tout les conducteurs mêmes jeunes avec des voitures puissante ce qui n’est le cas d’aucune autres assurance. Merci à vous réactif et à l’écoute je recommande.</t>
  </si>
  <si>
    <t>kathline-m-105014</t>
  </si>
  <si>
    <t>Je suis heureuse du prix super rapport qualité prix.
Accueil téléphonique très agréable. La personne au téléphone a été très patient et très professionnel</t>
  </si>
  <si>
    <t>edouard-89517</t>
  </si>
  <si>
    <t>La pire mutuelle que je n'ai jamais eu... 5 mois que n'avoir toujours pas régler un problème. De nombreux appels et de nouvelles informations à donner é chaque fois. Je la déconseille vivement.</t>
  </si>
  <si>
    <t>11/05/2020</t>
  </si>
  <si>
    <t>fleur-92754</t>
  </si>
  <si>
    <t xml:space="preserve">Service déplorable durant cette période difficile </t>
  </si>
  <si>
    <t>jean-pierre-d-110408</t>
  </si>
  <si>
    <t>Je suis déçu de n'avoir pas eu de réduction lorsque je me suis déplacé à St Lô (AR 120 Kms) pour l'initier ce contrat. Je suis un très ancien client qui n'a pas eu beaucoup de sinistre. Je trouve regrettable les politiques d'appel des nouveaux souscripteur et peu de ristourne pour les anciens clients.</t>
  </si>
  <si>
    <t>14/04/2021</t>
  </si>
  <si>
    <t>curtis-l-123815</t>
  </si>
  <si>
    <t>Je suis satisfais du services, mais toutefois, je trouve le barème des remboursements mensuel de Youdrive un peu sévères. Il suffit de faire le dépassement d'un vehicule pour voir notre note baisser considérablement, et donc par la même occasion notre remboursement à la fin du mois.</t>
  </si>
  <si>
    <t>william-61927</t>
  </si>
  <si>
    <t>Probablement le "PIRE" services clients de France, aucunes réponses au mail, téléphone et courrier. Un mépris total pour le client. SCANDALEUX !!!</t>
  </si>
  <si>
    <t>02/03/2018</t>
  </si>
  <si>
    <t>vivi-77816</t>
  </si>
  <si>
    <t>Depuis des années chez eux,il suffit d'une panne pour comprendre l'incompétence d'une assistance dont si je pourrais je mettrais un zéro pointé. Je suis déçue c'est pourquoi je pars de chez eux car non content insatisfaîte, ils ne sont pas les moins chers du marché. Puis même si tous les assureurs sont pareil,  par principe je ne donnerais plus un centime de plus.
La matmut regroupe aussi la maïf et la macif.</t>
  </si>
  <si>
    <t>22/07/2019</t>
  </si>
  <si>
    <t>s-fourault-37929</t>
  </si>
  <si>
    <t xml:space="preserve">Souscription facile, prix correctes, mais processus de résiliation trop complexe : mettez le modèle de lettre recommandée directement sur votre site au lieu de nous forcer à appeler votre service client ! </t>
  </si>
  <si>
    <t>sindiz-64533</t>
  </si>
  <si>
    <t>inscription via courtier santiane.fr avec accès à MédecinDirect et Deuxiemeavis.fr inclus. échange cordial avec Sébastien pour l'inscription</t>
  </si>
  <si>
    <t>06/06/2018</t>
  </si>
  <si>
    <t>san75-61279</t>
  </si>
  <si>
    <t xml:space="preserve">Bonjour,
on m'a validé un contrat d'assurance auto par téléphone et on m'a demandé de passer en agence pour déposer les papiers.
Sauf une fois sur place on me refuse le contrat alors que le paiement en carte bleue a été effectuer le matin même!!!!
Alors pourquoi vendre un service qui ne serait pas conforme selon le monsieur qui m'a reçu avec un accueil très froid..
Ce même monsieur a refusé de m’écouter alors que je lui expliqué ce q'on m'a dit au téléphone a deux reprises.
J'ai du changer de carte grise pour assurer la voiture en question!!! 
Je remets en cause l'incompétences de certaines personne car aujourd'hui c'est moi qui subit les conséquences.
Du coup j'ai une autre voiture assurée chez eux ainsi que l'assurance habitation et d'autres petits contrats... je ne resterai plus chez eux et autour de moi avec mes collègues et familles, je vais faire part ce mon cas car je trouve cela inacceptable.
 </t>
  </si>
  <si>
    <t>09/02/2018</t>
  </si>
  <si>
    <t>titouan-94626</t>
  </si>
  <si>
    <t xml:space="preserve">Je suis satisfait de la prise en change que j’ai eu sur votre site internet et part le devis que j’ai eu . 
                                           </t>
  </si>
  <si>
    <t>leo-c-131098</t>
  </si>
  <si>
    <t xml:space="preserve">Prix convaincant très bon site internet rapide et précis fais en quelque minute. Je recommande cette assurance auto. Direct assurance me fais confiance avec plus véhicule </t>
  </si>
  <si>
    <t>michel-m-124737</t>
  </si>
  <si>
    <t xml:space="preserve">Les tarifs sont corrects, les services en ligne efficaces. Pour le moment (si rien ne change…..) je reste client….Mes 2 roues récents sont tous chez April </t>
  </si>
  <si>
    <t>moussa-m-123398</t>
  </si>
  <si>
    <t>ayant trois voitures assuré chez vous plus une assurance habitation j'aurais aimé avoir un geste commerciale concernant les cotisations auto bien au contraire celle-ci ont augmenté bien dommage je réfléchis à allez faire quelques devis chez les concurrents.</t>
  </si>
  <si>
    <t>bichrounette-115014</t>
  </si>
  <si>
    <t xml:space="preserve">je suis très satisfaite des renseignements fournis au tel par Maria, renseignements clairs précis qui m'ont permi de regler mon problème merci à elle et je lui souhaite une bonne journée </t>
  </si>
  <si>
    <t>christophe-65148</t>
  </si>
  <si>
    <t>je recommande cette assurance au moins pour les animaux moi personnellement j'ai un chien assuré ici même et j'ai aucun problème rien à dire très sérieux pour ce qui remboursement cela sont très rapide je suis fier d'avoir pris cette assurance pour ma chienne</t>
  </si>
  <si>
    <t>29/06/2018</t>
  </si>
  <si>
    <t>juju-76872</t>
  </si>
  <si>
    <t xml:space="preserve">Après un accident de moto d'avril 2017,
La compagnie amv ne peut toujours pas l'indemniser car il n'ont (selon eux) pas eu la procédure accident de la part de transpv...lol plus deux ans après. 
Assurance qu'il faut fuir. </t>
  </si>
  <si>
    <t>18/06/2019</t>
  </si>
  <si>
    <t>mamounette88-132783</t>
  </si>
  <si>
    <t>nous avons eu le malheur de perdre notre fils fin avril 2021. Celui-ci, par le biais de son employeur (grand groupe en France), cotisait à une mutuelle santé et à une prévoyance décès. Nous avons entamé les démarches auprès d'Axa afin dans un premier temps qu'il règle les frais d'obsèques (service qui figure sur son contrat mutuelle) et après avoir envoyé l'acte de notoriété, qu'il procède au versement du capital décès aux ayants droit. A ce jour, on en est au même point, pompes funèbres non réglées et capital décès idem. A chaque appel, on vous dit que c'est en voie d'être régularisée. Pour qui nous prend t-on ? Jamais le même interlocuteur etc, etc... En colère, je ferai remonter le comportement de cet assureur auprès de la Direction du Groupe pour lequel notre fils travaillait. Après tout, c'est quand même eux qui négocie les assurances pour leurs employés. Axa n'est pas le seul assureur français. A titre personnel, jamais nous ne signerons des contrats, quels qui soient chez eux.</t>
  </si>
  <si>
    <t>nono2-123752</t>
  </si>
  <si>
    <t xml:space="preserve">Tred Bien efficace je recommande fortement pour cette assureure je compte bien continuer chez vous prix resonable rien a dire 
Pour mais autre moto scooter et tout </t>
  </si>
  <si>
    <t>gregory-t-113337</t>
  </si>
  <si>
    <t xml:space="preserve">Service est satisfaisant. Niveau tarif c'est attractif.
Le site est réactif. Nous espérons que le service continuera d'etre de qualité sur le long terme. 
</t>
  </si>
  <si>
    <t>11/05/2021</t>
  </si>
  <si>
    <t>bol-69504</t>
  </si>
  <si>
    <t xml:space="preserve">couple assuré au choix maximum depuis cinquante ans à LA MGP au tarif actuel de 2400 euros annuel cotisations réévaluées tous les ans en tenant compte de l age plus les augmentations tarifaires annuelles malgré la non indexation des pensions de retraites Depuis peu cette mutuelle ne rembourse que sur la base de 10% du remboursement effectif de la SS si le praticien spécialiste ou la clinique n'a pas signé le CONTRAT ACCÈS AUX SOINS En dehors des hôpitaux et de quelques praticiens en secteur 1 qui ont signé cet accord les spécialistes se retrouvent en secteur 2 honoraires libres Malgré cela la sécurité sociale rembourse un pourcentage de son tarif voire 100% du plafond sans tenir compte de la signature du CAS en complément la MGP remboursait 30 ou 40% voire 100% du reste à charge après remboursement de SS  Maintenant ce n est que 10% exemple Payé au spécialiste 260 euros Remboursement SS 100% de l acte sur la base de 112 euros REMBOURSEMENT MUTUELLE 10% soit 11euros20 Assurés au tarif maximum les remboursements aboutissent au minimum interrogé la mutuelle rétorque de passer par leur réseau SANTE CLAIR On y trouve peu de bons spécialistes par contre de l'abattage oui notamment en dentaire ou ophtalmo ou opticien Vu les remboursements je comprends pourquoi les bons spécialistes et les cliniques ne veulent pas faire le tiers payant même certains hôpitaux Je ne reconnais plus la mutuelle de la police d'antan MUTUELLE GÉNÉRALE DE LA POLICE Maintenant les jeunes ne vous attachaient plus à l'image de la Maison que l'on vous vante n importe quelle autre mutuelle peut faire aussi bien mais surtout mieux LA MGP est devenu un centre de profit ordinaire et non plus une MUTUELLE de corps d’état Merci aux dirigeants de cette institution qui était crée pour des policiers géré par des policiers et dans l’intérêt des policiers
</t>
  </si>
  <si>
    <t>dandou-74560</t>
  </si>
  <si>
    <t>ils me font payer ce que la loi hamon me garantit. jamais vu pire. Plusieurs assurances habitation et c'est la seule qui fasse cela. ils savent bien qu'ils ne seront pas attaqué pour 200 euros. donc ils vous grujent petite à petit</t>
  </si>
  <si>
    <t>baumgarden-p-105503</t>
  </si>
  <si>
    <t>Je suis satisfait de l'accueil téléphonique que j'ai eu, mon interlocuteur était très compétent et très précis dans ses explications.
Très bonne réactivité</t>
  </si>
  <si>
    <t>04/03/2021</t>
  </si>
  <si>
    <t>jean-yves--b-105158</t>
  </si>
  <si>
    <t>je suis satisfait du service
normalement  pas de problème pour le moment a voir a la suite ce que cela donnera si il y a sinistre
rien a redire a l'instant
jy berguin</t>
  </si>
  <si>
    <t>enesto-51034</t>
  </si>
  <si>
    <t xml:space="preserve">Réf client 112543  je leur ai envoyé  un lettre recommandée pour leur faire part que je résilie  mon contrat à  la date de mon echeance c est à dire le 11/12/2016 après avoir passer 4 ans avec eux. Ils ont reçu  la lettre recommandée  puisque ils ont laissé une copie dans l espace client .A ma grande surprise ils m ont prélevé  ce mois de janvier alors que j avoir résilié  mon contrat, impossible  de leur joindre avec leur numéro surtaxé en plus ils m ont prélevé  3 mois de cotisations lors de ma souscription au lieu de 2 mois '  je demande le remboursement </t>
  </si>
  <si>
    <t>07/01/2017</t>
  </si>
  <si>
    <t>lolo-104696</t>
  </si>
  <si>
    <t xml:space="preserve">Très réactif et surtout très bon conseils. Bonne activité sur le compte personnel de l'assurance.
Prix très très compétitif. 
Je recommande fortement. 
</t>
  </si>
  <si>
    <t>bijou013-108914</t>
  </si>
  <si>
    <t>idem j'essaie de les joindre par téléphone, par email et ce depuis 1 mois. toujours le même répondeur, pas de rappel, pas de réponse à ma demande de cotation suite à 4 devis importants. Mutuelle à éviter à tout prix. Par contre les prélèvements sont bien effectués et temps et en heure. Très en colère...JE DECONSEILLE A TOUTE PERSONNE DESIRANT CHANGER OU SOUSCRIRE A CETTE MUTUELLE !!!</t>
  </si>
  <si>
    <t>nath17-59217</t>
  </si>
  <si>
    <t>10 mois d arrêt maladie dossier bloqué "pour anomalies dans les calculs de la sécu, calcul revue après 6 mois d arrêt sans aucune modification la secu" aucune autre explication, les personne au téléphone n on pas accès  à votre dossier et impossible de parler avec celle qui gère votre dossier, cotisation prélevée tout les mois sur le salaire mais maintenant qu' il faut reversé il y a toujours  quelque chose qui ne va pas. Ce n est pas pro et faites faire une formation telephonique à votre personnel pour qu ils soient plus aimable.</t>
  </si>
  <si>
    <t>29/11/2017</t>
  </si>
  <si>
    <t>klodian-z-112675</t>
  </si>
  <si>
    <t>Très satisfait, efficace et très a l'écoute merci, c'est bien la deuxième fois que j'assure mon scooter, et j'ai pas encore mon permis français en attendent j'ai un permis international,</t>
  </si>
  <si>
    <t>aurore86-63209</t>
  </si>
  <si>
    <t xml:space="preserve">J’ai une rente invalidité Cpam 2 eme catégorie depuis le 1 er janvier et je ne reçois toujours  rien d Ag2r ils me demandent sans arrêt des documents. Ils ne se rendent pas compte des ennuis financiers que l on peut avoir </t>
  </si>
  <si>
    <t>lad-123897</t>
  </si>
  <si>
    <t>Mieux vaut ne pas avoir de problème. J'ai eu un accident pour lequel je ne suis pas responsable. Ma voiture a été remorquée et amener dans un garage agrée par le service dépannage. 24h après le service sinistre n'était pas informé des coordonnées du garage sélectionné. Aucune communication entre les 2 services. Le chiffrage de l'expert est annoncé 48h après son passage..cela fait 5 jours que l'expertise a eu lieu ... toujours pas de chiffrage et le véhicule de prêt est mis à disposition qu'au commencement des travaux,  donc cela fait une semaine que je n'ai pas de véhicule. Pas de réponse Claire à mes questions,  on se contente de me balancer des textes appris par cœur ! Je ne recommande vraiment pas, je part immédiatement ! Pour 10€ de plus par moi chez un autre assureur j'ai un tout autre service et un véhicule dès l'accident</t>
  </si>
  <si>
    <t>rico69-68171</t>
  </si>
  <si>
    <t>nul a fuir,une fois un sinistre déclaré vous êtes redirigés sur des prestataires de qualités plus que médiocre</t>
  </si>
  <si>
    <t>29/10/2018</t>
  </si>
  <si>
    <t>wico-51472</t>
  </si>
  <si>
    <t>Après avoir résilié mon adhésion, 1 mois avant la date d'anniversaire, ils continuent à vouloir me prélever tous les mois alors que je leur ai renvoyé les documents prouvant que la résiliation avait bien été faite, aujourd'hui ils me menacent de m'envoyer au service contentieux alors que tout a été fait dans les règles. J'ai cotisé pour eux pendant plus de 20 ans et aujourd'hui ayant trouvé une assurance bcp moins élevée ils me remercient en ignorant mes messages.</t>
  </si>
  <si>
    <t>19/01/2017</t>
  </si>
  <si>
    <t>patlac58-134077</t>
  </si>
  <si>
    <t>Grotesque.
Pathétique.
Leurs agents de plateforme sont très 
méfiants (un assuré n'est pas forcément un tricheur...).
Et essayez de résilier un contrat .
Là, vous aller rentrer dans un univers
Kafkaïen.Tous les moyens sont bons 
pour continuer à vous prélever. 
Une force d'inertie impressionnante.
Que vient faire notre bon vieux Crédit Agricole avec ces gens là ?</t>
  </si>
  <si>
    <t>gg57-80881</t>
  </si>
  <si>
    <t>J'ai voulu souscrire au contrat assurance vie. Le conseillé a refusé ma souscription si je ne prenait pas 30% d'UC. C'est du refus de vente</t>
  </si>
  <si>
    <t xml:space="preserve">Assez satisfait de vet assure je n est pas tester d autre assureur pour comparer les tarifs et autres prestations </t>
  </si>
  <si>
    <t>moutinho24-108382</t>
  </si>
  <si>
    <t>A FUIR !!!! Ne surtout pas prendre une mutuelle chez eux pour une dysplasie ils trouveront toujours quelque chose pour ne pas prendre en charge les frais. De plus sans vous l’indiquez l’engagement est pour un an grosse surprise quand on essaye de résilier !! Ne jamais souscrire chez eux !!</t>
  </si>
  <si>
    <t>manu-bralet-50424</t>
  </si>
  <si>
    <t>Nul, complètement nul.
n'ont pas le sens du client, tournés uniquement vèrs le profil.
cherche uniquement a faire de la trésorerie sans se préoccuper des clients mémé pour ceux qui ont plusieurs années de fidélité au Crédit Agricole.</t>
  </si>
  <si>
    <t>18/12/2016</t>
  </si>
  <si>
    <t>francois-64762</t>
  </si>
  <si>
    <t>active assurance ou inactive assurance??</t>
  </si>
  <si>
    <t>13/06/2018</t>
  </si>
  <si>
    <t>aagnnesss-85473</t>
  </si>
  <si>
    <t>J'ai vendu mon véhicule le 26/12, j'ai résilié mon assurance auto, 2 semaines après j'ai voulu assuré mon nouveau vehicule, ils n'ont pas voulu me reprendre car j'avais 2 accidents en 2017 et en 2019, ça fait 14 ans que j'étais chez eux.</t>
  </si>
  <si>
    <t>03/01/2020</t>
  </si>
  <si>
    <t>yonathan-kounkou-111045</t>
  </si>
  <si>
    <t xml:space="preserve">Angélique à était très aimable et agréable répondant à toutes mes questions. Je n'ai pas attendu longtemps pour tomber sur un conseiller / conseillère.
Le prix selon la formule varie même je trouve cela un peu élevé. 
 Dans l'ensemble c'est un bon service </t>
  </si>
  <si>
    <t>20/04/2021</t>
  </si>
  <si>
    <t>yoannpereiira-53319</t>
  </si>
  <si>
    <t xml:space="preserve">Bonjour , j'ai eu un accident responsable en juin ! L'expert est passé en aout et à estimer que le vehicule etait irreparable . Depuis aout je contacte l'assurance qui me balade de service en service ! Je ne trouve pas sa normal , deplus je paye l'assurance de la voiture alors que la voiture a été vendu depuis aout ! J'ai déja pris contact avec un avocat pour qu'il accelere les choses ! </t>
  </si>
  <si>
    <t>16/03/2017</t>
  </si>
  <si>
    <t>benabboun-a-130712</t>
  </si>
  <si>
    <t>Je suis très satisfait du prix proposé. Sa me convient très très bien   la preve que j'ai assuré mes deux voiture  chez vous .et à recommander pour mes proches  merci</t>
  </si>
  <si>
    <t>sylvain06-88909</t>
  </si>
  <si>
    <t>Une assurance vie correcte tant qu on essaie pas de récupérer les fonds. Serait il nécessaire de passer par la justice pour que Cardif fasse son travail?</t>
  </si>
  <si>
    <t>15/04/2020</t>
  </si>
  <si>
    <t>aline3111-90950</t>
  </si>
  <si>
    <t>Je suis très déçue de la cotisation, très cher pour le peu de services en retour.
Vous avez modifié mon contrat sans m'en informer. Je trouve cela déplorable. Je n'ai eu aucun sinistre donc tout bénéfice pour vous.
Vous êtes beaucoup plus cher que la concurrence.
Je ne vous recommanderai pas.</t>
  </si>
  <si>
    <t>lo93240-63365</t>
  </si>
  <si>
    <t>apres avoir envoyer tout les papiers suite au deces de ma mere  1interlocuteur apres 17mn d attente tel me dit  qu il a le papier  mais n en n avait pas tenue compte; mail 18/5 il n ont plu papier?bizzare que ne ferais pas c ette assurance  pour ne pas  payer</t>
  </si>
  <si>
    <t>18/05/2018</t>
  </si>
  <si>
    <t>edar-56672</t>
  </si>
  <si>
    <t>Assurance.à éviter au maximum.
Service très médiocre, aucun suivi des dossiers, communications qu'avec numéro sur facturé !  On m'a proposé un devis alléchant une fois j'ai réglé mon dossier a été refusé pour se faire remboursé ils m'ont pris. 170€  sans les frais de communication et les lettres recommandées</t>
  </si>
  <si>
    <t>15/08/2017</t>
  </si>
  <si>
    <t>houandjan-a-122665</t>
  </si>
  <si>
    <t>Je suis satisfait du service mais également du prix qui est proposé. J’ose espérer que nos relations dans le future se passeront aussi bien que maintenant.</t>
  </si>
  <si>
    <t>duvivier-b-138196</t>
  </si>
  <si>
    <t>ravi de votre service,de la rapidite et de la patience de vos conseillers les prix sont tout à fait juste les papiers sont rapidement transmis les informations très claires bravo</t>
  </si>
  <si>
    <t>jim-t-105143</t>
  </si>
  <si>
    <t xml:space="preserve">je n'ai pas encore d'avis sur le service client je ne suis assurée que depuis moins de deux semaines
Je donnerai mon avis plus tard je n'ai pas encore d'avis </t>
  </si>
  <si>
    <t>boudelle-g-128767</t>
  </si>
  <si>
    <t>Bonjour,
votre accueil est convivial et simple,
les explications et détails sont très clairs et personnalisés.
Que vous dire d'autre? Ah oui je ne peux souscrire à votre assurance habitation du fait d'un cambriolage survenu il y a deux ans c'est un peu dommage...
merci</t>
  </si>
  <si>
    <t>bruno-d-117717</t>
  </si>
  <si>
    <t xml:space="preserve">Aucune prise en compte de mes demandes. Le contrat n'est pas conforme et on me refuse lepaiement mensuel alors que j'ai plusieurs contrat qui ont été accepté 
</t>
  </si>
  <si>
    <t>pitufo-110731</t>
  </si>
  <si>
    <t>Bonjour,
Au niveau des prix il y a toujours à faire , surtout avec les adhérents multi-contrats ....! On le dit mais un jour on va finir par le faire :: éplucher la concurrence contrat par contrat .... 
Satisfaction , en hausse , conseillers plus à l'écoute .... et c'est bien !
Cordialement.
PS : inadmissible le prix à payer à l'année pour le prélèvement mensuel alors que ça doit , surement , se gérer informatiquement !</t>
  </si>
  <si>
    <t>17/04/2021</t>
  </si>
  <si>
    <t>christian-m-132549</t>
  </si>
  <si>
    <t>le devis et la souscription sont très faciles, c'est ma première souscription auprès de direct assurance, j'espère que le contrat sera à la hauteur des promesses</t>
  </si>
  <si>
    <t>melvin-b-109058</t>
  </si>
  <si>
    <t>Je suis satisfait du prix, j’attends de voir en cas de problème si tout ce déroule bien. Mais sinon ça m’a l’air pas mal du tout, merci à vous, et bonne journée.</t>
  </si>
  <si>
    <t>cricri77-136897</t>
  </si>
  <si>
    <t>Je me suis précipitée car je ne souhaitais pas rouler sans assurance le week end ou j'ai acheté mon véhicule. Je suis très déçu
Aujourd'hui j'ai fais plusieurs simulations et franchement ils sont bien trop chers 
Je ne renouvellerai pas mon contrat chez eux. Vivement la date d'd'échéance !
J'ai cru  bêtement à la pub??</t>
  </si>
  <si>
    <t>assuretout-55392</t>
  </si>
  <si>
    <t xml:space="preserve">J'ai mis une étoile pour chacun dommage qu'on ne pouvait pas choisir 0 étoile souscription sur internet il prenne l'argent le jour même sur le compte mais par contre il ne faut pas ce tromper dans les données parce que annulation de contrat et remboursement fin du mois par chèque. Très désagréable au téléphone et essaie de cherché aucune solution </t>
  </si>
  <si>
    <t>15/06/2017</t>
  </si>
  <si>
    <t>f15-67377</t>
  </si>
  <si>
    <t>JE DOITS ASSURE UN NOUVEAU VEHICULES PLUS PUISSANT DE 200 CV IL VEULENT SAVOIR POURQUOI J ACHETE CE TYPE DE VEHICULE DONT JE LES QUITTE DES QUE J AI RECU MON NOUVEAU VEHICULE</t>
  </si>
  <si>
    <t>10/09/2021</t>
  </si>
  <si>
    <t>romain-v-110117</t>
  </si>
  <si>
    <t>je me retrouve à devoir payer alors que mon véhicule ne peut plus rouler depuis plus d'un an, que direct assurance est au courant et que les "conseillers" ne faisaient que se renvoyer la balle. L'incompétence des conseillers est payée par les assurés. Fuyez à tout prix</t>
  </si>
  <si>
    <t>12/04/2021</t>
  </si>
  <si>
    <t>jodie-104404</t>
  </si>
  <si>
    <t xml:space="preserve">15 jours pour  vérifier les justificatifs
Surprise de 2,80 euros en plus , cause  erreur de 2 jours sur date  de permis .
Attention aux autres surprise de frais en sus .pire qu iune banque !!!  Finalement prendre moins cher en pensant ne pas mettre de l argent en l air , est toujours trop cher . Impossible de prendre le droit du délais de rétractation car frais et acompte gardé  et exorbitant.  Ils compte la dessus pour garder de force . Seulement  je ne resterais pas une année de plus , et n oublierais pas  d en parler autour de moi . Mauvais calcul pour eux , pour moi qui suis une bonne conductrice depuis 1992 sans accident et 12 points sur son permis . 
J ai payé  pour les mauvais conducteurs .ok . Mais là,  pas même une once de considération  ca commence à faire un trop plein .  Je crois que je vais retourner voir les grand groupe sans surprise ca me fera des économies.  Assureur à fuir donc.. il n y a qu a regarder les avis .. j aurais du regarder avant.  </t>
  </si>
  <si>
    <t>jessy17290-126700</t>
  </si>
  <si>
    <t>J'ai payé en deux ans 800 euros de mutuelle pour mon et le n(ai été remboursé que de 25 euros, soit c'est un médicament non remboursé soit s'est une prestation pas prise charge, de plus vous n'avez pas d'interlocuteur ils ne répondent pas a vos SMS ne souscrivez pas a cette mutuelle.</t>
  </si>
  <si>
    <t>pierre3019-87268</t>
  </si>
  <si>
    <t>Attention suite souscription via UNIM d un contrat de prevoyance allianz; suite chute escalier le medecin conseil unim requalifie l accident en maladie ce qui permet de ne pas indemniser ( deux mois pour instruire) cherchez l erreur.....</t>
  </si>
  <si>
    <t>20/02/2020</t>
  </si>
  <si>
    <t>arktika-74771</t>
  </si>
  <si>
    <t>Ma tante décédée a commis l'erreur de souscrire deux contrats d'assurance-vie en toute confiance dans cette compagnie peu scrupuleuse. Après avoir patienté 4 mois pour obtenir du service des impôts le certificat de non-exigibilité, tous les documents nécessaires ont été transmis à la compagnie. C'est alors seulement qu'elle s'aperçoit avoir commis une "erreur" diminuant les quotes-parts de moitié sans nous donner à nous, pauvres héritiers supposés naïfs, aucun justificatif. Que se trafique-t-il dans cette compagnie d'assurances déjà condamnée à maintes reprises par le tribunal?</t>
  </si>
  <si>
    <t>05/04/2019</t>
  </si>
  <si>
    <t>coin9176-44378</t>
  </si>
  <si>
    <t>Prix attractif pour attirer les nouveaux clients mais augmentation de plus de 100% en 2 ans pour se retrouver plus cher que la concurrence.
Service client en dessous de tout et indiquant des mensonges à chaque appel.</t>
  </si>
  <si>
    <t>29/04/2017</t>
  </si>
  <si>
    <t>franck-m-106466</t>
  </si>
  <si>
    <t xml:space="preserve"> Je suis satisfait du service, bonne réactivité lorsque j'ai eu recours aux services de direct assurance. Un petit geste sur les  prix serait le bienvenu quand on a deux véhicules assurés</t>
  </si>
  <si>
    <t>rb-67890</t>
  </si>
  <si>
    <t xml:space="preserve">Bonjour à tous,
Enorme déception au niveau de la MATMUT qui est devenu beaucoup trop commercial: à la recherche du profit au détriment de la qualité de gestion et de l'empathie des clients. 
J'ai subi un sinistre automobile depuis bientôt deux mois, j'avais souscrit un contrat d'assurance automobile tout risques moyennant une prime mensuelle à hauteur d'une centaine d'euros. 
Assuré depuis 2010 sans aucun sinistre, je suis tombé de haut lors de la prise en charge de ce sinistre. En effet, les gestionnaires au téléphone me font tourner en rond, il y en a même une qui m'a littéralement raccroché au nez ! 
J'ai demandé à m'entretenir avec un responsable afin d'arranger la situation à l'amiable mais la gestionnaire n'a pas voulu.
Dès lors, je vais devoir les assigner en justice et je ne manquerais pas d'avertir la presse locale. En effet, nous payons des cotisations mais nous n'avons pas de contrepartie lors de la survenance de sinistre. </t>
  </si>
  <si>
    <t>19/10/2018</t>
  </si>
  <si>
    <t>phildensof-41444</t>
  </si>
  <si>
    <t>la pire des mutuelles, aucune réponse à nos demandes,
prise en charge demandée avant intervention, le jour j aucune prise en charge envoyée.
De qui se moque t on.</t>
  </si>
  <si>
    <t>25/03/2020</t>
  </si>
  <si>
    <t>jc-57055</t>
  </si>
  <si>
    <t>je ne comprends pas pourquoi titulaire de sept contrats et client mmaf depuis des decennies un contrat va être résilié par l'assureur pour deux sinistres sur 2015 et 2016 de 550 et 530 euros</t>
  </si>
  <si>
    <t>02/09/2017</t>
  </si>
  <si>
    <t>aurelie-c-123237</t>
  </si>
  <si>
    <t xml:space="preserve">Service impeccable. Suivi du dossier au top avec un interlocuteur présent qui m a accompagné dans la demarche, Tout se fait par internet et pas de paperasse inutile.  Le prix ? deux fois moins cher que l' assurance proposée par ma banque. </t>
  </si>
  <si>
    <t>12/07/2021</t>
  </si>
  <si>
    <t>julia-l-131502</t>
  </si>
  <si>
    <t xml:space="preserve">Simple et rapide efficace pas cher direct et arrangeant.
Conseiller agréable et disponible.
Formules adaptées et variées.
Besoin comblée. Prise d effet rapide. </t>
  </si>
  <si>
    <t>pierlot-lima-v-128768</t>
  </si>
  <si>
    <t xml:space="preserve">Je suis très satisfait du prix et du contact avec le commercial qui était très poli et à l'écoute de mes demandes ! Espérant Espérant cela continuera ! </t>
  </si>
  <si>
    <t>bema-50526</t>
  </si>
  <si>
    <t xml:space="preserve">En fin de carrière (retraite pour moi au 31/12/16) et avec des difficultés financières nous avons souhaitez baisser le niveau de nos deux contrats  prévoyance. Après plusieurs reports et annulations de dernière minute de la part de notre correspondant Allianz nous avons rencontrer notre interlocuteur le 14/10 et décidé avec lui de modifier à la baisse nos contrats. ces modifications devaient prendre effet début Décembre et n'ont pas été faites. Depuis malgré plusieurs mails et messages téléphoniques ,aucune réponse......
très déçu du service .
</t>
  </si>
  <si>
    <t>danilef-86970</t>
  </si>
  <si>
    <t>Cliente depuis + de 10 ans sans sinistre responsable  Eurofil m a résilié sans aucune raison. Malgré mes réclamations ils confirment ne pas devoir dire le pourquoi...J ai résilié avant LEUR DELAI de 2mois pour la MACIF</t>
  </si>
  <si>
    <t>barnieuk-69924</t>
  </si>
  <si>
    <t>Dégat des eaux en avril, je viens enfin de recevoir le chèque pour lancer les travaux !!
Au delà  de ce long délai largement imputable à l'expert chargé du dossier, le plus gros bémol est la difficulté à avoir le service client... parfois des heures d'attente...</t>
  </si>
  <si>
    <t>05/01/2019</t>
  </si>
  <si>
    <t>guitariste69-87052</t>
  </si>
  <si>
    <t>La MGEN est excessivement chère pour la qualité des prestations et le remboursement. Un personnel certe charmant et agréable mais elle demeure un dinosaure lent et rarement efficace, je n'ai d'ailleurs pas hésité à aller voir ailleurs.</t>
  </si>
  <si>
    <t>12/02/2020</t>
  </si>
  <si>
    <t>alaeddine-j-133189</t>
  </si>
  <si>
    <t>Je suis satisfait car le service est simple et rapide. 
les tarifs sont correctes et attractif pour les jeunes conducteur. 
Un large choix d'options et de possibilité ce qui offre dur choix pour les potentiel clients</t>
  </si>
  <si>
    <t>dudu-97680</t>
  </si>
  <si>
    <t xml:space="preserve">Que de problème avec eux toujours responsable  pour des bris de glaces et dépannage quand vous avez une roue de crevet le dialogue avec les personnes qui s occupe des accidents incompétents aucun dialogue et il comprenne rien et en plus il ne lisent même pas entre les lignes il faudrait qu'il change de métier cordialement </t>
  </si>
  <si>
    <t>zelina-m-81512</t>
  </si>
  <si>
    <t>PACIFICA NOUS CACHE DES CHOSES NON RESPECT D UN CLIENT</t>
  </si>
  <si>
    <t>30/11/2019</t>
  </si>
  <si>
    <t>yannick-d-129802</t>
  </si>
  <si>
    <t xml:space="preserve">N'ayant pas encore eu de gros problèmes liés à mon assurance, je suis satisfait des services proposés. J'espère que cela durera dans le temps. Une petite réduction fidélité serait également appréciable. </t>
  </si>
  <si>
    <t>nafati-h-109958</t>
  </si>
  <si>
    <t>je suis satisfaite, très bon travail, professionnel et rapide. 
essayez toujours de travailler sur le prix, surtout vous comparer toujours à la concurrence. merci</t>
  </si>
  <si>
    <t>etienne--m-127995</t>
  </si>
  <si>
    <t xml:space="preserve">Satisfaction de la rapidité. Service très rapide et satisfait de votre part. Je vais continuer à conseiller aux personnes qui ont besoin de ce service après ou lors d'un achat. </t>
  </si>
  <si>
    <t>hoareau-e-108604</t>
  </si>
  <si>
    <t>Le service en ligne est agréable, rapide et efficace avec l'Olivier assurance.
Je suis vraiment satisfait  de mon inscription, de la procédure de la prise en compte et de mise à disposition des documents en ligne. C'est très bien.
Je recommande volontiers.</t>
  </si>
  <si>
    <t>gsaignes-114222</t>
  </si>
  <si>
    <t xml:space="preserve">Bonjour 
Afin de vous informer du niveau de service des gestionnaires de la MACIF voici la lettre que je viens de leur envoyer ce matin par mail à relation.clientweb@macif.fr
---------------------------------------------------------------------------------------------------
Sociétaire:
n° 3056850
Bonjour
Je souhaite vous faire part de mon profond mécontentement concernant votre service.
Je tiens tous d'abord vous faire remarquer que votre plateforme téléphonique n'est pas en cause, vos conseillers sont très aimables et font leur possible.
J'aimerais savoir pourquoi dans la gestion de sinistre n'avons nous aucun retour de votre part? ni courrier, ni appel, ni mail?
Sur deux sinistres en cours, 201964627 datant de décembre 2020 et 201901282 datant de juillet 2020, je suis systématiquement obligé de m'informer auprès de l'expert ou de votre plateforme pour avoir la moindre information et faire avancer le dossier.
L'expert n'est pas en cause et fait son travail.
Je dois vérifier continuellement que vous avez reçues les éléments envoyés par l'expert ou par l'entreprise mandatée et vous rappeler de les prendre en compte.
C'est moi qui doit demander ce que l'on doit faire et qui relancer.
Je souhaite être contacté par téléphone rapidement pour faire le point sur le dysfonctionnement de vos processus ou éventuellement que l'on m'explique de vive voix que le niveau de service que vous procurez est celui que vous validez en interne.
Dans l'attente de votre appel
</t>
  </si>
  <si>
    <t>marsan-49562</t>
  </si>
  <si>
    <t>Je suis satisfait, du prix et de l'accueil. bonne réponse à toute mes questions, problème avec la signature réglé. Bonne journée. Nous espérons que cette assurance nous donnera toute satisfaction.</t>
  </si>
  <si>
    <t>tural-m-122604</t>
  </si>
  <si>
    <t xml:space="preserve">Exelent ! Je je recommande.
Service client au top. Toujour au service du client. Très arrangeant je recommande à tout le monde. Je suis assurer depuis plus de 2ans j'ai rien à leur reprocher. Travail professionnel. </t>
  </si>
  <si>
    <t>cissou7777-55670</t>
  </si>
  <si>
    <t>Honteux ! Je viens d apprendre qu ils vont me radier car ils n apprecient d avoir eu a me rembourser la voiture sans pouvoir réclamer a quelqu' un cette somme car on m a vole ma voiture et incendié.  Donc comme ils ont du me rembourser hop ils vous vire . Alors que je n ai jamais eu d accident responsable.  C est une honte . Ca fait deja tres mal d avoir perdu sa voiture du reprendre un credit et en plus ca ! 
On est client que si on a pas a leur demander quoique ce soit sinon aller dehors !</t>
  </si>
  <si>
    <t>christopher-c-105424</t>
  </si>
  <si>
    <t xml:space="preserve">Je paye 50€ par mois pour une TOYOTA AYGO qui a 3CV Fiscaux. C'est limite un karting, je paye plein pot et je suis même pas remboursé pour une dépanneuse alors que je suis assuré Tout Risques + Pack sérénité.  Sans compter le temps qu'il a fallu que résilier le DEUXIEME contrat qui se trouvait sur LA MEME VOITURE ... </t>
  </si>
  <si>
    <t>antoine-65569</t>
  </si>
  <si>
    <t>Suite à un accident, fin avril, dans lequel je ne suis pas responsable, l'autre personne n'a pas voulu faire de constat en annonçant un 50-50. 
Je me suis immédiatement rendu en boutique avec des photos en situation en prime.
L'assureur m'a annoncé qu'il est évident que je ne suit pas responsable.
Mon véhicule a été réparé à mes frais, je suis étudiant, ce qui m'a coûté presque 3000 euros.
Depuis début Mai je harcèle de coups de téléphone la matmut qui me répète que mon dossier est sur le bureau du responsable.
Cela fait donc presque 3 mois que j'attends un remboursement pour pouvoir subvenir à mes besoins, sans recours à mes parents, car la matmut fait que traîner et traîner.
Est-ce qu'il faut avoir recours à la justice pour qu'une assurance assure ses clients? C'est une solution envisageable...</t>
  </si>
  <si>
    <t>17/07/2018</t>
  </si>
  <si>
    <t>nicolas-d-113203</t>
  </si>
  <si>
    <t xml:space="preserve">je suis satisfait du rapport qualité prix
de très bonnes garanties pour moi et ma famille en cas d'accident cela me rassure
Espère ne pas être déçu en cas  problème
</t>
  </si>
  <si>
    <t>09/05/2021</t>
  </si>
  <si>
    <t>mederic-n-105128</t>
  </si>
  <si>
    <t>Totalement insatisfait du service.
Des commerciaux qui vendraient leur mère pour la signature d'un contrat...
Promesse d'une assurance Moto suite à la signature ET PAIEMENT INTEGRAL de la prime, et une fois que la résiliation est faite, pas d'assurance possible pour la moto, le contrat étant déjà chez AXA... 
J'attend toujours votre appel ...
Des mensonges dés la souscription ... Félicitation, continuez ainsi ... Encore une affaire qui présentera bien dans la presse.</t>
  </si>
  <si>
    <t>annabelle-66512</t>
  </si>
  <si>
    <t>Plus de 10 mois après mon inscription, je n'ai toujours pas reçu ma carte tiers payant, ce n'est pas faute d'être allée à l'agence quatre fois dans l'année avec à chaque fois des promesses de réception de la carte, sans compter des appels réguliers à l'agence. Résultats, j'ai avancé de nombreux frais de santé, et combien de mois faudra-t-il encore attendre pour être remboursée? Je déconseille quiconque de s'inscrire chez eux, leur gérance ressemble au néant.</t>
  </si>
  <si>
    <t>31/08/2018</t>
  </si>
  <si>
    <t>marielou-is-71162</t>
  </si>
  <si>
    <t xml:space="preserve">5 minutes d'attente donc très raisonnable , je suis tomber sur une conseillère téléphonique très aimable et aidante (Erika)  , j'espère par la suite j'espere bien recevoir ma carte définitive de mutuelle qui commence à être longue . </t>
  </si>
  <si>
    <t>11/02/2019</t>
  </si>
  <si>
    <t>paf-70914</t>
  </si>
  <si>
    <t>Je déconseille vraiment cet assurance, après plusieurs problème technique avec eux ils font toujours preuve de mauvaises foie, ils veulent toujours avoir raison! Pour exemple J'ai reçu de leurs part un courrier pour continuer le contrat de la protection juridique, hors j'avais déjà résilier ce contrat 3 mois avant, j'ai reçu ce courrier 10 jours après l'envoi, j'ai donc envoyer mon courrier par lettre accusé de réception pour résilier une seconde fois, il me restait à cette étape que 10 jours pour répondre car nous avons un délai de 20 j à partir de l'envoie de leurs courrier et malgré tout je n'ai eu aucune réponse et je viens d'être débiter. Et j'en passe...</t>
  </si>
  <si>
    <t>03/02/2019</t>
  </si>
  <si>
    <t>maxxxxzr-122715</t>
  </si>
  <si>
    <t xml:space="preserve">Satisfait du service pour le moment a voir plus tard , pour le prix je trouve sa correct sans aucune surprise à voir pour la suite ce que sa va donner 
</t>
  </si>
  <si>
    <t>luc-h-124859</t>
  </si>
  <si>
    <t>Je suis satisfait avec Direct assurance... rien à redire.
Ils sont pros, leur site bien fait, simple, convivial. Les conseillés très compréhensifs.
Je ne peux que les conseiller.</t>
  </si>
  <si>
    <t>rbd44-116792</t>
  </si>
  <si>
    <t>Lorsque l'on désire un renseignement, on a un robot à qui parler et il ne comprend rien.
De plus, les garanties ont baissé en 2021 : en 2020 on avait droit à 3 consultations d'ostéopatie et cette année, à seulement 85 € / personne, alors qu'une séance est 55 €.
Les mutuelles d'entreprises vont souvent vers le bas en remboursement... à méditer !</t>
  </si>
  <si>
    <t>suziep-107619</t>
  </si>
  <si>
    <t>J'ai été réellement 'assurée' dans cette pseudo assureur et je déconseille fortement de souscrire car le service client (une plateforme étrangère) est d'une incompétence sans nom. Inutile d'envoyer un email sur leur site, vous n'aurez jamais de retour. Pour ce qui concerne les remboursements, je vous conseille d'éviter les courtiers comme BS ASSUR car ils ne savent pas répondre en fonction de vos réels besoins de soins. Remboursement et suivi client INEXISTANT. Très mauvaise expérience.</t>
  </si>
  <si>
    <t>laurence-62105</t>
  </si>
  <si>
    <t>Lamentable !!!!
Nous sommes le 7 mars et toujours pas de carte mutuelle...pas grave je vais sur le site pour l'éditer et quelle surprise service indisponible.
Impossible d'avoir une réponse précise quand mon entreprise les appelle d'ailleurs ils ne répondent plus au mail ni au ligne directe entreprise ...quelle honte !!!
Ils se moquent vraiment des adhérents ...</t>
  </si>
  <si>
    <t>07/03/2018</t>
  </si>
  <si>
    <t>christophe-m-123244</t>
  </si>
  <si>
    <t>Comme dirait le dicton , on testera le moment venu mais pour l'instant le tarif est très intéressant.
Personne efficace et sympathique. réactif et disponible</t>
  </si>
  <si>
    <t>hoffmann-h-133374</t>
  </si>
  <si>
    <t>Très bien et très rapide.
Je recommande, le site Internet est bien organisé pour assurer son véhicule en toute tranquillité.
Bonne route tout en soyons prudent.</t>
  </si>
  <si>
    <t>axelle-b-101376</t>
  </si>
  <si>
    <t>Je trouve le prix très bien placé dans les offres comparatives. A voir en cas de sinistre ou autres désagréments ce qu'il en est. J'avais cette assurance pour une voiture et en été satisfaite</t>
  </si>
  <si>
    <t>13/12/2020</t>
  </si>
  <si>
    <t>gerardmir-90354</t>
  </si>
  <si>
    <t>Un assureur qui n'assure pas! Dossier complet d'indemnité hospitalisation chez GAN depuis 3 mois, toujours pas de nouvelles malgré de nombreuses relances, je pensais qu'une prévoyance servait à protéger les contractants, Gan c'est tout l'inverse. à fuir.</t>
  </si>
  <si>
    <t>Gan</t>
  </si>
  <si>
    <t>voisin-m-113133</t>
  </si>
  <si>
    <t xml:space="preserve">Très satisfait des services 
Bonne disponibilité et bonne réactivité des intervenants 
Qualité écoute très satisfaisante ; prix à la hauteur de mes espérances </t>
  </si>
  <si>
    <t>08/05/2021</t>
  </si>
  <si>
    <t>yannick-s-136964</t>
  </si>
  <si>
    <t>Rien à signaler, si ce n’est la complexité pour valider du fait du système securipass. Cela m’a pris plusieurs jours car je ne possédais pas encore l’application…</t>
  </si>
  <si>
    <t>christophe41700-54559</t>
  </si>
  <si>
    <t xml:space="preserve">le service client ne répond pas au question impossible de les joindres même par le chat 5 mails sans réponse et appel pour une simple demande d'ajout de conducteur </t>
  </si>
  <si>
    <t>10/05/2017</t>
  </si>
  <si>
    <t>lula-62181</t>
  </si>
  <si>
    <t>Des pros dans le domaine... du non paiement des remboursements et des cotisations rapidement ponctionnés... J'ai eu une opération avec dépassement d'honoraires que j'ai payé début janvier. Arpège m'avait dit que je serais remboursée à hauteur de 117 euros mais qu'il fallait que j'avance les frais. Heureusement que j'ai une autre mutuelle qui me permet de ne pas les avancer, eux ! J'ai envoyé tous les documents complémentaires demandées, on m'a fait tourner en bourrique pendant presque 3 mois pour me dire finalement aujourd'hui "non, on ne vous remboursera pas parce que votre forfait maximum dans le cadre des contrats responsables est atteint". En gros, juste un prétexte bidon pour ne pas rembourser. Par contre, pour ponctionner les cotisations sur mon salaire, ca il y a pas de souci du tout. Ce que je sais, c'est que je vais aller me plaindre auprès du responsable des difficultés que j'ai eu avec Arpège, et apparemment je ne suis pas la seule dans l'entreprise. Je regrette déjà d'avoir pris la surcomplémentaire cette année. Mais ce qui est sur, c'est que l'année prochaine, je résilie complètement Arpège, vu que maintenant la mutuelle travail n'est plus obligatoire si l'on a une autre mutuelle. Parce qu'entre une mutuelle avec qui je n'ai eu aucun problème en 20 ans, et une autre avec qui je n'ai eu que des problèmes en 3 mois, le choix est vite fait.</t>
  </si>
  <si>
    <t>10/03/2018</t>
  </si>
  <si>
    <t>monique-34-129576</t>
  </si>
  <si>
    <t xml:space="preserve">Cela fait un ans que j'ai fait une demande révision de mon indemnité de dépendance suite a un changement de GIR. Toujours pas de réponse positive de leur part malgré de multiples échanges par mails ou Téléphone, toujours la même excuse: le dossier est en cours d'instruction. </t>
  </si>
  <si>
    <t>26/08/2021</t>
  </si>
  <si>
    <t>fleur--132399</t>
  </si>
  <si>
    <t xml:space="preserve">Assurance trop chère et aucun effort pour les bons conducteur sur le prix. Je suis à la recherche d'une autre assurance et si possible assurer ma voiture pour les kilomètres parcourus </t>
  </si>
  <si>
    <t>guy-m-125766</t>
  </si>
  <si>
    <t>offre ok
Mais prélèvement des 2 premiers mois injustifiés
L'offre n'est pas la plus compétitive du marché
A revoir  du moins de ce point de vue
Cordialement</t>
  </si>
  <si>
    <t>31/07/2021</t>
  </si>
  <si>
    <t>magadella-53885</t>
  </si>
  <si>
    <t>A la maif depuis 25 ans, je prouve qu'à la MACIF leur devis est meilleur, la MAIF ne souhaite rien entendre, lorsque vous appelez un conseiller on vous précise si vous trouvez un devis moins cher recontactez-nous que des mots.. rien dans l'action</t>
  </si>
  <si>
    <t>chevillot-f-109817</t>
  </si>
  <si>
    <t xml:space="preserve">petit bug sur le site au moment du retour paiement et incompréhension du commercial mais ensuite la personne au service client a été parfaite ! Merci </t>
  </si>
  <si>
    <t>tastet-m-131899</t>
  </si>
  <si>
    <t>Le personnel est agréable, les prix sont abordables même pour petit budget, l'espace personnel est pratique et la souscription du contrat se fais très rapidement.</t>
  </si>
  <si>
    <t>chaillou-t-117539</t>
  </si>
  <si>
    <t xml:space="preserve">Je suis très satisfait de votre réponse rapide de votre accueil téléphonique ainsi que l'envoi rapide des documents malgré votre soucis de connexion je vous remercie </t>
  </si>
  <si>
    <t>fleur31-79411</t>
  </si>
  <si>
    <t xml:space="preserve">Bonsoir, nous sommes profondément déçu de la suite qui a été donnée à notre requête. Nous avons déclaré le vol à l'intérieur de notre véhicule par effraction le 01/08/2019. Sachant que nous n'avions pas cocher l'option de quelques euros qui nous permettait la prise en charge des affaires volées et/ou la réparation d'une rayure du capot, nous avions sollicité auprès de votre service un geste commercial. Nous pensions que notre fidélité depuis 16 ans et les 6 contrats souscrits à ce jour pouvaient faire valoir une certaine reconnaissance. Ce n'est que 6 semaines plus tard que nous recevons un courrier hostile qui nous explique que la Mutuelle ne peut intervenir pour la possibilité d'une participation exceptionnelle. C'est la 2ème fois que nous sommes confrontés à la déception de vos services. En conséquence, nous en concluons qu'un adhérent reste un adhérent lambda. Si celui-ci n'est pas satisfait, Matmut préfère la résiliation de contrats que d'opter pour un geste commercial et la fidélisation de ses clients. </t>
  </si>
  <si>
    <t>auguste-90606</t>
  </si>
  <si>
    <t>Je suis satisfait du service proposer par internet pour l'assurance du véhicule.
Le prix est convenable et les options claire.
bien cordialement
Merci</t>
  </si>
  <si>
    <t>karine35-75720</t>
  </si>
  <si>
    <t>Son juste bon a nous faire payer une assurance.</t>
  </si>
  <si>
    <t>roux-b-122683</t>
  </si>
  <si>
    <t>Entièrement satisfaite. Pas d'attente accueil agréable a l'écoute bonne explication et compréhension je recommande fortement l'assurance l'olivier assurance.</t>
  </si>
  <si>
    <t>franck-m-114137</t>
  </si>
  <si>
    <t xml:space="preserve">Assurance permettant de choisir des options qui correspondent aux attentes des assurés en deux roues ! Ce n’est pas toujours le cas ! Bravo à vous; et  prix corrects
</t>
  </si>
  <si>
    <t>jean-denis-m-114664</t>
  </si>
  <si>
    <t>BONJOUR.
je ne suis plus satisfait suite à une forte augmentation de vos tarifs sur mes deux véhicules.
un véhicule avec un contrat du mois de février 2021
un véhicule avec un contrat du mois de mai 2020</t>
  </si>
  <si>
    <t>kifouche-m-133542</t>
  </si>
  <si>
    <t xml:space="preserve">on verra pour la suite de la durée du contrat, en termes de souscription, ça s'est plutôt bien passée. Le reste c'est au cours de son exécution qu"on verra </t>
  </si>
  <si>
    <t>amboudja-110057</t>
  </si>
  <si>
    <t>cela fait 1 ans et demi que j'ai souscrit à MERCER, mais je n'ai toujours pas reçu ma carte de tier payant.
j'appelle le service client non stop pour réclamer ma carte de tier payant mais ils ne sont pas mesures de répondre à mes questions et me disent que je vais bientôt recevoir ma carte mais a ce jour j'attends encore ma carte, j'ai des urgences mais sans la carte de tier payant je peux rien faire.
le service client de mercer sont incompétents, ils ne savent pas répondre à des questions et répondent toujours la meme chose.
une Mutuelle à éviter…….</t>
  </si>
  <si>
    <t>housseyn-b-116992</t>
  </si>
  <si>
    <t xml:space="preserve">Tres satisfait du prix et de l’accueil excellent je recommande fortement à tout les jeune motard vous trouverais pas moin chère bonne route            </t>
  </si>
  <si>
    <t>bernard-s-132591</t>
  </si>
  <si>
    <t>Très bon assurance personnelle  très compréhensible Merci a tous équipe
Je vais recommande à mes amis (es) je vous souhaite une bonne journée prendre soin de vous</t>
  </si>
  <si>
    <t>sayah75-66472</t>
  </si>
  <si>
    <t>je suis assuré tout risque ma voiture a subit un choc en niveau coffre pendant enlevement mairie paris franchisse 600 euros ma charge et 80 euros axa paye</t>
  </si>
  <si>
    <t>29/08/2018</t>
  </si>
  <si>
    <t>ilfaitrebo-59109</t>
  </si>
  <si>
    <t>Abandonné en cas de sinistre</t>
  </si>
  <si>
    <t>nono13-100169</t>
  </si>
  <si>
    <t>augmentation a la téte du client.  probléme de rembourssement et plient d autres  problémes qui vienne ce rajoutés on ne vous rapelle jamais c est infernal je croix que je vais resilier tous mes contrats</t>
  </si>
  <si>
    <t>16/11/2020</t>
  </si>
  <si>
    <t>sam-65657</t>
  </si>
  <si>
    <t>Pas top, il ne faut rien vous arrivez, sinon c'est la fin, à croire qu'il ne veulent assurer mais sans prendre le risque qu'il arrivent quelques incident que ce soit.</t>
  </si>
  <si>
    <t>11/12/2020</t>
  </si>
  <si>
    <t>bzh-50215</t>
  </si>
  <si>
    <t xml:space="preserve">Ne tient pas les engagements du contrat initial.  Ne répond pas aux mails  malgré des menaces de résiliation . 
Bref une cie d'assurances auto à éviter . Que se passerait-il en cas de sinistre ?  </t>
  </si>
  <si>
    <t>13/12/2016</t>
  </si>
  <si>
    <t>mecontente-99926</t>
  </si>
  <si>
    <t xml:space="preserve">! MUTUELLE APRIL SANTE NON RECOMMANDABLE 
! Contrats April santén: ils sont illisibles et incompréhensibles pour les particuliers, des délais de traitement trop long tant sur les devis que sur les remboursements.
! Disponibilité des conseillers chez April Santé : trop difficile d'avoir un conseiller april au téléphone.
prix de la Mutuelle April santé : Trop cher pour le niveau de service niv. 5 payé 300€ par mois pour un couple. 
 = triste expérience client, je ne recommande pas, fuyez les courtiers qui proposent ce april santé.
! A ce jour, j'ai quitté April santé et pris une autre mutuelle. </t>
  </si>
  <si>
    <t>09/11/2020</t>
  </si>
  <si>
    <t>jean-marie-47972</t>
  </si>
  <si>
    <t xml:space="preserve">Bonjour
J'ai eu un accident non responsable. 
Un pièce de mon bas de caisse doit être absolument changé d'après le carrossier. 
L'expert dit que non, et la Macif n'est même pas foutu de me défendre contre l'avis d'expertise.
Lamentable. 
J'ai pourtant 2 voitures assuré chez eux. 
Avec eux c'est terminé. </t>
  </si>
  <si>
    <t>31/01/2021</t>
  </si>
  <si>
    <t>adel-z-124386</t>
  </si>
  <si>
    <t xml:space="preserve">La souscription est très facile mais je suis très déçu je m'atrendais à un geste commercial étant déjà client chez vous. J'espère que mon commentaire sera pris en compte. </t>
  </si>
  <si>
    <t>marcel-88098</t>
  </si>
  <si>
    <t>ASSURANCE PIEGE A EVITER PAS TRES CHER MAIS PAS DE PRISE EN CHARGE TOTAL EN TOUT RISQUE ET MAUVAISE GESTION DES SINISTRE SURTOUT PAR LEUR FAMEUX CONSSEILLES ET LEUR EXPERT TRES PROFESSIONEL QUI TRAVAIL SUR PHOTOS</t>
  </si>
  <si>
    <t>08/03/2020</t>
  </si>
  <si>
    <t>smassa-60599</t>
  </si>
  <si>
    <t>Prix inegalé</t>
  </si>
  <si>
    <t>17/01/2018</t>
  </si>
  <si>
    <t>pauline-g-132243</t>
  </si>
  <si>
    <t xml:space="preserve">Super prix et facilité de souscription. Je suis satisfaite du service en ligne direct assurance. Merci et à bientôt. Je scan les doc dès que possible. </t>
  </si>
  <si>
    <t>adam1-53756</t>
  </si>
  <si>
    <t>Sociétaire Maif depuis 35 ans, un dossier RAQVAM ouvert et 2 ans après, j'apprends par téléphone que le dossier est clôturé malgré un désaccord. Aucun rappel pour nous informer de la clôture imminente !! Où est l'assureur militant ??</t>
  </si>
  <si>
    <t>31/03/2017</t>
  </si>
  <si>
    <t>bronze-n-126420</t>
  </si>
  <si>
    <t xml:space="preserve">Je suis satisfait du contrat et du service. Le devis est rapide et adapté aux besoins. Je recommande cette assurance en ligne aux futurs clients. Cordialement </t>
  </si>
  <si>
    <t>kathy-103011</t>
  </si>
  <si>
    <t>Bonjour, Je reçois un courrier aujourd'hui en recommandé qui me dit que mes contrats d'assurance auto sont résiliés pour motif "inadéquation du risque au regard de la politique d'acceptation de la compagnie". Pour ma part pas de sinistre mais j'ai perdu mon époux il y a un an. Deux véhicules étaient assurés à Eurofil, et j'ai parrainé trois personnes. Voilà le remerciement. Super Eurofil!</t>
  </si>
  <si>
    <t>21/01/2021</t>
  </si>
  <si>
    <t>benoit-80214</t>
  </si>
  <si>
    <t xml:space="preserve">j'ai souscrit une assurance automobile puis 3 jours plus tard; j'ai fait une demande de rétractation part mail car a la suite de mon envoie des relevés d'information j'ai reçu un mail avec un avenant au contrat qui augmenté le prix de 100e et modifié négativement mon bonus alors que toute les information que j avais donné a la souscription du contrat été bonne. 
Lors de ma demande de rétractation j'ai demandé a etre remboursé de la somme de 108 euro que j' ai payé lors de la souscription du contrat dont j'espere bien étre remboursé!!
</t>
  </si>
  <si>
    <t>corinne-g-105574</t>
  </si>
  <si>
    <t xml:space="preserve">Je ne suis pas du tout satisfaite de DIRECT ASSURANCE.
J'ai conclu un contrat d'assurance TOUS RISQUES le 05/04/2018 de 666€ par an.
Sans avoir eu AUCUN incident, mon assurance a été augmentée toutes les années.
Pour l'année 2021 mon assurance est passée à 823€ !!!!
C'est scandaleux, et inacceptable !!!! J'aurais pu le comprendre si j'avais eu 1 seul incident. De plus, je précise que j'ai un bonus de 50% depuis plus de 12 ans !!! </t>
  </si>
  <si>
    <t>madeline-m-128591</t>
  </si>
  <si>
    <t xml:space="preserve">Trop cher pour un premier paiment de deux mois ! La moitier d’un salaire c’est une une honte ! Je n’ai pas le choix mais dès que je trouve une assurance plus intéressante je quitterez la votre et vous devez perdre pas mal de clients. </t>
  </si>
  <si>
    <t>19/08/2021</t>
  </si>
  <si>
    <t>clsema11*-136009</t>
  </si>
  <si>
    <t xml:space="preserve">J'ai eu un sinistre avec mon Peugeot 3008 en Août 2021. la prise en charge de mon appel et la réparation du véhicule ont été plus que parfait. Je recommande vivement cette compagnie d'assurance.
</t>
  </si>
  <si>
    <t>jack-90283</t>
  </si>
  <si>
    <t>Afin de rester competitif je n'ai pas pu renouveler mon contrat concernant mon habitation et j'ai du consulter vos concurents afin d'obtenir une proposition allant avec mon budget</t>
  </si>
  <si>
    <t>azzeddine-m-122933</t>
  </si>
  <si>
    <t>Le prix me convient 
Je suis satisfait de cette assurance au niveaux prix, mais il me faut encore quelque afin d'avoir un avis plus rigoureux.
Cordialement</t>
  </si>
  <si>
    <t>bitouny-60230</t>
  </si>
  <si>
    <t>Après plus de 30 années de sociétaire, la MACIF résilie mes contrats, tous, auto et habitations, au motif de ma résiliation de la RPFA :  Garantie Accident (Re´gime Pre´voyance Familiale Accident) à 27,25 € / an souscrit par téléphone après argumentaire commercial persuasif... J'ai renoncé à cette couverture par mail et courrier simples, il est vrai, après avoir réglé cette cotisation facultative pendant deux ans. Bravo, la fidélité est récompensée, l'abus de position sera vérifié par la DGCCRF.</t>
  </si>
  <si>
    <t>06/01/2018</t>
  </si>
  <si>
    <t>megane-58759</t>
  </si>
  <si>
    <t xml:space="preserve">Un sinistre responsable en 7 ans et une radiation de l’assurance. Il me semblait pourtant que c’était pour ça qu’on payait une assurance ! Scandaleux. Je déconseille cette compagnie. En bref, vous pouvez compter sur la maaf surtout quand vous n’avez pas de problème !! Une compagnie juste bonne a encaisser votre argent. Réfléchissez y a deux fois avant de souscrire un contrat! A bon entendeur. </t>
  </si>
  <si>
    <t>11/11/2017</t>
  </si>
  <si>
    <t>jean-samuel-a-132255</t>
  </si>
  <si>
    <t>Très pratique sur internet, mais modification du devis sans explication et après 3 appels à des conseillers cela ne marche toujours pas... Donc obligé de repartir du mail du Lynx pour avoir mon prix initial. Bizarre et chronophage, surtout pour le "service client de l'année 2021".</t>
  </si>
  <si>
    <t>david-b-136726</t>
  </si>
  <si>
    <t>le service est un peu harcelant au téléphone et ne vous rappelle pas dans les créneaux souhaités choisis sur le site. C'est vraiment dommage, on se sent comme un bout de viande</t>
  </si>
  <si>
    <t>09/10/2021</t>
  </si>
  <si>
    <t>lili85-71223</t>
  </si>
  <si>
    <t xml:space="preserve">En 2019 on laisse encore les gens dans la merde en nous baladant entre Nantes et Paris.  Délai énormément long pour une prise en charge d un arrêt de travail ! Dossier envoyer en decembre et qui n est toujours pa traité ! Une honte pour le prix qu on paye . </t>
  </si>
  <si>
    <t>12/02/2019</t>
  </si>
  <si>
    <t>clodia-99089</t>
  </si>
  <si>
    <t xml:space="preserve">Assurance très difficile a joindre par téléphone-
Retire une réserve kilométrique et vous mets en kilomètre libre sans attendre une explication du pourquoi (Confinement) pas de nouveau contrat signé pour accord ! et vous vous  retrouvez avec 300€ de plus par an !!!
Assurance à déconseiller </t>
  </si>
  <si>
    <t>22/10/2020</t>
  </si>
  <si>
    <t>titeoceane-66657</t>
  </si>
  <si>
    <t>Très bon accueil. Comme il n'y a pas de plateforme téléphonique, on arrive à les joindre facilement.  Ils ont répondu à toutes mes questions et à mes attentes (étant novice dans ce domaine).</t>
  </si>
  <si>
    <t>Afi Esca</t>
  </si>
  <si>
    <t>06/09/2018</t>
  </si>
  <si>
    <t>vernet-n-126684</t>
  </si>
  <si>
    <t>JE SUIS POUR L'INSTANT SATISFAIT EN CE QUI CONCERNE L'ACCUEIL  ET LA TARIFICATION J'ESPERE QUE L'EFFICACITE SERA DE MISE S'IL Y A UN JOUR  UN SOUCIS..</t>
  </si>
  <si>
    <t>martine-g-107241</t>
  </si>
  <si>
    <t>Je suis satisfait du service, les prix me conviennent ainsi que le rapidité et la facilité de fonctionnement du site internet et la réactivité de vos collaborateurs</t>
  </si>
  <si>
    <t>eliza-107590</t>
  </si>
  <si>
    <t xml:space="preserve">J'ai reçu mon devis d'assurance le 22 mars pour renouvellement au 1er avril. Je decide de changer d'assureur vu le prix trop haut de MACIF. La conseillere de l'agence m'insulte en prétendant que j'aurais du effectuer les démarches de résiliation en Janvier !!!!!! </t>
  </si>
  <si>
    <t>monsieurmb-96622</t>
  </si>
  <si>
    <t xml:space="preserve">Assurance à fuir ! Ils vous mentent lors de la signature du contrat, ils n'assument pas un an plus tard et vous chasse avec un nouveau mensonge, joue sur les délais pour surtout pas vous laisser résilier une fois la première année passée sachant pertinemment que la reconduction est automatique. Puis ils enchainent les arguments fallacieux pour justifier les hausses. J'insiste fuyez l'olivier assurance.
</t>
  </si>
  <si>
    <t>24/08/2020</t>
  </si>
  <si>
    <t>rk-asv-59024</t>
  </si>
  <si>
    <t>Je suis ancien(tout nouveau) client du produit millenium avec des frais d'entrée à 4.95% avec une rentabilité max constatée par AXA de 3% l'année précédente (pas besoin de faire de dessin). Ce qui m'a aussi marqué c'est l'univers de sélection des valeurs; bien évidemment des produits AXA avec des perf basses (l'observation a pu être faite en modélisant la structure de mon Portefeuille ASV sur un portefeuille virtuel).</t>
  </si>
  <si>
    <t>22/11/2017</t>
  </si>
  <si>
    <t>aminehh-68200</t>
  </si>
  <si>
    <t xml:space="preserve">Je suis vraiment pas satisfait de tt... 
Les Conseiller pas honnête et il confirme que direct assurance sont "nulle " et il me raccroche au né. 
Ne répond pas au téléphone. 
Là j'attends qu'ils me rembourse de puis puisqu'un mois. Jusqu'à aujourd'hui ils m'ont rien rembourser. 
En plus ils me remboursent pas 100% car il y'avait déjà des rayures donc pour eux c'est 50% a ma charge, alors que je suis pas fautif. Et la première fois ils m'envoie un mail pour me dire que tout est pris en charge par l'assurance, et j'ai rien a payé. 
</t>
  </si>
  <si>
    <t>30/10/2018</t>
  </si>
  <si>
    <t>laguzet-l-127386</t>
  </si>
  <si>
    <t xml:space="preserve">Suite à un vol de moto , j'ai été agréablement surpris de la rapidité et des conseils que j'ai pu bénéficier. J'ai évidement souscrit un nouveau contrat pour ma nouvelle moto.  </t>
  </si>
  <si>
    <t>christelle-n-117198</t>
  </si>
  <si>
    <t xml:space="preserve">très bon service, très bonne agence à saintes, aucun souci, toujours réactif et à l'écoute
entièrement satisfaite pour tous les types de contrat souscrit
</t>
  </si>
  <si>
    <t>willlllll6977-96760</t>
  </si>
  <si>
    <t xml:space="preserve">A la date échéance de mon contrat auto surprise une augmentation de 44% alors qu'une baisse m'était attendu ! Explication une recrudescence des vols ds ma commune le coût des réparations en hausse de manière générale....bref on m'explique le principe de mutualisation des risques même si personnellement je n'avais  déclaré aucun sinistre une telle hausse était bien légitime néanmoins on m'accorde une baisse de 200 euros sur le tarif annuel annoncé apres qq coût de fil..je décide de changer d'assurance évidement pour retrouver un tarif plus convenable. Une assurance qui comme la majorité de tte façon ss prévenir de rien les tarifs s'envolent pour vous faire payer une recrudescence de vol hallucinant cest à moi de payer pour ça et non au voleur ? Je reste sans voix face  à la toute-puissance de ces assureurs performant pour prélevé augmenter leur tarif mais qd il s'agit de défendre les assuré et de garder leur client il n'y a plus personne ils font comme ils veulent puisque les autres ne font pas mieux. On en vien a se dire que rouler ss assurance devient compréhensible avec un système pareil ou les conducteurs honnete sont la pour payer a la  place des voleurs puisque ils ont mon rib et que Non je n'ais pas voler mon véhicule moi! </t>
  </si>
  <si>
    <t>28/08/2020</t>
  </si>
  <si>
    <t>georges-80492</t>
  </si>
  <si>
    <t>Suite au décès de ma mère qui avait contracté une assurance vie chez CARDIF me voila pris dans un système ou tout semble être mis en place pour que votre dossier n'aboutisse que le plus tard possible, voir jamais.</t>
  </si>
  <si>
    <t>prieur-mazoyer-v-115060</t>
  </si>
  <si>
    <t xml:space="preserve">J'ai bien été renseigné, personne à l'écoute. prix satisfaisant et très bonne réactivité.
je recommanderai sans problème. a voir avec le temps maintenant </t>
  </si>
  <si>
    <t>danielle-r-106921</t>
  </si>
  <si>
    <t>changement de véhicule et avenant à mon contrat initial, j'ai tout fait par internet et par téléphone avec l'aide d'une assistante efficace, compétente. En moins d'une heure, j'ai obtenu mon nouveau contrat et ma carte verte provisoire !!! super service, bravo !</t>
  </si>
  <si>
    <t>housni-a-134846</t>
  </si>
  <si>
    <t xml:space="preserve">Je suis satisfait , mais je pense sa aurait été mieux que pour le premier prélèvement s’effectue le mois qui suit sa serait plus avantageux de ma part . </t>
  </si>
  <si>
    <t>linea-65470</t>
  </si>
  <si>
    <t>Pire assurance du jamais. Aucun suivis de mon sinistre on dit quon vous rapelle dans 24 48h jai aucun retour depuis 2semaines, courir derière eux je fais le boulot a leur place jai jamais vu un tel scandale je quitte la compagnie ce mois ci</t>
  </si>
  <si>
    <t>13/07/2018</t>
  </si>
  <si>
    <t>fatiha-g-131756</t>
  </si>
  <si>
    <t xml:space="preserve">Le tarif du pack tranquilité est coûteux. Dommage qu'il n'y est pas une offre assurance tous risques accessible pour ceux qui sont en situation précaires ! 
</t>
  </si>
  <si>
    <t>monic-54060</t>
  </si>
  <si>
    <t>Clients depuis 20 ans dans cette agence ,j'ai été reçu comme un chien dans un jeu de quille.Et sans sinistre en plus.Pas le moindre conseil.On m'a dit allez voir ailleurs.....</t>
  </si>
  <si>
    <t>13/04/2017</t>
  </si>
  <si>
    <t>duranti-b-116248</t>
  </si>
  <si>
    <t xml:space="preserve">Très bon suivi par celle qui m’a guidé, à pris son temps pour m’expliquer, savait ce que qu’elle disait et a répondu à mes besoins                    </t>
  </si>
  <si>
    <t>07/06/2021</t>
  </si>
  <si>
    <t>louza-r-127866</t>
  </si>
  <si>
    <t xml:space="preserve">Je suis satisfait bien agréablement par l accueil téléphonique. Je recommande cette assurance. Merci de votre gentillesse et rapidité de l exécution du contrat. </t>
  </si>
  <si>
    <t>13/08/2021</t>
  </si>
  <si>
    <t>riberol-y-116204</t>
  </si>
  <si>
    <t>Interlocuteur très professionnel et à l’écoute, Je recommande L’olivier assurance, prix intéressant et compétitif notamment lorsque l’on a du bonus…..</t>
  </si>
  <si>
    <t>lboutal-100238</t>
  </si>
  <si>
    <t xml:space="preserve">Sage-femme libérale,  je suis en arrêt maladie depuis le 01/08/2020. Je suis assurée chez Swisslife depuis 20 ans. Mon dossier d'indemnisation prévoyance n'est toujours pas finalisé et je suis donc sans revenu depuis bientôt 3 mois. Les échanges avec le service indemnisation sont du grand n'importe quoi (mails incompréhensibles et contradictoires, idem pour les courriers )Les mensualités liées à mon contrat de prévoyance continuent d'être prélevées et mes charges également. J'ai envoyé une mise en demeure de paiement à Swisslife,  je n'ai reçu aucune réponse. Mon dossier part chez un avocat à la fin du mois. Le manque de considération de cet assureur est inacceptable,  ma situation financière devenue difficile rajoutant du stress au stress de la maladie et de l'arrêt de travail. Je sais d'avance que je vais recevoir une réponse "de courtoisie " à cet avis et que la situation ne sera pas débloquée pour autant,  le problème étant lié à une incapacité des services à traiter correctement les dossiers. </t>
  </si>
  <si>
    <t>18/11/2020</t>
  </si>
  <si>
    <t>garlant-139427</t>
  </si>
  <si>
    <t xml:space="preserve">a FUIR en courant opéré des yeux depuis peu je vais en être de ma poche de près de 350 à 400 £ de non remboursements entre les dépassements d'honoraires qui sont entièrement à votre charge !!! et les non compléments de remboursement 15£ par ci + de 16£ par là  l' anesthésiste 62,50£ de ma poche etc etc je les largues et NE LES RECOMMANDES PAS !! ils vous promettent tout mais ne couvrent RIEN </t>
  </si>
  <si>
    <t>11/11/2021</t>
  </si>
  <si>
    <t>hublin-m-108091</t>
  </si>
  <si>
    <t xml:space="preserve">Je suis satisfaite des services juste des difficultés pour envoyer les documents par mail  car je ne travaille qu avec mon téléphone bonne journée désolé pour le désagrément de l envoie des mails </t>
  </si>
  <si>
    <t>guillaume-train-75352</t>
  </si>
  <si>
    <t>Client depuis 10 ans , je viens pour la première fois de déclarer un sinistre concernant le cambriolage de ma voiture assurée tout risque. J'apprends que l'on ne me remboursera pas les objets que l'on m'a dérobé . On me rembourse comme si j'avais simplement payé une assurance bris de verre . Je vais économiser de l'argent en changeant d'assurance .</t>
  </si>
  <si>
    <t>24/04/2019</t>
  </si>
  <si>
    <t>lauroli-57958</t>
  </si>
  <si>
    <t>Troisième contrat que je résilie chez eux, en fait la première année n'est pas chère mais ensuite les cotisations montent vite. Le plus gros problème chez eux est la communication, opératrices obtus et incapables de prendre des décisions, se contentant de répéter des phrases toutes faites.
A déconseiller .</t>
  </si>
  <si>
    <t>13/10/2017</t>
  </si>
  <si>
    <t>tonate-61691</t>
  </si>
  <si>
    <t>J'ai aimé cette assurance pour animaux, qui fonctionnement même en Outremer.</t>
  </si>
  <si>
    <t>16/08/2018</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</si>
</sst>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746.71"/>
    <col customWidth="1" min="4" max="26" width="8.71"/>
  </cols>
  <sheetData>
    <row r="1">
      <c r="A1" s="1" t="s">
        <v>0</v>
      </c>
      <c r="B1" s="1" t="s">
        <v>1</v>
      </c>
      <c r="C1" s="1" t="s">
        <v>2</v>
      </c>
      <c r="D1" s="1" t="s">
        <v>3</v>
      </c>
      <c r="E1" s="1" t="s">
        <v>4</v>
      </c>
      <c r="F1" s="1" t="s">
        <v>5</v>
      </c>
      <c r="G1" s="1" t="s">
        <v>6</v>
      </c>
      <c r="H1" s="1" t="s">
        <v>7</v>
      </c>
      <c r="I1" s="1" t="s">
        <v>8</v>
      </c>
      <c r="J1" s="1" t="s">
        <v>9</v>
      </c>
      <c r="K1" s="1" t="s">
        <v>10</v>
      </c>
    </row>
    <row r="2">
      <c r="A2" s="2">
        <v>4.0</v>
      </c>
      <c r="B2" s="2" t="s">
        <v>11</v>
      </c>
      <c r="C2" s="2" t="s">
        <v>12</v>
      </c>
      <c r="D2" s="2" t="s">
        <v>13</v>
      </c>
      <c r="E2" s="2" t="s">
        <v>14</v>
      </c>
      <c r="F2" s="2" t="s">
        <v>15</v>
      </c>
      <c r="G2" s="2" t="s">
        <v>16</v>
      </c>
      <c r="H2" s="2" t="s">
        <v>17</v>
      </c>
      <c r="I2" s="2" t="str">
        <f>IFERROR(__xludf.DUMMYFUNCTION("GOOGLETRANSLATE(C2,""fr"",""en"")"),"I contacted Néoliane for a remote transmission problem that is still not settled at present. Rali processed my request efficiently and provided me with the necessary advice to unlock the situation. We are now waiting for everything to get back to normal!")</f>
        <v>I contacted Néoliane for a remote transmission problem that is still not settled at present. Rali processed my request efficiently and provided me with the necessary advice to unlock the situation. We are now waiting for everything to get back to normal!</v>
      </c>
    </row>
    <row r="3">
      <c r="A3" s="2">
        <v>4.0</v>
      </c>
      <c r="B3" s="2" t="s">
        <v>18</v>
      </c>
      <c r="C3" s="2" t="s">
        <v>19</v>
      </c>
      <c r="D3" s="2" t="s">
        <v>20</v>
      </c>
      <c r="E3" s="2" t="s">
        <v>21</v>
      </c>
      <c r="F3" s="2" t="s">
        <v>15</v>
      </c>
      <c r="G3" s="2" t="s">
        <v>22</v>
      </c>
      <c r="H3" s="2" t="s">
        <v>23</v>
      </c>
      <c r="I3" s="2" t="str">
        <f>IFERROR(__xludf.DUMMYFUNCTION("GOOGLETRANSLATE(C3,""fr"",""en"")"),"Very practical personal space for the signing of the insurance contract
Very fast and efficient customer service that has answered all my questions
But difficulty finding the customer service phone number, indicating more clearly and quickly on the site")</f>
        <v>Very practical personal space for the signing of the insurance contract
Very fast and efficient customer service that has answered all my questions
But difficulty finding the customer service phone number, indicating more clearly and quickly on the site</v>
      </c>
    </row>
    <row r="4">
      <c r="A4" s="2">
        <v>3.0</v>
      </c>
      <c r="B4" s="2" t="s">
        <v>24</v>
      </c>
      <c r="C4" s="2" t="s">
        <v>25</v>
      </c>
      <c r="D4" s="2" t="s">
        <v>26</v>
      </c>
      <c r="E4" s="2" t="s">
        <v>27</v>
      </c>
      <c r="F4" s="2" t="s">
        <v>15</v>
      </c>
      <c r="G4" s="2" t="s">
        <v>28</v>
      </c>
      <c r="H4" s="2" t="s">
        <v>29</v>
      </c>
      <c r="I4" s="2" t="str">
        <f>IFERROR(__xludf.DUMMYFUNCTION("GOOGLETRANSLATE(C4,""fr"",""en"")"),"For 8 years: niquel, a lot of yield for a guaranteed background (just under 3% annual). But for several months it has been anything, I have not received any account statement, even though I have made transfers of 4,500 euros debited on my account: impossi"&amp;"ble to know what has become of this money. I had to go to an agency (Villeurbanne skyscraper), Mr. Robert took note of my request, then 1 week later he asked me for the date and the exact value of my payments. A finance advisor who cannot even have access"&amp;" to the banking movements of his structure, and who loses information given by one of his customers !!
And today I receive a postal letter indicating that I have a request in advance (a kind of loan to AFER, allowed by the fact that my assets at home con"&amp;"stitute a guarantee). And that they sent me a check so that I could take advantage of this advance. Yet I didn't ask for anything and received nothing !! Pure invention that comes out of I don't know where !!! Any administration can make mistakes, but thi"&amp;"s is still their job finance!
That's why I am talking about AFER on the forums: don't go that smells very bad. Put your money elsewhere, because for my part I don't know if I will see mine again.")</f>
        <v>For 8 years: niquel, a lot of yield for a guaranteed background (just under 3% annual). But for several months it has been anything, I have not received any account statement, even though I have made transfers of 4,500 euros debited on my account: impossible to know what has become of this money. I had to go to an agency (Villeurbanne skyscraper), Mr. Robert took note of my request, then 1 week later he asked me for the date and the exact value of my payments. A finance advisor who cannot even have access to the banking movements of his structure, and who loses information given by one of his customers !!
And today I receive a postal letter indicating that I have a request in advance (a kind of loan to AFER, allowed by the fact that my assets at home constitute a guarantee). And that they sent me a check so that I could take advantage of this advance. Yet I didn't ask for anything and received nothing !! Pure invention that comes out of I don't know where !!! Any administration can make mistakes, but this is still their job finance!
That's why I am talking about AFER on the forums: don't go that smells very bad. Put your money elsewhere, because for my part I don't know if I will see mine again.</v>
      </c>
    </row>
    <row r="5">
      <c r="A5" s="2">
        <v>1.0</v>
      </c>
      <c r="B5" s="2" t="s">
        <v>30</v>
      </c>
      <c r="C5" s="2" t="s">
        <v>31</v>
      </c>
      <c r="D5" s="2" t="s">
        <v>32</v>
      </c>
      <c r="E5" s="2" t="s">
        <v>21</v>
      </c>
      <c r="F5" s="2" t="s">
        <v>15</v>
      </c>
      <c r="G5" s="2" t="s">
        <v>33</v>
      </c>
      <c r="H5" s="2" t="s">
        <v>34</v>
      </c>
      <c r="I5" s="2" t="str">
        <f>IFERROR(__xludf.DUMMYFUNCTION("GOOGLETRANSLATE(C5,""fr"",""en"")"),"Contract subscribes more to terminate 5 days before the day the effective date of the contract when they terminated my old contract, due to 2 claims within 2 years, they do not take into account the non -responsible claim and the accounts as sinister.
Ma"&amp;"lly Aimbale Customer Service")</f>
        <v>Contract subscribes more to terminate 5 days before the day the effective date of the contract when they terminated my old contract, due to 2 claims within 2 years, they do not take into account the non -responsible claim and the accounts as sinister.
Mally Aimbale Customer Service</v>
      </c>
    </row>
    <row r="6">
      <c r="A6" s="2">
        <v>2.0</v>
      </c>
      <c r="B6" s="2" t="s">
        <v>35</v>
      </c>
      <c r="C6" s="2" t="s">
        <v>36</v>
      </c>
      <c r="D6" s="2" t="s">
        <v>37</v>
      </c>
      <c r="E6" s="2" t="s">
        <v>21</v>
      </c>
      <c r="F6" s="2" t="s">
        <v>15</v>
      </c>
      <c r="G6" s="2" t="s">
        <v>38</v>
      </c>
      <c r="H6" s="2" t="s">
        <v>38</v>
      </c>
      <c r="I6" s="2" t="str">
        <f>IFERROR(__xludf.DUMMYFUNCTION("GOOGLETRANSLATE(C6,""fr"",""en"")"),"Like many people I am scandalized by this practice which consists in terminating a driver after a single accident.
I was caught in a pileup due to a boar a few cars further. Small accident but long moved, an economically irreparable car. Since the time t"&amp;"hat I have paid for any risk insurance, I tell myself that it will finally be used for something. 2,300 € reimbursed. 7 months later I receive a letter informing me that I am terminated due to too frequent accidents. It was my only accident since I have a"&amp;" license ... Now to find new insurance at an affordable price with this delinquent label, it will be cotton. Thank you for torpedoing my insured file, for completely illegitimate reasons. I understand the reasons for profitability, but in this case why no"&amp;"t simply increase my contributions so as to make myself profitable? If I do not adhere to this increase I would leave anyway. The consequences of this termination with an abusive motif are too important to treat this type of subject also slightly. Thank y"&amp;"ou also for letting me pay for my contributions for nothing for 7 months (with notice 8) instead of terminating me right away after the accident. Because it must be specified, I have not yet replaced my car. I want to stay in ""good terms"" with my insure"&amp;"r. I let go of my contributions to the place of suspending or terminating my contract, while waiting to re -equip myself ...
Thank you, next time I would know what I have to do. Rather than playing it fairplay, I will terminate my insurance first to cut "&amp;"the grass under the foot. I would avoid the delinquent label by avoiding your termination letter, and I will avoid paying contributions for nothing. With your practices you push people using petty tips and cheating with the system. Thanks.")</f>
        <v>Like many people I am scandalized by this practice which consists in terminating a driver after a single accident.
I was caught in a pileup due to a boar a few cars further. Small accident but long moved, an economically irreparable car. Since the time that I have paid for any risk insurance, I tell myself that it will finally be used for something. 2,300 € reimbursed. 7 months later I receive a letter informing me that I am terminated due to too frequent accidents. It was my only accident since I have a license ... Now to find new insurance at an affordable price with this delinquent label, it will be cotton. Thank you for torpedoing my insured file, for completely illegitimate reasons. I understand the reasons for profitability, but in this case why not simply increase my contributions so as to make myself profitable? If I do not adhere to this increase I would leave anyway. The consequences of this termination with an abusive motif are too important to treat this type of subject also slightly. Thank you also for letting me pay for my contributions for nothing for 7 months (with notice 8) instead of terminating me right away after the accident. Because it must be specified, I have not yet replaced my car. I want to stay in "good terms" with my insurer. I let go of my contributions to the place of suspending or terminating my contract, while waiting to re -equip myself ...
Thank you, next time I would know what I have to do. Rather than playing it fairplay, I will terminate my insurance first to cut the grass under the foot. I would avoid the delinquent label by avoiding your termination letter, and I will avoid paying contributions for nothing. With your practices you push people using petty tips and cheating with the system. Thanks.</v>
      </c>
    </row>
    <row r="7">
      <c r="A7" s="2">
        <v>1.0</v>
      </c>
      <c r="B7" s="2" t="s">
        <v>39</v>
      </c>
      <c r="C7" s="2" t="s">
        <v>40</v>
      </c>
      <c r="D7" s="2" t="s">
        <v>41</v>
      </c>
      <c r="E7" s="2" t="s">
        <v>42</v>
      </c>
      <c r="F7" s="2" t="s">
        <v>15</v>
      </c>
      <c r="G7" s="2" t="s">
        <v>43</v>
      </c>
      <c r="H7" s="2" t="s">
        <v>44</v>
      </c>
      <c r="I7" s="2" t="str">
        <f>IFERROR(__xludf.DUMMYFUNCTION("GOOGLETRANSLATE(C7,""fr"",""en"")"),"Two very small claims in 5 years (an attempted burglary and a small water damage, and I am asked to go and see elsewhere ... To be insured at the MAAF, you have to commit to having no claim, under penalty of being immediately terminated! A shame!")</f>
        <v>Two very small claims in 5 years (an attempted burglary and a small water damage, and I am asked to go and see elsewhere ... To be insured at the MAAF, you have to commit to having no claim, under penalty of being immediately terminated! A shame!</v>
      </c>
    </row>
    <row r="8">
      <c r="A8" s="2">
        <v>3.0</v>
      </c>
      <c r="B8" s="2" t="s">
        <v>45</v>
      </c>
      <c r="C8" s="2" t="s">
        <v>46</v>
      </c>
      <c r="D8" s="2" t="s">
        <v>32</v>
      </c>
      <c r="E8" s="2" t="s">
        <v>21</v>
      </c>
      <c r="F8" s="2" t="s">
        <v>15</v>
      </c>
      <c r="G8" s="2" t="s">
        <v>47</v>
      </c>
      <c r="H8" s="2" t="s">
        <v>48</v>
      </c>
      <c r="I8" s="2" t="str">
        <f>IFERROR(__xludf.DUMMYFUNCTION("GOOGLETRANSLATE(C8,""fr"",""en"")"),"All insurances were lowered or not increasing their prices due to the pandemic except you. I find that it is abusing. Knowing that last March we were confined and therefore we use our car less")</f>
        <v>All insurances were lowered or not increasing their prices due to the pandemic except you. I find that it is abusing. Knowing that last March we were confined and therefore we use our car less</v>
      </c>
    </row>
    <row r="9">
      <c r="A9" s="2">
        <v>5.0</v>
      </c>
      <c r="B9" s="2" t="s">
        <v>49</v>
      </c>
      <c r="C9" s="2" t="s">
        <v>50</v>
      </c>
      <c r="D9" s="2" t="s">
        <v>51</v>
      </c>
      <c r="E9" s="2" t="s">
        <v>52</v>
      </c>
      <c r="F9" s="2" t="s">
        <v>15</v>
      </c>
      <c r="G9" s="2" t="s">
        <v>53</v>
      </c>
      <c r="H9" s="2" t="s">
        <v>54</v>
      </c>
      <c r="I9" s="2" t="str">
        <f>IFERROR(__xludf.DUMMYFUNCTION("GOOGLETRANSLATE(C9,""fr"",""en"")"),"I am very satisfied with the price for a vehicle insured all risks and the ease of completing the requested documents in order to obtain your rate as well as the signing of the contract")</f>
        <v>I am very satisfied with the price for a vehicle insured all risks and the ease of completing the requested documents in order to obtain your rate as well as the signing of the contract</v>
      </c>
    </row>
    <row r="10">
      <c r="A10" s="2">
        <v>5.0</v>
      </c>
      <c r="B10" s="2" t="s">
        <v>55</v>
      </c>
      <c r="C10" s="2" t="s">
        <v>56</v>
      </c>
      <c r="D10" s="2" t="s">
        <v>20</v>
      </c>
      <c r="E10" s="2" t="s">
        <v>21</v>
      </c>
      <c r="F10" s="2" t="s">
        <v>15</v>
      </c>
      <c r="G10" s="2" t="s">
        <v>57</v>
      </c>
      <c r="H10" s="2" t="s">
        <v>58</v>
      </c>
      <c r="I10" s="2" t="str">
        <f>IFERROR(__xludf.DUMMYFUNCTION("GOOGLETRANSLATE(C10,""fr"",""en"")"),"Very satisfied, fast, efficient and above all at low cost.
I was very well illuminated and very well received at the Olivier Insurance and in 30 minutes I was insured.
Thanks a lot !!")</f>
        <v>Very satisfied, fast, efficient and above all at low cost.
I was very well illuminated and very well received at the Olivier Insurance and in 30 minutes I was insured.
Thanks a lot !!</v>
      </c>
    </row>
    <row r="11">
      <c r="A11" s="2">
        <v>2.0</v>
      </c>
      <c r="B11" s="2" t="s">
        <v>59</v>
      </c>
      <c r="C11" s="2" t="s">
        <v>60</v>
      </c>
      <c r="D11" s="2" t="s">
        <v>61</v>
      </c>
      <c r="E11" s="2" t="s">
        <v>42</v>
      </c>
      <c r="F11" s="2" t="s">
        <v>15</v>
      </c>
      <c r="G11" s="2" t="s">
        <v>62</v>
      </c>
      <c r="H11" s="2" t="s">
        <v>63</v>
      </c>
      <c r="I11" s="2" t="str">
        <f>IFERROR(__xludf.DUMMYFUNCTION("GOOGLETRANSLATE(C11,""fr"",""en"")"),"Ensures the CM for 42 years, in main housing + 6 other contracts, a burglary in 42 years, amount of compensation 10,000 euros and still pending after 4 years ... To be flee Being in agreement with their experts ... so imagine otherwise ...")</f>
        <v>Ensures the CM for 42 years, in main housing + 6 other contracts, a burglary in 42 years, amount of compensation 10,000 euros and still pending after 4 years ... To be flee Being in agreement with their experts ... so imagine otherwise ...</v>
      </c>
    </row>
    <row r="12">
      <c r="A12" s="2">
        <v>1.0</v>
      </c>
      <c r="B12" s="2" t="s">
        <v>64</v>
      </c>
      <c r="C12" s="2" t="s">
        <v>65</v>
      </c>
      <c r="D12" s="2" t="s">
        <v>32</v>
      </c>
      <c r="E12" s="2" t="s">
        <v>21</v>
      </c>
      <c r="F12" s="2" t="s">
        <v>15</v>
      </c>
      <c r="G12" s="2" t="s">
        <v>66</v>
      </c>
      <c r="H12" s="2" t="s">
        <v>48</v>
      </c>
      <c r="I12" s="2" t="str">
        <f>IFERROR(__xludf.DUMMYFUNCTION("GOOGLETRANSLATE(C12,""fr"",""en"")"),"I am dissatisfied, I asked by phone during February the termination of my housing contract and sent a letter, the sum was still deducted when I did not sign the contract.")</f>
        <v>I am dissatisfied, I asked by phone during February the termination of my housing contract and sent a letter, the sum was still deducted when I did not sign the contract.</v>
      </c>
    </row>
    <row r="13">
      <c r="A13" s="2">
        <v>3.0</v>
      </c>
      <c r="B13" s="2" t="s">
        <v>67</v>
      </c>
      <c r="C13" s="2" t="s">
        <v>68</v>
      </c>
      <c r="D13" s="2" t="s">
        <v>32</v>
      </c>
      <c r="E13" s="2" t="s">
        <v>21</v>
      </c>
      <c r="F13" s="2" t="s">
        <v>15</v>
      </c>
      <c r="G13" s="2" t="s">
        <v>69</v>
      </c>
      <c r="H13" s="2" t="s">
        <v>58</v>
      </c>
      <c r="I13" s="2" t="str">
        <f>IFERROR(__xludf.DUMMYFUNCTION("GOOGLETRANSLATE(C13,""fr"",""en"")"),"I find it dear for the moment, I was hoping to take out insurance at a lower price, I hope that the insurance service will be up to par.")</f>
        <v>I find it dear for the moment, I was hoping to take out insurance at a lower price, I hope that the insurance service will be up to par.</v>
      </c>
    </row>
    <row r="14">
      <c r="A14" s="2">
        <v>4.0</v>
      </c>
      <c r="B14" s="2" t="s">
        <v>70</v>
      </c>
      <c r="C14" s="2" t="s">
        <v>71</v>
      </c>
      <c r="D14" s="2" t="s">
        <v>32</v>
      </c>
      <c r="E14" s="2" t="s">
        <v>21</v>
      </c>
      <c r="F14" s="2" t="s">
        <v>15</v>
      </c>
      <c r="G14" s="2" t="s">
        <v>72</v>
      </c>
      <c r="H14" s="2" t="s">
        <v>58</v>
      </c>
      <c r="I14" s="2" t="str">
        <f>IFERROR(__xludf.DUMMYFUNCTION("GOOGLETRANSLATE(C14,""fr"",""en"")"),"I am satisfied at the moment, I hope that my satisfaction will last especially in the event of a claim or information from customer service.
Very surprised by practical and pleasant side of the site is practical")</f>
        <v>I am satisfied at the moment, I hope that my satisfaction will last especially in the event of a claim or information from customer service.
Very surprised by practical and pleasant side of the site is practical</v>
      </c>
    </row>
    <row r="15">
      <c r="A15" s="2">
        <v>4.0</v>
      </c>
      <c r="B15" s="2" t="s">
        <v>73</v>
      </c>
      <c r="C15" s="2" t="s">
        <v>74</v>
      </c>
      <c r="D15" s="2" t="s">
        <v>75</v>
      </c>
      <c r="E15" s="2" t="s">
        <v>14</v>
      </c>
      <c r="F15" s="2" t="s">
        <v>15</v>
      </c>
      <c r="G15" s="2" t="s">
        <v>76</v>
      </c>
      <c r="H15" s="2" t="s">
        <v>77</v>
      </c>
      <c r="I15" s="2" t="str">
        <f>IFERROR(__xludf.DUMMYFUNCTION("GOOGLETRANSLATE(C15,""fr"",""en"")"),"Very pleasant welcome, efficient and very attentive staff. The waiting time on the phone is rather short and the answers to the various questions asked are very precise and very clear. Very well !
")</f>
        <v>Very pleasant welcome, efficient and very attentive staff. The waiting time on the phone is rather short and the answers to the various questions asked are very precise and very clear. Very well !
</v>
      </c>
    </row>
    <row r="16">
      <c r="A16" s="2">
        <v>1.0</v>
      </c>
      <c r="B16" s="2" t="s">
        <v>78</v>
      </c>
      <c r="C16" s="2" t="s">
        <v>79</v>
      </c>
      <c r="D16" s="2" t="s">
        <v>80</v>
      </c>
      <c r="E16" s="2" t="s">
        <v>14</v>
      </c>
      <c r="F16" s="2" t="s">
        <v>15</v>
      </c>
      <c r="G16" s="2" t="s">
        <v>81</v>
      </c>
      <c r="H16" s="2" t="s">
        <v>82</v>
      </c>
      <c r="I16" s="2" t="str">
        <f>IFERROR(__xludf.DUMMYFUNCTION("GOOGLETRANSLATE(C16,""fr"",""en"")"),"Lack of reimbursement despite many complaints, it is impossible to reach an advisor, lack of professionalism, excessive prices. It is most likely the worst mutual market on the market.")</f>
        <v>Lack of reimbursement despite many complaints, it is impossible to reach an advisor, lack of professionalism, excessive prices. It is most likely the worst mutual market on the market.</v>
      </c>
    </row>
    <row r="17">
      <c r="A17" s="2">
        <v>5.0</v>
      </c>
      <c r="B17" s="2" t="s">
        <v>83</v>
      </c>
      <c r="C17" s="2" t="s">
        <v>84</v>
      </c>
      <c r="D17" s="2" t="s">
        <v>85</v>
      </c>
      <c r="E17" s="2" t="s">
        <v>14</v>
      </c>
      <c r="F17" s="2" t="s">
        <v>15</v>
      </c>
      <c r="G17" s="2" t="s">
        <v>86</v>
      </c>
      <c r="H17" s="2" t="s">
        <v>87</v>
      </c>
      <c r="I17" s="2" t="str">
        <f>IFERROR(__xludf.DUMMYFUNCTION("GOOGLETRANSLATE(C17,""fr"",""en"")"),"A mutual insurance company very well always reimbursed very quickly.
Customer service is very good and attentive.
Never had any particular concern
I recommend.
")</f>
        <v>A mutual insurance company very well always reimbursed very quickly.
Customer service is very good and attentive.
Never had any particular concern
I recommend.
</v>
      </c>
    </row>
    <row r="18">
      <c r="A18" s="2">
        <v>4.0</v>
      </c>
      <c r="B18" s="2" t="s">
        <v>88</v>
      </c>
      <c r="C18" s="2" t="s">
        <v>89</v>
      </c>
      <c r="D18" s="2" t="s">
        <v>51</v>
      </c>
      <c r="E18" s="2" t="s">
        <v>52</v>
      </c>
      <c r="F18" s="2" t="s">
        <v>15</v>
      </c>
      <c r="G18" s="2" t="s">
        <v>90</v>
      </c>
      <c r="H18" s="2" t="s">
        <v>38</v>
      </c>
      <c r="I18" s="2" t="str">
        <f>IFERROR(__xludf.DUMMYFUNCTION("GOOGLETRANSLATE(C18,""fr"",""en"")"),"Speed ​​to ensure via the AMV site then simplicity to manage your personal space.
Efficiency and speed to terminate insurance during the year.")</f>
        <v>Speed ​​to ensure via the AMV site then simplicity to manage your personal space.
Efficiency and speed to terminate insurance during the year.</v>
      </c>
    </row>
    <row r="19">
      <c r="A19" s="2">
        <v>1.0</v>
      </c>
      <c r="B19" s="2" t="s">
        <v>91</v>
      </c>
      <c r="C19" s="2" t="s">
        <v>92</v>
      </c>
      <c r="D19" s="2" t="s">
        <v>93</v>
      </c>
      <c r="E19" s="2" t="s">
        <v>21</v>
      </c>
      <c r="F19" s="2" t="s">
        <v>15</v>
      </c>
      <c r="G19" s="2" t="s">
        <v>94</v>
      </c>
      <c r="H19" s="2" t="s">
        <v>95</v>
      </c>
      <c r="I19" s="2" t="str">
        <f>IFERROR(__xludf.DUMMYFUNCTION("GOOGLETRANSLATE(C19,""fr"",""en"")"),"To flee absolutely !! The most incompetent customer service ever seen. No consideration for their client! Hours go to the phone unanswered. Just good for you to take out contracts and then let you abandon! It's shameful to consider yourself pro when you a"&amp;"re also incompetent !! GOOD LUCK !")</f>
        <v>To flee absolutely !! The most incompetent customer service ever seen. No consideration for their client! Hours go to the phone unanswered. Just good for you to take out contracts and then let you abandon! It's shameful to consider yourself pro when you are also incompetent !! GOOD LUCK !</v>
      </c>
    </row>
    <row r="20">
      <c r="A20" s="2">
        <v>4.0</v>
      </c>
      <c r="B20" s="2" t="s">
        <v>96</v>
      </c>
      <c r="C20" s="2" t="s">
        <v>97</v>
      </c>
      <c r="D20" s="2" t="s">
        <v>13</v>
      </c>
      <c r="E20" s="2" t="s">
        <v>14</v>
      </c>
      <c r="F20" s="2" t="s">
        <v>15</v>
      </c>
      <c r="G20" s="2" t="s">
        <v>98</v>
      </c>
      <c r="H20" s="2" t="s">
        <v>99</v>
      </c>
      <c r="I20" s="2" t="str">
        <f>IFERROR(__xludf.DUMMYFUNCTION("GOOGLETRANSLATE(C20,""fr"",""en"")"),"I phone to have information about my insurance and I came across Madame Lamia who had a lot of patience and who explained my contracts very well.
")</f>
        <v>I phone to have information about my insurance and I came across Madame Lamia who had a lot of patience and who explained my contracts very well.
</v>
      </c>
    </row>
    <row r="21" ht="15.75" customHeight="1">
      <c r="A21" s="2">
        <v>1.0</v>
      </c>
      <c r="B21" s="2" t="s">
        <v>100</v>
      </c>
      <c r="C21" s="2" t="s">
        <v>101</v>
      </c>
      <c r="D21" s="2" t="s">
        <v>102</v>
      </c>
      <c r="E21" s="2" t="s">
        <v>42</v>
      </c>
      <c r="F21" s="2" t="s">
        <v>15</v>
      </c>
      <c r="G21" s="2" t="s">
        <v>103</v>
      </c>
      <c r="H21" s="2" t="s">
        <v>63</v>
      </c>
      <c r="I21" s="2" t="str">
        <f>IFERROR(__xludf.DUMMYFUNCTION("GOOGLETRANSLATE(C21,""fr"",""en"")"),"I have been a client at Sogesur since 2015 (I have 3 contracts at home). In September 2019, I knew my first water damage. A first envelope was fired on my account. But I asked for an expertise on site to reassess this first estimate on the rise. The exper"&amp;"t came on 10/29/2019 and since no news on their part. All my calls are useless because the ""file is pending"". I am very upset and in difficulty because of this situation. For all these years of contributions, it is my first disaster and impossible to ha"&amp;"ve a final response to close this file. I do not recommend this insurance at all, and I even think I can terminate my contracts with them.
")</f>
        <v>I have been a client at Sogesur since 2015 (I have 3 contracts at home). In September 2019, I knew my first water damage. A first envelope was fired on my account. But I asked for an expertise on site to reassess this first estimate on the rise. The expert came on 10/29/2019 and since no news on their part. All my calls are useless because the "file is pending". I am very upset and in difficulty because of this situation. For all these years of contributions, it is my first disaster and impossible to have a final response to close this file. I do not recommend this insurance at all, and I even think I can terminate my contracts with them.
</v>
      </c>
    </row>
    <row r="22" ht="15.75" customHeight="1">
      <c r="A22" s="2">
        <v>2.0</v>
      </c>
      <c r="B22" s="2" t="s">
        <v>104</v>
      </c>
      <c r="C22" s="2" t="s">
        <v>105</v>
      </c>
      <c r="D22" s="2" t="s">
        <v>106</v>
      </c>
      <c r="E22" s="2" t="s">
        <v>14</v>
      </c>
      <c r="F22" s="2" t="s">
        <v>15</v>
      </c>
      <c r="G22" s="2" t="s">
        <v>86</v>
      </c>
      <c r="H22" s="2" t="s">
        <v>87</v>
      </c>
      <c r="I22" s="2" t="str">
        <f>IFERROR(__xludf.DUMMYFUNCTION("GOOGLETRANSLATE(C22,""fr"",""en"")"),"Mutual with 0 responsiveness. There is always a lack of paper, proof when everything is telework. There is always a prescription. We must follow each refund, restart ....
Mutual that saves time and has it lost to its customers.
I changed my mutual insur"&amp;"ance company at the start of the year and finally a reactive mutual that reimburses in time.
No remorse for having left this mutual.
I do not recommend that you join.")</f>
        <v>Mutual with 0 responsiveness. There is always a lack of paper, proof when everything is telework. There is always a prescription. We must follow each refund, restart ....
Mutual that saves time and has it lost to its customers.
I changed my mutual insurance company at the start of the year and finally a reactive mutual that reimburses in time.
No remorse for having left this mutual.
I do not recommend that you join.</v>
      </c>
    </row>
    <row r="23" ht="15.75" customHeight="1">
      <c r="A23" s="2">
        <v>5.0</v>
      </c>
      <c r="B23" s="2" t="s">
        <v>107</v>
      </c>
      <c r="C23" s="2" t="s">
        <v>108</v>
      </c>
      <c r="D23" s="2" t="s">
        <v>32</v>
      </c>
      <c r="E23" s="2" t="s">
        <v>21</v>
      </c>
      <c r="F23" s="2" t="s">
        <v>15</v>
      </c>
      <c r="G23" s="2" t="s">
        <v>109</v>
      </c>
      <c r="H23" s="2" t="s">
        <v>110</v>
      </c>
      <c r="I23" s="2" t="str">
        <f>IFERROR(__xludf.DUMMYFUNCTION("GOOGLETRANSLATE(C23,""fr"",""en"")"),"I am satisfied with the online service very affordable value for money with what is necessary for the safety of others and of myself I look forward to being insured at home")</f>
        <v>I am satisfied with the online service very affordable value for money with what is necessary for the safety of others and of myself I look forward to being insured at home</v>
      </c>
    </row>
    <row r="24" ht="15.75" customHeight="1">
      <c r="A24" s="2">
        <v>2.0</v>
      </c>
      <c r="B24" s="2" t="s">
        <v>111</v>
      </c>
      <c r="C24" s="2" t="s">
        <v>112</v>
      </c>
      <c r="D24" s="2" t="s">
        <v>113</v>
      </c>
      <c r="E24" s="2" t="s">
        <v>21</v>
      </c>
      <c r="F24" s="2" t="s">
        <v>15</v>
      </c>
      <c r="G24" s="2" t="s">
        <v>114</v>
      </c>
      <c r="H24" s="2" t="s">
        <v>110</v>
      </c>
      <c r="I24" s="2" t="str">
        <f>IFERROR(__xludf.DUMMYFUNCTION("GOOGLETRANSLATE(C24,""fr"",""en"")"),"Insured for 20 years (first Filia then Maif), 50% of bonuses, in 2018 (bad year) I am burst out a lighthouse (vandalism), which is counted to me in traffic accident, therefore malus !!! 2 months later my son takes the car and hit the vehicle in front of h"&amp;"im in a plug: re-maleus.
While the first is a break in ice (not unloved), the second should also be unmoved because first after a long period of 50%. No response to my calls and messages. Despite my requests, no explanation or response from them.
I ther"&amp;"efore end up with a penalty for 9 years before recovering my 50% (additional cost of € 1254) and the impossibility of changing insurer as long as my information statement reports 2 responsible accidents.
I still have to contact the mediator and my legal "&amp;"advisor, too bad that the maif becomes more insurer than mutualist ...")</f>
        <v>Insured for 20 years (first Filia then Maif), 50% of bonuses, in 2018 (bad year) I am burst out a lighthouse (vandalism), which is counted to me in traffic accident, therefore malus !!! 2 months later my son takes the car and hit the vehicle in front of him in a plug: re-maleus.
While the first is a break in ice (not unloved), the second should also be unmoved because first after a long period of 50%. No response to my calls and messages. Despite my requests, no explanation or response from them.
I therefore end up with a penalty for 9 years before recovering my 50% (additional cost of € 1254) and the impossibility of changing insurer as long as my information statement reports 2 responsible accidents.
I still have to contact the mediator and my legal advisor, too bad that the maif becomes more insurer than mutualist ...</v>
      </c>
    </row>
    <row r="25" ht="15.75" customHeight="1">
      <c r="A25" s="2">
        <v>5.0</v>
      </c>
      <c r="B25" s="2" t="s">
        <v>115</v>
      </c>
      <c r="C25" s="2" t="s">
        <v>116</v>
      </c>
      <c r="D25" s="2" t="s">
        <v>32</v>
      </c>
      <c r="E25" s="2" t="s">
        <v>21</v>
      </c>
      <c r="F25" s="2" t="s">
        <v>15</v>
      </c>
      <c r="G25" s="2" t="s">
        <v>48</v>
      </c>
      <c r="H25" s="2" t="s">
        <v>48</v>
      </c>
      <c r="I25" s="2" t="str">
        <f>IFERROR(__xludf.DUMMYFUNCTION("GOOGLETRANSLATE(C25,""fr"",""en"")"),"Simple and quick quote. The price is also very attractive. Until now I am satisfied with the service that I have been sold for my personal accommodation.")</f>
        <v>Simple and quick quote. The price is also very attractive. Until now I am satisfied with the service that I have been sold for my personal accommodation.</v>
      </c>
    </row>
    <row r="26" ht="15.75" customHeight="1">
      <c r="A26" s="2">
        <v>5.0</v>
      </c>
      <c r="B26" s="2" t="s">
        <v>117</v>
      </c>
      <c r="C26" s="2" t="s">
        <v>118</v>
      </c>
      <c r="D26" s="2" t="s">
        <v>20</v>
      </c>
      <c r="E26" s="2" t="s">
        <v>21</v>
      </c>
      <c r="F26" s="2" t="s">
        <v>15</v>
      </c>
      <c r="G26" s="2" t="s">
        <v>119</v>
      </c>
      <c r="H26" s="2" t="s">
        <v>87</v>
      </c>
      <c r="I26" s="2" t="str">
        <f>IFERROR(__xludf.DUMMYFUNCTION("GOOGLETRANSLATE(C26,""fr"",""en"")"),"Simple and effective ... I recommend because cheap !!
I am very happy to have known the ferrets and Olivier Assurance.
I ensured a Laguna 2 for 21st")</f>
        <v>Simple and effective ... I recommend because cheap !!
I am very happy to have known the ferrets and Olivier Assurance.
I ensured a Laguna 2 for 21st</v>
      </c>
    </row>
    <row r="27" ht="15.75" customHeight="1">
      <c r="A27" s="2">
        <v>1.0</v>
      </c>
      <c r="B27" s="2" t="s">
        <v>120</v>
      </c>
      <c r="C27" s="2" t="s">
        <v>121</v>
      </c>
      <c r="D27" s="2" t="s">
        <v>122</v>
      </c>
      <c r="E27" s="2" t="s">
        <v>42</v>
      </c>
      <c r="F27" s="2" t="s">
        <v>15</v>
      </c>
      <c r="G27" s="2" t="s">
        <v>123</v>
      </c>
      <c r="H27" s="2" t="s">
        <v>124</v>
      </c>
      <c r="I27" s="2" t="str">
        <f>IFERROR(__xludf.DUMMYFUNCTION("GOOGLETRANSLATE(C27,""fr"",""en"")"),"Living since May 2015 in the Poitou Charente region, I had the owner of an empty apartment in the Paris region. In the spring of 2016, at the time of the heavy rains that struck France, my neighbors below informed me that they had suffered a water damage "&amp;"on their balcony and that I was responsible. I then contacted the Matmut who provided my apartment for the amicable observation procedure that I had to manage remotely.
September 2016, here I am summoned for the expertise in the Paris region and I was "&amp;"then forced to ask for a day that I had to catch up, I suffered travel costs (petrol, tolls) food at the restaurant (I do not could not cook in my empty apartment) without counting fatigue 1200 km in 48 hours after a little less than a week of work.
Th"&amp;"e two experts concluded without any doubt that my responsibility in this disaster was completely dismissed and demonstrated it during the contradictory interview.
So I had undergone 165 euros in fees (petrol, toll, restaurant) without counting the fati"&amp;"gue of travel and the obligation to overload a next week of work to make up for lost hours, for nothing at all. So I asked the Matmut to turn against the insurer of my neighbors to be compensated for the costs unduly suffered in this case.
The Matmut r"&amp;"efused to do such a procedure and hinted at me that I could carry a complaint. So I made and even reiterated this complaint, but in pure loss. Naively believing that ""loyalty was rewarded at the Matmut"", I recalled that my parents had subscribed from th"&amp;"e early 1970s, a home contract and that independent of my parents, I was myself a client since 1996.
However, each time, it was explained to me that to maintain competitive prices, the Matmut could not give me this commercial gesture.
Otherwise, the"&amp;" Matmut refused to reward 40 years of loyalty by paying a modest note of 165 euros while at the same time, to demonstrate the contrary, she spent in November 2016, between 30,000 and 50,000 euros per 30 seconds spot for several weeks to tell us that ""at "&amp;"the Matmut the loyalty is rewarded"".
On the occasion of a next real estate acquisition, I am about to take out a new home insurance contract, but I wonder if it is not better to be new customer elsewhere than formerly in Matmut .")</f>
        <v>Living since May 2015 in the Poitou Charente region, I had the owner of an empty apartment in the Paris region. In the spring of 2016, at the time of the heavy rains that struck France, my neighbors below informed me that they had suffered a water damage on their balcony and that I was responsible. I then contacted the Matmut who provided my apartment for the amicable observation procedure that I had to manage remotely.
September 2016, here I am summoned for the expertise in the Paris region and I was then forced to ask for a day that I had to catch up, I suffered travel costs (petrol, tolls) food at the restaurant (I do not could not cook in my empty apartment) without counting fatigue 1200 km in 48 hours after a little less than a week of work.
The two experts concluded without any doubt that my responsibility in this disaster was completely dismissed and demonstrated it during the contradictory interview.
So I had undergone 165 euros in fees (petrol, toll, restaurant) without counting the fatigue of travel and the obligation to overload a next week of work to make up for lost hours, for nothing at all. So I asked the Matmut to turn against the insurer of my neighbors to be compensated for the costs unduly suffered in this case.
The Matmut refused to do such a procedure and hinted at me that I could carry a complaint. So I made and even reiterated this complaint, but in pure loss. Naively believing that "loyalty was rewarded at the Matmut", I recalled that my parents had subscribed from the early 1970s, a home contract and that independent of my parents, I was myself a client since 1996.
However, each time, it was explained to me that to maintain competitive prices, the Matmut could not give me this commercial gesture.
Otherwise, the Matmut refused to reward 40 years of loyalty by paying a modest note of 165 euros while at the same time, to demonstrate the contrary, she spent in November 2016, between 30,000 and 50,000 euros per 30 seconds spot for several weeks to tell us that "at the Matmut the loyalty is rewarded".
On the occasion of a next real estate acquisition, I am about to take out a new home insurance contract, but I wonder if it is not better to be new customer elsewhere than formerly in Matmut .</v>
      </c>
    </row>
    <row r="28" ht="15.75" customHeight="1">
      <c r="A28" s="2">
        <v>5.0</v>
      </c>
      <c r="B28" s="2" t="s">
        <v>125</v>
      </c>
      <c r="C28" s="2" t="s">
        <v>126</v>
      </c>
      <c r="D28" s="2" t="s">
        <v>127</v>
      </c>
      <c r="E28" s="2" t="s">
        <v>128</v>
      </c>
      <c r="F28" s="2" t="s">
        <v>15</v>
      </c>
      <c r="G28" s="2" t="s">
        <v>129</v>
      </c>
      <c r="H28" s="2" t="s">
        <v>54</v>
      </c>
      <c r="I28" s="2" t="str">
        <f>IFERROR(__xludf.DUMMYFUNCTION("GOOGLETRANSLATE(C28,""fr"",""en"")"),"I am satisfied, I would like the warranty to start at the end of September around 09/25/2021.
Impeccable price and wonderful interlocutor.
 ")</f>
        <v>I am satisfied, I would like the warranty to start at the end of September around 09/25/2021.
Impeccable price and wonderful interlocutor.
 </v>
      </c>
    </row>
    <row r="29" ht="15.75" customHeight="1">
      <c r="A29" s="2">
        <v>4.0</v>
      </c>
      <c r="B29" s="2" t="s">
        <v>130</v>
      </c>
      <c r="C29" s="2" t="s">
        <v>131</v>
      </c>
      <c r="D29" s="2" t="s">
        <v>20</v>
      </c>
      <c r="E29" s="2" t="s">
        <v>21</v>
      </c>
      <c r="F29" s="2" t="s">
        <v>15</v>
      </c>
      <c r="G29" s="2" t="s">
        <v>132</v>
      </c>
      <c r="H29" s="2" t="s">
        <v>23</v>
      </c>
      <c r="I29" s="2" t="str">
        <f>IFERROR(__xludf.DUMMYFUNCTION("GOOGLETRANSLATE(C29,""fr"",""en"")"),"Top service! Let's go for a 2nd vehicle with them and I am delighted. I had a real support by phone and very good advice. I highly recommend!")</f>
        <v>Top service! Let's go for a 2nd vehicle with them and I am delighted. I had a real support by phone and very good advice. I highly recommend!</v>
      </c>
    </row>
    <row r="30" ht="15.75" customHeight="1">
      <c r="A30" s="2">
        <v>2.0</v>
      </c>
      <c r="B30" s="2" t="s">
        <v>133</v>
      </c>
      <c r="C30" s="2" t="s">
        <v>134</v>
      </c>
      <c r="D30" s="2" t="s">
        <v>20</v>
      </c>
      <c r="E30" s="2" t="s">
        <v>21</v>
      </c>
      <c r="F30" s="2" t="s">
        <v>15</v>
      </c>
      <c r="G30" s="2" t="s">
        <v>135</v>
      </c>
      <c r="H30" s="2" t="s">
        <v>136</v>
      </c>
      <c r="I30" s="2" t="str">
        <f>IFERROR(__xludf.DUMMYFUNCTION("GOOGLETRANSLATE(C30,""fr"",""en"")"),"Contract subscribed in January ... I still do not have my Definitive Green Card Multiple Courrian and letters R-AR !!!")</f>
        <v>Contract subscribed in January ... I still do not have my Definitive Green Card Multiple Courrian and letters R-AR !!!</v>
      </c>
    </row>
    <row r="31" ht="15.75" customHeight="1">
      <c r="A31" s="2">
        <v>2.0</v>
      </c>
      <c r="B31" s="2" t="s">
        <v>137</v>
      </c>
      <c r="C31" s="2" t="s">
        <v>138</v>
      </c>
      <c r="D31" s="2" t="s">
        <v>139</v>
      </c>
      <c r="E31" s="2" t="s">
        <v>21</v>
      </c>
      <c r="F31" s="2" t="s">
        <v>15</v>
      </c>
      <c r="G31" s="2" t="s">
        <v>140</v>
      </c>
      <c r="H31" s="2" t="s">
        <v>87</v>
      </c>
      <c r="I31" s="2" t="str">
        <f>IFERROR(__xludf.DUMMYFUNCTION("GOOGLETRANSLATE(C31,""fr"",""en"")"),"It is time to review your prices, especially during this pandemic period. For my part, being in teleworking, I no longer perform my home/work trips. Please take this into consideration. Do not hesitate to call me.")</f>
        <v>It is time to review your prices, especially during this pandemic period. For my part, being in teleworking, I no longer perform my home/work trips. Please take this into consideration. Do not hesitate to call me.</v>
      </c>
    </row>
    <row r="32" ht="15.75" customHeight="1">
      <c r="A32" s="2">
        <v>4.0</v>
      </c>
      <c r="B32" s="2" t="s">
        <v>141</v>
      </c>
      <c r="C32" s="2" t="s">
        <v>142</v>
      </c>
      <c r="D32" s="2" t="s">
        <v>32</v>
      </c>
      <c r="E32" s="2" t="s">
        <v>21</v>
      </c>
      <c r="F32" s="2" t="s">
        <v>15</v>
      </c>
      <c r="G32" s="2" t="s">
        <v>143</v>
      </c>
      <c r="H32" s="2" t="s">
        <v>54</v>
      </c>
      <c r="I32" s="2" t="str">
        <f>IFERROR(__xludf.DUMMYFUNCTION("GOOGLETRANSLATE(C32,""fr"",""en"")"),"Hello thank you I am satisfied with the price the service and fast simple and efficient I hope that the online service will be easily reachable in the event of an accident")</f>
        <v>Hello thank you I am satisfied with the price the service and fast simple and efficient I hope that the online service will be easily reachable in the event of an accident</v>
      </c>
    </row>
    <row r="33" ht="15.75" customHeight="1">
      <c r="A33" s="2">
        <v>5.0</v>
      </c>
      <c r="B33" s="2" t="s">
        <v>144</v>
      </c>
      <c r="C33" s="2" t="s">
        <v>145</v>
      </c>
      <c r="D33" s="2" t="s">
        <v>146</v>
      </c>
      <c r="E33" s="2" t="s">
        <v>52</v>
      </c>
      <c r="F33" s="2" t="s">
        <v>15</v>
      </c>
      <c r="G33" s="2" t="s">
        <v>147</v>
      </c>
      <c r="H33" s="2" t="s">
        <v>87</v>
      </c>
      <c r="I33" s="2" t="str">
        <f>IFERROR(__xludf.DUMMYFUNCTION("GOOGLETRANSLATE(C33,""fr"",""en"")"),"I am very satisfied with the proposals and the responsiveness of the insurance I start a lot again the prices are very interesting nothing to redire cordially Benjamin")</f>
        <v>I am very satisfied with the proposals and the responsiveness of the insurance I start a lot again the prices are very interesting nothing to redire cordially Benjamin</v>
      </c>
    </row>
    <row r="34" ht="15.75" customHeight="1">
      <c r="A34" s="2">
        <v>1.0</v>
      </c>
      <c r="B34" s="2" t="s">
        <v>148</v>
      </c>
      <c r="C34" s="2" t="s">
        <v>149</v>
      </c>
      <c r="D34" s="2" t="s">
        <v>150</v>
      </c>
      <c r="E34" s="2" t="s">
        <v>21</v>
      </c>
      <c r="F34" s="2" t="s">
        <v>15</v>
      </c>
      <c r="G34" s="2" t="s">
        <v>151</v>
      </c>
      <c r="H34" s="2" t="s">
        <v>152</v>
      </c>
      <c r="I34" s="2" t="str">
        <f>IFERROR(__xludf.DUMMYFUNCTION("GOOGLETRANSLATE(C34,""fr"",""en"")"),"Be careful everything is fine until you happen to you a problem with your vehicle especially do not fly it to you or not it will do everything so as not to reimburse you the value of your vehicle going so far as to bring you in a Endless procedure I do no"&amp;"t recommend the Macif")</f>
        <v>Be careful everything is fine until you happen to you a problem with your vehicle especially do not fly it to you or not it will do everything so as not to reimburse you the value of your vehicle going so far as to bring you in a Endless procedure I do not recommend the Macif</v>
      </c>
    </row>
    <row r="35" ht="15.75" customHeight="1">
      <c r="A35" s="2">
        <v>2.0</v>
      </c>
      <c r="B35" s="2" t="s">
        <v>153</v>
      </c>
      <c r="C35" s="2" t="s">
        <v>154</v>
      </c>
      <c r="D35" s="2" t="s">
        <v>13</v>
      </c>
      <c r="E35" s="2" t="s">
        <v>14</v>
      </c>
      <c r="F35" s="2" t="s">
        <v>15</v>
      </c>
      <c r="G35" s="2" t="s">
        <v>155</v>
      </c>
      <c r="H35" s="2" t="s">
        <v>156</v>
      </c>
      <c r="I35" s="2" t="str">
        <f>IFERROR(__xludf.DUMMYFUNCTION("GOOGLETRANSLATE(C35,""fr"",""en"")"),"I got caught up by having completed a form on the internet. The registration was made very quickly and the salesperson was very pleasant. However, as I realized that I could be on another mutual by being entitled, I wanted to cancel my contract the next d"&amp;"ay.
It was the beginning of the galleys, I am at my 3rd request, 4 telephone calls, more than a month that I expect a confirmation email. People who answer the phone all give contradictory information, do not know how to solve the problem, make people wa"&amp;"it, make false promises. To date, no automatic remote transmission because there are 2 mutuals recorded at Social Security.")</f>
        <v>I got caught up by having completed a form on the internet. The registration was made very quickly and the salesperson was very pleasant. However, as I realized that I could be on another mutual by being entitled, I wanted to cancel my contract the next day.
It was the beginning of the galleys, I am at my 3rd request, 4 telephone calls, more than a month that I expect a confirmation email. People who answer the phone all give contradictory information, do not know how to solve the problem, make people wait, make false promises. To date, no automatic remote transmission because there are 2 mutuals recorded at Social Security.</v>
      </c>
    </row>
    <row r="36" ht="15.75" customHeight="1">
      <c r="A36" s="2">
        <v>1.0</v>
      </c>
      <c r="B36" s="2" t="s">
        <v>157</v>
      </c>
      <c r="C36" s="2" t="s">
        <v>158</v>
      </c>
      <c r="D36" s="2" t="s">
        <v>139</v>
      </c>
      <c r="E36" s="2" t="s">
        <v>21</v>
      </c>
      <c r="F36" s="2" t="s">
        <v>15</v>
      </c>
      <c r="G36" s="2" t="s">
        <v>159</v>
      </c>
      <c r="H36" s="2" t="s">
        <v>34</v>
      </c>
      <c r="I36" s="2" t="str">
        <f>IFERROR(__xludf.DUMMYFUNCTION("GOOGLETRANSLATE(C36,""fr"",""en"")"),"According to agencies, we never have the same quote. It is more expensive than other insurances and with the same guarantees. No more.")</f>
        <v>According to agencies, we never have the same quote. It is more expensive than other insurances and with the same guarantees. No more.</v>
      </c>
    </row>
    <row r="37" ht="15.75" customHeight="1">
      <c r="A37" s="2">
        <v>1.0</v>
      </c>
      <c r="B37" s="2" t="s">
        <v>160</v>
      </c>
      <c r="C37" s="2" t="s">
        <v>161</v>
      </c>
      <c r="D37" s="2" t="s">
        <v>122</v>
      </c>
      <c r="E37" s="2" t="s">
        <v>42</v>
      </c>
      <c r="F37" s="2" t="s">
        <v>15</v>
      </c>
      <c r="G37" s="2" t="s">
        <v>162</v>
      </c>
      <c r="H37" s="2" t="s">
        <v>163</v>
      </c>
      <c r="I37" s="2" t="str">
        <f>IFERROR(__xludf.DUMMYFUNCTION("GOOGLETRANSLATE(C37,""fr"",""en"")"),"I just got fired for too much water damage (3 in 2 years). Here I am without insurance while my neighbor above, responsible, is always assured.")</f>
        <v>I just got fired for too much water damage (3 in 2 years). Here I am without insurance while my neighbor above, responsible, is always assured.</v>
      </c>
    </row>
    <row r="38" ht="15.75" customHeight="1">
      <c r="A38" s="2">
        <v>5.0</v>
      </c>
      <c r="B38" s="2" t="s">
        <v>164</v>
      </c>
      <c r="C38" s="2" t="s">
        <v>165</v>
      </c>
      <c r="D38" s="2" t="s">
        <v>20</v>
      </c>
      <c r="E38" s="2" t="s">
        <v>21</v>
      </c>
      <c r="F38" s="2" t="s">
        <v>15</v>
      </c>
      <c r="G38" s="2" t="s">
        <v>166</v>
      </c>
      <c r="H38" s="2" t="s">
        <v>95</v>
      </c>
      <c r="I38" s="2" t="str">
        <f>IFERROR(__xludf.DUMMYFUNCTION("GOOGLETRANSLATE(C38,""fr"",""en"")"),"I am satisfied with the help I have received. After several research for the best car insurance I am happy to have come across the insurance olive tree. I would not fail to share and advise my entourage on this insurance. Thanks again :)")</f>
        <v>I am satisfied with the help I have received. After several research for the best car insurance I am happy to have come across the insurance olive tree. I would not fail to share and advise my entourage on this insurance. Thanks again :)</v>
      </c>
    </row>
    <row r="39" ht="15.75" customHeight="1">
      <c r="A39" s="2">
        <v>2.0</v>
      </c>
      <c r="B39" s="2" t="s">
        <v>167</v>
      </c>
      <c r="C39" s="2" t="s">
        <v>168</v>
      </c>
      <c r="D39" s="2" t="s">
        <v>32</v>
      </c>
      <c r="E39" s="2" t="s">
        <v>21</v>
      </c>
      <c r="F39" s="2" t="s">
        <v>15</v>
      </c>
      <c r="G39" s="2" t="s">
        <v>169</v>
      </c>
      <c r="H39" s="2" t="s">
        <v>48</v>
      </c>
      <c r="I39" s="2" t="str">
        <f>IFERROR(__xludf.DUMMYFUNCTION("GOOGLETRANSLATE(C39,""fr"",""en"")"),"I am not satisfied with the prices that I find much higher now.
The customer area is not optimized, bug, obsolete documents present in the personal space (quote from old vehicles, house) no archive.
The user experience must be improved.")</f>
        <v>I am not satisfied with the prices that I find much higher now.
The customer area is not optimized, bug, obsolete documents present in the personal space (quote from old vehicles, house) no archive.
The user experience must be improved.</v>
      </c>
    </row>
    <row r="40" ht="15.75" customHeight="1">
      <c r="A40" s="2">
        <v>4.0</v>
      </c>
      <c r="B40" s="2" t="s">
        <v>170</v>
      </c>
      <c r="C40" s="2" t="s">
        <v>171</v>
      </c>
      <c r="D40" s="2" t="s">
        <v>139</v>
      </c>
      <c r="E40" s="2" t="s">
        <v>21</v>
      </c>
      <c r="F40" s="2" t="s">
        <v>15</v>
      </c>
      <c r="G40" s="2" t="s">
        <v>172</v>
      </c>
      <c r="H40" s="2" t="s">
        <v>58</v>
      </c>
      <c r="I40" s="2" t="str">
        <f>IFERROR(__xludf.DUMMYFUNCTION("GOOGLETRANSLATE(C40,""fr"",""en"")"),"Very satisfied with the service and the prices. Practical and functional site
Quality meeting and compliant reception
Attractive price for civil servants")</f>
        <v>Very satisfied with the service and the prices. Practical and functional site
Quality meeting and compliant reception
Attractive price for civil servants</v>
      </c>
    </row>
    <row r="41" ht="15.75" customHeight="1">
      <c r="A41" s="2">
        <v>4.0</v>
      </c>
      <c r="B41" s="2" t="s">
        <v>173</v>
      </c>
      <c r="C41" s="2" t="s">
        <v>174</v>
      </c>
      <c r="D41" s="2" t="s">
        <v>32</v>
      </c>
      <c r="E41" s="2" t="s">
        <v>21</v>
      </c>
      <c r="F41" s="2" t="s">
        <v>15</v>
      </c>
      <c r="G41" s="2" t="s">
        <v>175</v>
      </c>
      <c r="H41" s="2" t="s">
        <v>54</v>
      </c>
      <c r="I41" s="2" t="str">
        <f>IFERROR(__xludf.DUMMYFUNCTION("GOOGLETRANSLATE(C41,""fr"",""en"")"),"I am satisfied with this insurance proposal.
All risk insurance proposed seems to me completely reasonable at the rate level given the proposed guarantees.")</f>
        <v>I am satisfied with this insurance proposal.
All risk insurance proposed seems to me completely reasonable at the rate level given the proposed guarantees.</v>
      </c>
    </row>
    <row r="42" ht="15.75" customHeight="1">
      <c r="A42" s="2">
        <v>5.0</v>
      </c>
      <c r="B42" s="2" t="s">
        <v>176</v>
      </c>
      <c r="C42" s="2" t="s">
        <v>177</v>
      </c>
      <c r="D42" s="2" t="s">
        <v>146</v>
      </c>
      <c r="E42" s="2" t="s">
        <v>52</v>
      </c>
      <c r="F42" s="2" t="s">
        <v>15</v>
      </c>
      <c r="G42" s="2" t="s">
        <v>178</v>
      </c>
      <c r="H42" s="2" t="s">
        <v>179</v>
      </c>
      <c r="I42" s="2" t="str">
        <f>IFERROR(__xludf.DUMMYFUNCTION("GOOGLETRANSLATE(C42,""fr"",""en"")"),"Fast, simple service, I recommend. The price is attractive, hoping not to have a unpleasant surprise. Registration was fast and easy ...")</f>
        <v>Fast, simple service, I recommend. The price is attractive, hoping not to have a unpleasant surprise. Registration was fast and easy ...</v>
      </c>
    </row>
    <row r="43" ht="15.75" customHeight="1">
      <c r="A43" s="2">
        <v>2.0</v>
      </c>
      <c r="B43" s="2" t="s">
        <v>180</v>
      </c>
      <c r="C43" s="2" t="s">
        <v>181</v>
      </c>
      <c r="D43" s="2" t="s">
        <v>32</v>
      </c>
      <c r="E43" s="2" t="s">
        <v>21</v>
      </c>
      <c r="F43" s="2" t="s">
        <v>15</v>
      </c>
      <c r="G43" s="2" t="s">
        <v>182</v>
      </c>
      <c r="H43" s="2" t="s">
        <v>183</v>
      </c>
      <c r="I43" s="2" t="str">
        <f>IFERROR(__xludf.DUMMYFUNCTION("GOOGLETRANSLATE(C43,""fr"",""en"")"),"Impossible to have competent people, for a subscription, it increases the prices for unjustified reasons by giving the proof requested, people are in Morocco and are the inability to get out of their screen vision")</f>
        <v>Impossible to have competent people, for a subscription, it increases the prices for unjustified reasons by giving the proof requested, people are in Morocco and are the inability to get out of their screen vision</v>
      </c>
    </row>
    <row r="44" ht="15.75" customHeight="1">
      <c r="A44" s="2">
        <v>1.0</v>
      </c>
      <c r="B44" s="2" t="s">
        <v>184</v>
      </c>
      <c r="C44" s="2" t="s">
        <v>185</v>
      </c>
      <c r="D44" s="2" t="s">
        <v>186</v>
      </c>
      <c r="E44" s="2" t="s">
        <v>21</v>
      </c>
      <c r="F44" s="2" t="s">
        <v>15</v>
      </c>
      <c r="G44" s="2" t="s">
        <v>187</v>
      </c>
      <c r="H44" s="2" t="s">
        <v>188</v>
      </c>
      <c r="I44" s="2" t="str">
        <f>IFERROR(__xludf.DUMMYFUNCTION("GOOGLETRANSLATE(C44,""fr"",""en"")"),"To flee !!!! Insurance that does not care about its customers a total mistake, lack of respect. You invent claims that have never existed increased prices without reasons. In short, I leave Pacifica! In addition, prices are higher than the competition whi"&amp;"ch is much more serious!")</f>
        <v>To flee !!!! Insurance that does not care about its customers a total mistake, lack of respect. You invent claims that have never existed increased prices without reasons. In short, I leave Pacifica! In addition, prices are higher than the competition which is much more serious!</v>
      </c>
    </row>
    <row r="45" ht="15.75" customHeight="1">
      <c r="A45" s="2">
        <v>5.0</v>
      </c>
      <c r="B45" s="2" t="s">
        <v>189</v>
      </c>
      <c r="C45" s="2" t="s">
        <v>190</v>
      </c>
      <c r="D45" s="2" t="s">
        <v>127</v>
      </c>
      <c r="E45" s="2" t="s">
        <v>128</v>
      </c>
      <c r="F45" s="2" t="s">
        <v>15</v>
      </c>
      <c r="G45" s="2" t="s">
        <v>191</v>
      </c>
      <c r="H45" s="2" t="s">
        <v>48</v>
      </c>
      <c r="I45" s="2" t="str">
        <f>IFERROR(__xludf.DUMMYFUNCTION("GOOGLETRANSLATE(C45,""fr"",""en"")"),"Good listening with attractive price, facilitates adhesion thanks to the zen up customer account on the internet to transmit documents quickly and an electronic signature
")</f>
        <v>Good listening with attractive price, facilitates adhesion thanks to the zen up customer account on the internet to transmit documents quickly and an electronic signature
</v>
      </c>
    </row>
    <row r="46" ht="15.75" customHeight="1">
      <c r="A46" s="2">
        <v>2.0</v>
      </c>
      <c r="B46" s="2" t="s">
        <v>192</v>
      </c>
      <c r="C46" s="2" t="s">
        <v>193</v>
      </c>
      <c r="D46" s="2" t="s">
        <v>113</v>
      </c>
      <c r="E46" s="2" t="s">
        <v>42</v>
      </c>
      <c r="F46" s="2" t="s">
        <v>15</v>
      </c>
      <c r="G46" s="2" t="s">
        <v>194</v>
      </c>
      <c r="H46" s="2" t="s">
        <v>195</v>
      </c>
      <c r="I46" s="2" t="str">
        <f>IFERROR(__xludf.DUMMYFUNCTION("GOOGLETRANSLATE(C46,""fr"",""en"")"),"I am in precarious accommodation, I can pay everything but completely impossible to be housed as I am insured!
Suffice to say that I only ensure heirs that I do not have and that I would never have when the bank already morttages your good ...
I do not "&amp;"know what he has for other insurances but with regard to the state of health we have discrimination.
So I live in a precarious, single, temporary situation, etc ... We tell you to find a permanent contract, I am a civil servant and I am slamming the door"&amp;" to the nose to get everyone's life !!!! Impossible to obtain a normal life, a family of children and guess where it starts !!!!
Who has power here ????")</f>
        <v>I am in precarious accommodation, I can pay everything but completely impossible to be housed as I am insured!
Suffice to say that I only ensure heirs that I do not have and that I would never have when the bank already morttages your good ...
I do not know what he has for other insurances but with regard to the state of health we have discrimination.
So I live in a precarious, single, temporary situation, etc ... We tell you to find a permanent contract, I am a civil servant and I am slamming the door to the nose to get everyone's life !!!! Impossible to obtain a normal life, a family of children and guess where it starts !!!!
Who has power here ????</v>
      </c>
    </row>
    <row r="47" ht="15.75" customHeight="1">
      <c r="A47" s="2">
        <v>3.0</v>
      </c>
      <c r="B47" s="2" t="s">
        <v>196</v>
      </c>
      <c r="C47" s="2" t="s">
        <v>197</v>
      </c>
      <c r="D47" s="2" t="s">
        <v>75</v>
      </c>
      <c r="E47" s="2" t="s">
        <v>14</v>
      </c>
      <c r="F47" s="2" t="s">
        <v>15</v>
      </c>
      <c r="G47" s="2" t="s">
        <v>198</v>
      </c>
      <c r="H47" s="2" t="s">
        <v>199</v>
      </c>
      <c r="I47" s="2" t="str">
        <f>IFERROR(__xludf.DUMMYFUNCTION("GOOGLETRANSLATE(C47,""fr"",""en"")"),"Refunds are not up to the amount of contributions. Example 300 euros of my pocket for eyeglasses and contributions that amount to almost 90 euros per month. And especially no health network in unacceptable Corsica.")</f>
        <v>Refunds are not up to the amount of contributions. Example 300 euros of my pocket for eyeglasses and contributions that amount to almost 90 euros per month. And especially no health network in unacceptable Corsica.</v>
      </c>
    </row>
    <row r="48" ht="15.75" customHeight="1">
      <c r="A48" s="2">
        <v>4.0</v>
      </c>
      <c r="B48" s="2" t="s">
        <v>200</v>
      </c>
      <c r="C48" s="2" t="s">
        <v>201</v>
      </c>
      <c r="D48" s="2" t="s">
        <v>13</v>
      </c>
      <c r="E48" s="2" t="s">
        <v>14</v>
      </c>
      <c r="F48" s="2" t="s">
        <v>15</v>
      </c>
      <c r="G48" s="2" t="s">
        <v>202</v>
      </c>
      <c r="H48" s="2" t="s">
        <v>179</v>
      </c>
      <c r="I48" s="2" t="str">
        <f>IFERROR(__xludf.DUMMYFUNCTION("GOOGLETRANSLATE(C48,""fr"",""en"")"),"Clear and precise answers given by Soukaina.
Very pleasant and anxious to satisfy the customer, knew how to comfort me for my membership.
For note, the mutual card is unclear")</f>
        <v>Clear and precise answers given by Soukaina.
Very pleasant and anxious to satisfy the customer, knew how to comfort me for my membership.
For note, the mutual card is unclear</v>
      </c>
    </row>
    <row r="49" ht="15.75" customHeight="1">
      <c r="A49" s="2">
        <v>5.0</v>
      </c>
      <c r="B49" s="2" t="s">
        <v>203</v>
      </c>
      <c r="C49" s="2" t="s">
        <v>204</v>
      </c>
      <c r="D49" s="2" t="s">
        <v>146</v>
      </c>
      <c r="E49" s="2" t="s">
        <v>52</v>
      </c>
      <c r="F49" s="2" t="s">
        <v>15</v>
      </c>
      <c r="G49" s="2" t="s">
        <v>205</v>
      </c>
      <c r="H49" s="2" t="s">
        <v>87</v>
      </c>
      <c r="I49" s="2" t="str">
        <f>IFERROR(__xludf.DUMMYFUNCTION("GOOGLETRANSLATE(C49,""fr"",""en"")"),"Attractive prices, to see in the event that if the service and present in the event of a problem. Many insurance has prices can high but they are no longer there if necessary ...")</f>
        <v>Attractive prices, to see in the event that if the service and present in the event of a problem. Many insurance has prices can high but they are no longer there if necessary ...</v>
      </c>
    </row>
    <row r="50" ht="15.75" customHeight="1">
      <c r="A50" s="2">
        <v>5.0</v>
      </c>
      <c r="B50" s="2" t="s">
        <v>206</v>
      </c>
      <c r="C50" s="2" t="s">
        <v>207</v>
      </c>
      <c r="D50" s="2" t="s">
        <v>20</v>
      </c>
      <c r="E50" s="2" t="s">
        <v>21</v>
      </c>
      <c r="F50" s="2" t="s">
        <v>15</v>
      </c>
      <c r="G50" s="2" t="s">
        <v>208</v>
      </c>
      <c r="H50" s="2" t="s">
        <v>58</v>
      </c>
      <c r="I50" s="2" t="str">
        <f>IFERROR(__xludf.DUMMYFUNCTION("GOOGLETRANSLATE(C50,""fr"",""en"")"),"I am satisfied with the price, the service; Simple quick and efficient I recommend your insurance to my loved ones without problem. This is my second contract with you")</f>
        <v>I am satisfied with the price, the service; Simple quick and efficient I recommend your insurance to my loved ones without problem. This is my second contract with you</v>
      </c>
    </row>
    <row r="51" ht="15.75" customHeight="1">
      <c r="A51" s="2">
        <v>1.0</v>
      </c>
      <c r="B51" s="2" t="s">
        <v>209</v>
      </c>
      <c r="C51" s="2" t="s">
        <v>210</v>
      </c>
      <c r="D51" s="2" t="s">
        <v>93</v>
      </c>
      <c r="E51" s="2" t="s">
        <v>21</v>
      </c>
      <c r="F51" s="2" t="s">
        <v>15</v>
      </c>
      <c r="G51" s="2" t="s">
        <v>211</v>
      </c>
      <c r="H51" s="2" t="s">
        <v>183</v>
      </c>
      <c r="I51" s="2" t="str">
        <f>IFERROR(__xludf.DUMMYFUNCTION("GOOGLETRANSLATE(C51,""fr"",""en"")"),"Allianz Auto: Virtual insurer expensive and useless")</f>
        <v>Allianz Auto: Virtual insurer expensive and useless</v>
      </c>
    </row>
    <row r="52" ht="15.75" customHeight="1">
      <c r="A52" s="2">
        <v>4.0</v>
      </c>
      <c r="B52" s="2" t="s">
        <v>212</v>
      </c>
      <c r="C52" s="2" t="s">
        <v>213</v>
      </c>
      <c r="D52" s="2" t="s">
        <v>32</v>
      </c>
      <c r="E52" s="2" t="s">
        <v>21</v>
      </c>
      <c r="F52" s="2" t="s">
        <v>15</v>
      </c>
      <c r="G52" s="2" t="s">
        <v>214</v>
      </c>
      <c r="H52" s="2" t="s">
        <v>58</v>
      </c>
      <c r="I52" s="2" t="str">
        <f>IFERROR(__xludf.DUMMYFUNCTION("GOOGLETRANSLATE(C52,""fr"",""en"")"),"Fast satisfied for very practical subscription when you have to quickly sassper easy to use satisfied prices and speed")</f>
        <v>Fast satisfied for very practical subscription when you have to quickly sassper easy to use satisfied prices and speed</v>
      </c>
    </row>
    <row r="53" ht="15.75" customHeight="1">
      <c r="A53" s="2">
        <v>5.0</v>
      </c>
      <c r="B53" s="2" t="s">
        <v>215</v>
      </c>
      <c r="C53" s="2" t="s">
        <v>216</v>
      </c>
      <c r="D53" s="2" t="s">
        <v>139</v>
      </c>
      <c r="E53" s="2" t="s">
        <v>21</v>
      </c>
      <c r="F53" s="2" t="s">
        <v>15</v>
      </c>
      <c r="G53" s="2" t="s">
        <v>172</v>
      </c>
      <c r="H53" s="2" t="s">
        <v>58</v>
      </c>
      <c r="I53" s="2" t="str">
        <f>IFERROR(__xludf.DUMMYFUNCTION("GOOGLETRANSLATE(C53,""fr"",""en"")"),"I am satisfied with the service and the offers you offer.
You are very responsive with regard to the requests and questions that we can formulate you")</f>
        <v>I am satisfied with the service and the offers you offer.
You are very responsive with regard to the requests and questions that we can formulate you</v>
      </c>
    </row>
    <row r="54" ht="15.75" customHeight="1">
      <c r="A54" s="2">
        <v>4.0</v>
      </c>
      <c r="B54" s="2" t="s">
        <v>217</v>
      </c>
      <c r="C54" s="2" t="s">
        <v>218</v>
      </c>
      <c r="D54" s="2" t="s">
        <v>20</v>
      </c>
      <c r="E54" s="2" t="s">
        <v>21</v>
      </c>
      <c r="F54" s="2" t="s">
        <v>15</v>
      </c>
      <c r="G54" s="2" t="s">
        <v>219</v>
      </c>
      <c r="H54" s="2" t="s">
        <v>54</v>
      </c>
      <c r="I54" s="2" t="str">
        <f>IFERROR(__xludf.DUMMYFUNCTION("GOOGLETRANSLATE(C54,""fr"",""en"")"),"Simple and easy price is suitable too. Welcoming agent and giving the best information. I will recommend loved ones next time")</f>
        <v>Simple and easy price is suitable too. Welcoming agent and giving the best information. I will recommend loved ones next time</v>
      </c>
    </row>
    <row r="55" ht="15.75" customHeight="1">
      <c r="A55" s="2">
        <v>2.0</v>
      </c>
      <c r="B55" s="2" t="s">
        <v>220</v>
      </c>
      <c r="C55" s="2" t="s">
        <v>221</v>
      </c>
      <c r="D55" s="2" t="s">
        <v>222</v>
      </c>
      <c r="E55" s="2" t="s">
        <v>21</v>
      </c>
      <c r="F55" s="2" t="s">
        <v>15</v>
      </c>
      <c r="G55" s="2" t="s">
        <v>223</v>
      </c>
      <c r="H55" s="2" t="s">
        <v>224</v>
      </c>
      <c r="I55" s="2" t="str">
        <f>IFERROR(__xludf.DUMMYFUNCTION("GOOGLETRANSLATE(C55,""fr"",""en"")"),"Former customer for car insurance, I find it scandalous the insurer process of this company.
Reactivation of the contract without any signed paper and even without being warned. Sampling without agreement on my part. No answer to my questions by phone ex"&amp;"cept ""I remind you"" and at present, I'm still waiting for the phone call.
Threatens during agency interviews.
I absolutely do not recommend this insurance.")</f>
        <v>Former customer for car insurance, I find it scandalous the insurer process of this company.
Reactivation of the contract without any signed paper and even without being warned. Sampling without agreement on my part. No answer to my questions by phone except "I remind you" and at present, I'm still waiting for the phone call.
Threatens during agency interviews.
I absolutely do not recommend this insurance.</v>
      </c>
    </row>
    <row r="56" ht="15.75" customHeight="1">
      <c r="A56" s="2">
        <v>2.0</v>
      </c>
      <c r="B56" s="2" t="s">
        <v>225</v>
      </c>
      <c r="C56" s="2" t="s">
        <v>226</v>
      </c>
      <c r="D56" s="2" t="s">
        <v>32</v>
      </c>
      <c r="E56" s="2" t="s">
        <v>21</v>
      </c>
      <c r="F56" s="2" t="s">
        <v>15</v>
      </c>
      <c r="G56" s="2" t="s">
        <v>227</v>
      </c>
      <c r="H56" s="2" t="s">
        <v>228</v>
      </c>
      <c r="I56" s="2" t="str">
        <f>IFERROR(__xludf.DUMMYFUNCTION("GOOGLETRANSLATE(C56,""fr"",""en"")"),"Hello everyone, here is my experience:
Following the subscription of an auto insurance contract at Direct Insurance on September 03, I informed customer service on September 04 at the reception of my gray card, an error on their part, in fact they Assu"&amp;"red a Daewoo Kalos 1,2 is like having an administrative power of 6hp, while the vehicle has no administrative power of 5hp. I have by concede to request a correction of my contract. Their responses was that the registration service made a mistake, I leave"&amp;" the leisure to check by itself on each website addressing the subject, that this vehicle has a power of 5hp, and not 6.
Without follow -up of them, I file a complaint on September 17 on their sites, we are today on September 25 and I have no return of d"&amp;"irect insurance or any correction of my contract.
I have made a second complaint today.
Claude")</f>
        <v>Hello everyone, here is my experience:
Following the subscription of an auto insurance contract at Direct Insurance on September 03, I informed customer service on September 04 at the reception of my gray card, an error on their part, in fact they Assured a Daewoo Kalos 1,2 is like having an administrative power of 6hp, while the vehicle has no administrative power of 5hp. I have by concede to request a correction of my contract. Their responses was that the registration service made a mistake, I leave the leisure to check by itself on each website addressing the subject, that this vehicle has a power of 5hp, and not 6.
Without follow -up of them, I file a complaint on September 17 on their sites, we are today on September 25 and I have no return of direct insurance or any correction of my contract.
I have made a second complaint today.
Claude</v>
      </c>
    </row>
    <row r="57" ht="15.75" customHeight="1">
      <c r="A57" s="2">
        <v>5.0</v>
      </c>
      <c r="B57" s="2" t="s">
        <v>229</v>
      </c>
      <c r="C57" s="2" t="s">
        <v>230</v>
      </c>
      <c r="D57" s="2" t="s">
        <v>146</v>
      </c>
      <c r="E57" s="2" t="s">
        <v>52</v>
      </c>
      <c r="F57" s="2" t="s">
        <v>15</v>
      </c>
      <c r="G57" s="2" t="s">
        <v>231</v>
      </c>
      <c r="H57" s="2" t="s">
        <v>179</v>
      </c>
      <c r="I57" s="2" t="str">
        <f>IFERROR(__xludf.DUMMYFUNCTION("GOOGLETRANSLATE(C57,""fr"",""en"")"),"I am very satisfied because I am insured quickly and really at an advantageous price to see in case of concerns but for the moment she is at the top.")</f>
        <v>I am very satisfied because I am insured quickly and really at an advantageous price to see in case of concerns but for the moment she is at the top.</v>
      </c>
    </row>
    <row r="58" ht="15.75" customHeight="1">
      <c r="A58" s="2">
        <v>3.0</v>
      </c>
      <c r="B58" s="2" t="s">
        <v>232</v>
      </c>
      <c r="C58" s="2" t="s">
        <v>233</v>
      </c>
      <c r="D58" s="2" t="s">
        <v>146</v>
      </c>
      <c r="E58" s="2" t="s">
        <v>52</v>
      </c>
      <c r="F58" s="2" t="s">
        <v>15</v>
      </c>
      <c r="G58" s="2" t="s">
        <v>234</v>
      </c>
      <c r="H58" s="2" t="s">
        <v>87</v>
      </c>
      <c r="I58" s="2" t="str">
        <f>IFERROR(__xludf.DUMMYFUNCTION("GOOGLETRANSLATE(C58,""fr"",""en"")"),"I am satisfied with your contract even if it is a little expensive but that's the beautiful days arrive and I will be able to take advantage of it to make small walks")</f>
        <v>I am satisfied with your contract even if it is a little expensive but that's the beautiful days arrive and I will be able to take advantage of it to make small walks</v>
      </c>
    </row>
    <row r="59" ht="15.75" customHeight="1">
      <c r="A59" s="2">
        <v>2.0</v>
      </c>
      <c r="B59" s="2" t="s">
        <v>235</v>
      </c>
      <c r="C59" s="2" t="s">
        <v>236</v>
      </c>
      <c r="D59" s="2" t="s">
        <v>32</v>
      </c>
      <c r="E59" s="2" t="s">
        <v>21</v>
      </c>
      <c r="F59" s="2" t="s">
        <v>15</v>
      </c>
      <c r="G59" s="2" t="s">
        <v>237</v>
      </c>
      <c r="H59" s="2" t="s">
        <v>87</v>
      </c>
      <c r="I59" s="2" t="str">
        <f>IFERROR(__xludf.DUMMYFUNCTION("GOOGLETRANSLATE(C59,""fr"",""en"")"),"I am very unhappy with the service, sinister declaring on March 25 each time I remind you I am told that I will receive a code by SMS to make an appointment with the expert and since nothing has happened.")</f>
        <v>I am very unhappy with the service, sinister declaring on March 25 each time I remind you I am told that I will receive a code by SMS to make an appointment with the expert and since nothing has happened.</v>
      </c>
    </row>
    <row r="60" ht="15.75" customHeight="1">
      <c r="A60" s="2">
        <v>1.0</v>
      </c>
      <c r="B60" s="2" t="s">
        <v>238</v>
      </c>
      <c r="C60" s="2" t="s">
        <v>239</v>
      </c>
      <c r="D60" s="2" t="s">
        <v>32</v>
      </c>
      <c r="E60" s="2" t="s">
        <v>21</v>
      </c>
      <c r="F60" s="2" t="s">
        <v>15</v>
      </c>
      <c r="G60" s="2" t="s">
        <v>240</v>
      </c>
      <c r="H60" s="2" t="s">
        <v>179</v>
      </c>
      <c r="I60" s="2" t="str">
        <f>IFERROR(__xludf.DUMMYFUNCTION("GOOGLETRANSLATE(C60,""fr"",""en"")"),"Taken too high compared to the market price. No effort for a commercial gesture despite a park of several vehicles. The third in purchase and the other two already insured at home will certainly end up in competition")</f>
        <v>Taken too high compared to the market price. No effort for a commercial gesture despite a park of several vehicles. The third in purchase and the other two already insured at home will certainly end up in competition</v>
      </c>
    </row>
    <row r="61" ht="15.75" customHeight="1">
      <c r="A61" s="2">
        <v>1.0</v>
      </c>
      <c r="B61" s="2" t="s">
        <v>241</v>
      </c>
      <c r="C61" s="2" t="s">
        <v>242</v>
      </c>
      <c r="D61" s="2" t="s">
        <v>222</v>
      </c>
      <c r="E61" s="2" t="s">
        <v>21</v>
      </c>
      <c r="F61" s="2" t="s">
        <v>15</v>
      </c>
      <c r="G61" s="2" t="s">
        <v>243</v>
      </c>
      <c r="H61" s="2" t="s">
        <v>82</v>
      </c>
      <c r="I61" s="2" t="str">
        <f>IFERROR(__xludf.DUMMYFUNCTION("GOOGLETRANSLATE(C61,""fr"",""en"")"),"I have 6 insurance at AXA 2 car insurance, 2 motorcycle insurance, health mutual and life insurance from TT on days
And I pay much too expensive I am 43 years old and pays 85 € of mutual healthy at first I pay 55 € !!!! Without counting the other insuran"&amp;"ces that I have")</f>
        <v>I have 6 insurance at AXA 2 car insurance, 2 motorcycle insurance, health mutual and life insurance from TT on days
And I pay much too expensive I am 43 years old and pays 85 € of mutual healthy at first I pay 55 € !!!! Without counting the other insurances that I have</v>
      </c>
    </row>
    <row r="62" ht="15.75" customHeight="1">
      <c r="A62" s="2">
        <v>4.0</v>
      </c>
      <c r="B62" s="2" t="s">
        <v>244</v>
      </c>
      <c r="C62" s="2" t="s">
        <v>245</v>
      </c>
      <c r="D62" s="2" t="s">
        <v>32</v>
      </c>
      <c r="E62" s="2" t="s">
        <v>21</v>
      </c>
      <c r="F62" s="2" t="s">
        <v>15</v>
      </c>
      <c r="G62" s="2" t="s">
        <v>246</v>
      </c>
      <c r="H62" s="2" t="s">
        <v>58</v>
      </c>
      <c r="I62" s="2" t="str">
        <f>IFERROR(__xludf.DUMMYFUNCTION("GOOGLETRANSLATE(C62,""fr"",""en"")"),"Fast and effective. Easy to use. It would be pretty good to have a direct number to reach a person. I wanted to take a sample but I did not succeed.")</f>
        <v>Fast and effective. Easy to use. It would be pretty good to have a direct number to reach a person. I wanted to take a sample but I did not succeed.</v>
      </c>
    </row>
    <row r="63" ht="15.75" customHeight="1">
      <c r="A63" s="2">
        <v>5.0</v>
      </c>
      <c r="B63" s="2" t="s">
        <v>247</v>
      </c>
      <c r="C63" s="2" t="s">
        <v>248</v>
      </c>
      <c r="D63" s="2" t="s">
        <v>32</v>
      </c>
      <c r="E63" s="2" t="s">
        <v>21</v>
      </c>
      <c r="F63" s="2" t="s">
        <v>15</v>
      </c>
      <c r="G63" s="2" t="s">
        <v>53</v>
      </c>
      <c r="H63" s="2" t="s">
        <v>54</v>
      </c>
      <c r="I63" s="2" t="str">
        <f>IFERROR(__xludf.DUMMYFUNCTION("GOOGLETRANSLATE(C63,""fr"",""en"")"),"I am satisfied with internet service but I would have liked to have a call to better explain the quote and the contract .. I hope that I will not see a surprise")</f>
        <v>I am satisfied with internet service but I would have liked to have a call to better explain the quote and the contract .. I hope that I will not see a surprise</v>
      </c>
    </row>
    <row r="64" ht="15.75" customHeight="1">
      <c r="A64" s="2">
        <v>1.0</v>
      </c>
      <c r="B64" s="2" t="s">
        <v>249</v>
      </c>
      <c r="C64" s="2" t="s">
        <v>250</v>
      </c>
      <c r="D64" s="2" t="s">
        <v>251</v>
      </c>
      <c r="E64" s="2" t="s">
        <v>14</v>
      </c>
      <c r="F64" s="2" t="s">
        <v>15</v>
      </c>
      <c r="G64" s="2" t="s">
        <v>252</v>
      </c>
      <c r="H64" s="2" t="s">
        <v>253</v>
      </c>
      <c r="I64" s="2" t="str">
        <f>IFERROR(__xludf.DUMMYFUNCTION("GOOGLETRANSLATE(C64,""fr"",""en"")"),"Very one -one mutual.
I sent an email via the contact page of the site on 31.01.2020, I did not have an answer.
I tried to reach them by phone and asked to be recalled this morning, not yet news.
I contacted them via Messenger to ask my question, I am "&amp;"returned to a correspondent without giving me his contact details and above all we do not answer my question.
What are the modalities to terminate my mutual since my husband has a compulsory family mutual?
")</f>
        <v>Very one -one mutual.
I sent an email via the contact page of the site on 31.01.2020, I did not have an answer.
I tried to reach them by phone and asked to be recalled this morning, not yet news.
I contacted them via Messenger to ask my question, I am returned to a correspondent without giving me his contact details and above all we do not answer my question.
What are the modalities to terminate my mutual since my husband has a compulsory family mutual?
</v>
      </c>
    </row>
    <row r="65" ht="15.75" customHeight="1">
      <c r="A65" s="2">
        <v>5.0</v>
      </c>
      <c r="B65" s="2" t="s">
        <v>254</v>
      </c>
      <c r="C65" s="2" t="s">
        <v>255</v>
      </c>
      <c r="D65" s="2" t="s">
        <v>13</v>
      </c>
      <c r="E65" s="2" t="s">
        <v>14</v>
      </c>
      <c r="F65" s="2" t="s">
        <v>15</v>
      </c>
      <c r="G65" s="2" t="s">
        <v>256</v>
      </c>
      <c r="H65" s="2" t="s">
        <v>23</v>
      </c>
      <c r="I65" s="2" t="str">
        <f>IFERROR(__xludf.DUMMYFUNCTION("GOOGLETRANSLATE(C65,""fr"",""en"")"),"I just contacted customer service I came across ABO who was very pleasant and who was able to answer my questions quickly and who put me in touch with the right service")</f>
        <v>I just contacted customer service I came across ABO who was very pleasant and who was able to answer my questions quickly and who put me in touch with the right service</v>
      </c>
    </row>
    <row r="66" ht="15.75" customHeight="1">
      <c r="A66" s="2">
        <v>2.0</v>
      </c>
      <c r="B66" s="2" t="s">
        <v>257</v>
      </c>
      <c r="C66" s="2" t="s">
        <v>258</v>
      </c>
      <c r="D66" s="2" t="s">
        <v>32</v>
      </c>
      <c r="E66" s="2" t="s">
        <v>21</v>
      </c>
      <c r="F66" s="2" t="s">
        <v>15</v>
      </c>
      <c r="G66" s="2" t="s">
        <v>155</v>
      </c>
      <c r="H66" s="2" t="s">
        <v>156</v>
      </c>
      <c r="I66" s="2" t="str">
        <f>IFERROR(__xludf.DUMMYFUNCTION("GOOGLETRANSLATE(C66,""fr"",""en"")"),"Promises a refund on car insurance and it's been two months since I wait and nothing happens. Customer service can be easily reached. And at the assistance level, we did not have any problems.")</f>
        <v>Promises a refund on car insurance and it's been two months since I wait and nothing happens. Customer service can be easily reached. And at the assistance level, we did not have any problems.</v>
      </c>
    </row>
    <row r="67" ht="15.75" customHeight="1">
      <c r="A67" s="2">
        <v>3.0</v>
      </c>
      <c r="B67" s="2" t="s">
        <v>259</v>
      </c>
      <c r="C67" s="2" t="s">
        <v>260</v>
      </c>
      <c r="D67" s="2" t="s">
        <v>20</v>
      </c>
      <c r="E67" s="2" t="s">
        <v>21</v>
      </c>
      <c r="F67" s="2" t="s">
        <v>15</v>
      </c>
      <c r="G67" s="2" t="s">
        <v>256</v>
      </c>
      <c r="H67" s="2" t="s">
        <v>23</v>
      </c>
      <c r="I67" s="2" t="str">
        <f>IFERROR(__xludf.DUMMYFUNCTION("GOOGLETRANSLATE(C67,""fr"",""en"")"),"Saturated telephone service.
Interminable waiting time and we get hanging up with the nose.
Interlocutor who does not always identify the request.
However attractive price.
")</f>
        <v>Saturated telephone service.
Interminable waiting time and we get hanging up with the nose.
Interlocutor who does not always identify the request.
However attractive price.
</v>
      </c>
    </row>
    <row r="68" ht="15.75" customHeight="1">
      <c r="A68" s="2">
        <v>5.0</v>
      </c>
      <c r="B68" s="2" t="s">
        <v>261</v>
      </c>
      <c r="C68" s="2" t="s">
        <v>262</v>
      </c>
      <c r="D68" s="2" t="s">
        <v>127</v>
      </c>
      <c r="E68" s="2" t="s">
        <v>128</v>
      </c>
      <c r="F68" s="2" t="s">
        <v>15</v>
      </c>
      <c r="G68" s="2" t="s">
        <v>263</v>
      </c>
      <c r="H68" s="2" t="s">
        <v>38</v>
      </c>
      <c r="I68" s="2" t="str">
        <f>IFERROR(__xludf.DUMMYFUNCTION("GOOGLETRANSLATE(C68,""fr"",""en"")"),"Simple and practical. Too bad not to have the possibility of deleting a request (following entry error) or returning to the request space once the re -involved step before validation.")</f>
        <v>Simple and practical. Too bad not to have the possibility of deleting a request (following entry error) or returning to the request space once the re -involved step before validation.</v>
      </c>
    </row>
    <row r="69" ht="15.75" customHeight="1">
      <c r="A69" s="2">
        <v>3.0</v>
      </c>
      <c r="B69" s="2" t="s">
        <v>264</v>
      </c>
      <c r="C69" s="2" t="s">
        <v>265</v>
      </c>
      <c r="D69" s="2" t="s">
        <v>139</v>
      </c>
      <c r="E69" s="2" t="s">
        <v>21</v>
      </c>
      <c r="F69" s="2" t="s">
        <v>15</v>
      </c>
      <c r="G69" s="2" t="s">
        <v>266</v>
      </c>
      <c r="H69" s="2" t="s">
        <v>179</v>
      </c>
      <c r="I69" s="2" t="str">
        <f>IFERROR(__xludf.DUMMYFUNCTION("GOOGLETRANSLATE(C69,""fr"",""en"")"),"I am not satisfied to have relations with my insurance only by e-mail. The Quimper agency is not reachable directly by phone when you need it
")</f>
        <v>I am not satisfied to have relations with my insurance only by e-mail. The Quimper agency is not reachable directly by phone when you need it
</v>
      </c>
    </row>
    <row r="70" ht="15.75" customHeight="1">
      <c r="A70" s="2">
        <v>4.0</v>
      </c>
      <c r="B70" s="2" t="s">
        <v>267</v>
      </c>
      <c r="C70" s="2" t="s">
        <v>268</v>
      </c>
      <c r="D70" s="2" t="s">
        <v>32</v>
      </c>
      <c r="E70" s="2" t="s">
        <v>21</v>
      </c>
      <c r="F70" s="2" t="s">
        <v>15</v>
      </c>
      <c r="G70" s="2" t="s">
        <v>269</v>
      </c>
      <c r="H70" s="2" t="s">
        <v>54</v>
      </c>
      <c r="I70" s="2" t="str">
        <f>IFERROR(__xludf.DUMMYFUNCTION("GOOGLETRANSLATE(C70,""fr"",""en"")"),"SATISFIED? The prices go to me compared elsewhere.
I think I change my other vehicle from the end of its failure for Direct Assurancess because it made me save 150 euros")</f>
        <v>SATISFIED? The prices go to me compared elsewhere.
I think I change my other vehicle from the end of its failure for Direct Assurancess because it made me save 150 euros</v>
      </c>
    </row>
    <row r="71" ht="15.75" customHeight="1">
      <c r="A71" s="2">
        <v>5.0</v>
      </c>
      <c r="B71" s="2" t="s">
        <v>270</v>
      </c>
      <c r="C71" s="2" t="s">
        <v>271</v>
      </c>
      <c r="D71" s="2" t="s">
        <v>51</v>
      </c>
      <c r="E71" s="2" t="s">
        <v>52</v>
      </c>
      <c r="F71" s="2" t="s">
        <v>15</v>
      </c>
      <c r="G71" s="2" t="s">
        <v>272</v>
      </c>
      <c r="H71" s="2" t="s">
        <v>77</v>
      </c>
      <c r="I71" s="2" t="str">
        <f>IFERROR(__xludf.DUMMYFUNCTION("GOOGLETRANSLATE(C71,""fr"",""en"")"),"The biker spirit is still there .... I highly recommend
Listening and responsive insurer and always very attractive prices congratulations to you")</f>
        <v>The biker spirit is still there .... I highly recommend
Listening and responsive insurer and always very attractive prices congratulations to you</v>
      </c>
    </row>
    <row r="72" ht="15.75" customHeight="1">
      <c r="A72" s="2">
        <v>1.0</v>
      </c>
      <c r="B72" s="2" t="s">
        <v>273</v>
      </c>
      <c r="C72" s="2" t="s">
        <v>274</v>
      </c>
      <c r="D72" s="2" t="s">
        <v>93</v>
      </c>
      <c r="E72" s="2" t="s">
        <v>21</v>
      </c>
      <c r="F72" s="2" t="s">
        <v>15</v>
      </c>
      <c r="G72" s="2" t="s">
        <v>275</v>
      </c>
      <c r="H72" s="2" t="s">
        <v>276</v>
      </c>
      <c r="I72" s="2" t="str">
        <f>IFERROR(__xludf.DUMMYFUNCTION("GOOGLETRANSLATE(C72,""fr"",""en"")")," Auto contract carried out by phone. After having described my former information statements well and having given my bonus-malus. He made me a price so I paid 3 months in advance he sent the contract I signed as well as returned the requested rooms. And "&amp;"in the end they tell me that he does not assure me and that in addition they reimburse me not the 130 e !!! I find it scandalous! ! I take legal action for my part")</f>
        <v> Auto contract carried out by phone. After having described my former information statements well and having given my bonus-malus. He made me a price so I paid 3 months in advance he sent the contract I signed as well as returned the requested rooms. And in the end they tell me that he does not assure me and that in addition they reimburse me not the 130 e !!! I find it scandalous! ! I take legal action for my part</v>
      </c>
    </row>
    <row r="73" ht="15.75" customHeight="1">
      <c r="A73" s="2">
        <v>3.0</v>
      </c>
      <c r="B73" s="2" t="s">
        <v>277</v>
      </c>
      <c r="C73" s="2" t="s">
        <v>278</v>
      </c>
      <c r="D73" s="2" t="s">
        <v>75</v>
      </c>
      <c r="E73" s="2" t="s">
        <v>14</v>
      </c>
      <c r="F73" s="2" t="s">
        <v>15</v>
      </c>
      <c r="G73" s="2" t="s">
        <v>279</v>
      </c>
      <c r="H73" s="2" t="s">
        <v>199</v>
      </c>
      <c r="I73" s="2" t="str">
        <f>IFERROR(__xludf.DUMMYFUNCTION("GOOGLETRANSLATE(C73,""fr"",""en"")"),"A member for more than 30 years, I have always been able to obtain useful information, whether in terms of mortgage bond, reimbursement for a cure, for dental equipment.
Quality welcome.")</f>
        <v>A member for more than 30 years, I have always been able to obtain useful information, whether in terms of mortgage bond, reimbursement for a cure, for dental equipment.
Quality welcome.</v>
      </c>
    </row>
    <row r="74" ht="15.75" customHeight="1">
      <c r="A74" s="2">
        <v>2.0</v>
      </c>
      <c r="B74" s="2" t="s">
        <v>280</v>
      </c>
      <c r="C74" s="2" t="s">
        <v>281</v>
      </c>
      <c r="D74" s="2" t="s">
        <v>282</v>
      </c>
      <c r="E74" s="2" t="s">
        <v>283</v>
      </c>
      <c r="F74" s="2" t="s">
        <v>15</v>
      </c>
      <c r="G74" s="2" t="s">
        <v>284</v>
      </c>
      <c r="H74" s="2" t="s">
        <v>110</v>
      </c>
      <c r="I74" s="2" t="str">
        <f>IFERROR(__xludf.DUMMYFUNCTION("GOOGLETRANSLATE(C74,""fr"",""en"")"),"I am still awaiting reimbursement following my dog's operation. I have always provided them with all the documents they ask for but only send the file to request new documents instead of asking everything suddenly. That's already twice !!!! I no longer fe"&amp;"el like they are doing it on purpose to delay payments as much as possible and make their customers lose patience. And moreover, they are unable to call the customer to request the documents, not on the contrary they say nothing and refer the file.")</f>
        <v>I am still awaiting reimbursement following my dog's operation. I have always provided them with all the documents they ask for but only send the file to request new documents instead of asking everything suddenly. That's already twice !!!! I no longer feel like they are doing it on purpose to delay payments as much as possible and make their customers lose patience. And moreover, they are unable to call the customer to request the documents, not on the contrary they say nothing and refer the file.</v>
      </c>
    </row>
    <row r="75" ht="15.75" customHeight="1">
      <c r="A75" s="2">
        <v>1.0</v>
      </c>
      <c r="B75" s="2" t="s">
        <v>285</v>
      </c>
      <c r="C75" s="2" t="s">
        <v>286</v>
      </c>
      <c r="D75" s="2" t="s">
        <v>287</v>
      </c>
      <c r="E75" s="2" t="s">
        <v>283</v>
      </c>
      <c r="F75" s="2" t="s">
        <v>15</v>
      </c>
      <c r="G75" s="2" t="s">
        <v>288</v>
      </c>
      <c r="H75" s="2" t="s">
        <v>95</v>
      </c>
      <c r="I75" s="2" t="str">
        <f>IFERROR(__xludf.DUMMYFUNCTION("GOOGLETRANSLATE(C75,""fr"",""en"")"),"hello
 I contracted more than a year ago 3 insurance in this company for my animals on a premium contract, an annual investment of around 840 euros approximately 340 euros ago
Today I have terminated (mail with A.R.) my contracts in time, two months bef"&amp;"ore the anniversary date and I paid by direct debit all my contributions or 12 months
I am continued to ask me for my regulations for months where my animals are no longer covered with please recommended and put in litigation.
At the same time I sent du"&amp;"ring the duration of my contract requests for reimbursements with all the supporting documents in the form of detailed invoices of the interventions made by the veterinarian.
To date I have an overall amount of around 450 euros which has still not been r"&amp;"eimbursed to me on the pretext that they have not received the elements when I have returns from their service proving the opposite.
If I do the calculation today the cost for me is more than 1300 euros with an in addition a fallacious litigation.
The l"&amp;"ove of my animals unfortunately made me enter a pernicious system where animal consideration is of second order.
In conclusion this insurance company unfortunately has only ""virtual"" existence
- No contact between the different services
- certainly a"&amp;" very poorly considered personnel because they relieved themselves of any responsibility
- consequence no communication between their various services (experience lived by phone several times)
I will not expand more on this file but as a business leader"&amp;" and therefore no one aware of his responsibilities, I see in this insurance system by internet an drift of the system and a deterioration of the image of societies insurance that already has a bad press.
I leave you alone judge of your decisions but the"&amp;" warning is real.
Help
")</f>
        <v>hello
 I contracted more than a year ago 3 insurance in this company for my animals on a premium contract, an annual investment of around 840 euros approximately 340 euros ago
Today I have terminated (mail with A.R.) my contracts in time, two months before the anniversary date and I paid by direct debit all my contributions or 12 months
I am continued to ask me for my regulations for months where my animals are no longer covered with please recommended and put in litigation.
At the same time I sent during the duration of my contract requests for reimbursements with all the supporting documents in the form of detailed invoices of the interventions made by the veterinarian.
To date I have an overall amount of around 450 euros which has still not been reimbursed to me on the pretext that they have not received the elements when I have returns from their service proving the opposite.
If I do the calculation today the cost for me is more than 1300 euros with an in addition a fallacious litigation.
The love of my animals unfortunately made me enter a pernicious system where animal consideration is of second order.
In conclusion this insurance company unfortunately has only "virtual" existence
- No contact between the different services
- certainly a very poorly considered personnel because they relieved themselves of any responsibility
- consequence no communication between their various services (experience lived by phone several times)
I will not expand more on this file but as a business leader and therefore no one aware of his responsibilities, I see in this insurance system by internet an drift of the system and a deterioration of the image of societies insurance that already has a bad press.
I leave you alone judge of your decisions but the warning is real.
Help
</v>
      </c>
    </row>
    <row r="76" ht="15.75" customHeight="1">
      <c r="A76" s="2">
        <v>5.0</v>
      </c>
      <c r="B76" s="2" t="s">
        <v>289</v>
      </c>
      <c r="C76" s="2" t="s">
        <v>290</v>
      </c>
      <c r="D76" s="2" t="s">
        <v>20</v>
      </c>
      <c r="E76" s="2" t="s">
        <v>21</v>
      </c>
      <c r="F76" s="2" t="s">
        <v>15</v>
      </c>
      <c r="G76" s="2" t="s">
        <v>291</v>
      </c>
      <c r="H76" s="2" t="s">
        <v>54</v>
      </c>
      <c r="I76" s="2" t="str">
        <f>IFERROR(__xludf.DUMMYFUNCTION("GOOGLETRANSLATE(C76,""fr"",""en"")"),"I am satisfied with the speed to be taken out but also in simplicity and especially the price of insurance. I was quickly recalled, I am fully satisfied")</f>
        <v>I am satisfied with the speed to be taken out but also in simplicity and especially the price of insurance. I was quickly recalled, I am fully satisfied</v>
      </c>
    </row>
    <row r="77" ht="15.75" customHeight="1">
      <c r="A77" s="2">
        <v>5.0</v>
      </c>
      <c r="B77" s="2" t="s">
        <v>292</v>
      </c>
      <c r="C77" s="2" t="s">
        <v>293</v>
      </c>
      <c r="D77" s="2" t="s">
        <v>51</v>
      </c>
      <c r="E77" s="2" t="s">
        <v>52</v>
      </c>
      <c r="F77" s="2" t="s">
        <v>15</v>
      </c>
      <c r="G77" s="2" t="s">
        <v>294</v>
      </c>
      <c r="H77" s="2" t="s">
        <v>295</v>
      </c>
      <c r="I77" s="2" t="str">
        <f>IFERROR(__xludf.DUMMYFUNCTION("GOOGLETRANSLATE(C77,""fr"",""en"")"),"My spouse and I have been insured at home for quite a few years (car, motorcycle) and have had flights and claims (not responsible) - everything happened for the best.")</f>
        <v>My spouse and I have been insured at home for quite a few years (car, motorcycle) and have had flights and claims (not responsible) - everything happened for the best.</v>
      </c>
    </row>
    <row r="78" ht="15.75" customHeight="1">
      <c r="A78" s="2">
        <v>2.0</v>
      </c>
      <c r="B78" s="2" t="s">
        <v>296</v>
      </c>
      <c r="C78" s="2" t="s">
        <v>297</v>
      </c>
      <c r="D78" s="2" t="s">
        <v>222</v>
      </c>
      <c r="E78" s="2" t="s">
        <v>21</v>
      </c>
      <c r="F78" s="2" t="s">
        <v>15</v>
      </c>
      <c r="G78" s="2" t="s">
        <v>298</v>
      </c>
      <c r="H78" s="2" t="s">
        <v>299</v>
      </c>
      <c r="I78" s="2" t="str">
        <f>IFERROR(__xludf.DUMMYFUNCTION("GOOGLETRANSLATE(C78,""fr"",""en"")"),"Very high but very competent price if you are in trouble")</f>
        <v>Very high but very competent price if you are in trouble</v>
      </c>
    </row>
    <row r="79" ht="15.75" customHeight="1">
      <c r="A79" s="2">
        <v>3.0</v>
      </c>
      <c r="B79" s="2" t="s">
        <v>300</v>
      </c>
      <c r="C79" s="2" t="s">
        <v>301</v>
      </c>
      <c r="D79" s="2" t="s">
        <v>32</v>
      </c>
      <c r="E79" s="2" t="s">
        <v>21</v>
      </c>
      <c r="F79" s="2" t="s">
        <v>15</v>
      </c>
      <c r="G79" s="2" t="s">
        <v>302</v>
      </c>
      <c r="H79" s="2" t="s">
        <v>54</v>
      </c>
      <c r="I79" s="2" t="str">
        <f>IFERROR(__xludf.DUMMYFUNCTION("GOOGLETRANSLATE(C79,""fr"",""en"")"),"I am satisfied with the speed of the procedure, thank you.
The prices are acceptable.
Thank you for the service and I wish you a good day, codially")</f>
        <v>I am satisfied with the speed of the procedure, thank you.
The prices are acceptable.
Thank you for the service and I wish you a good day, codially</v>
      </c>
    </row>
    <row r="80" ht="15.75" customHeight="1">
      <c r="A80" s="2">
        <v>5.0</v>
      </c>
      <c r="B80" s="2" t="s">
        <v>303</v>
      </c>
      <c r="C80" s="2" t="s">
        <v>304</v>
      </c>
      <c r="D80" s="2" t="s">
        <v>106</v>
      </c>
      <c r="E80" s="2" t="s">
        <v>14</v>
      </c>
      <c r="F80" s="2" t="s">
        <v>15</v>
      </c>
      <c r="G80" s="2" t="s">
        <v>305</v>
      </c>
      <c r="H80" s="2" t="s">
        <v>306</v>
      </c>
      <c r="I80" s="2" t="str">
        <f>IFERROR(__xludf.DUMMYFUNCTION("GOOGLETRANSLATE(C80,""fr"",""en"")"),"A super mutual. Which meets my needs reimburses very quickly")</f>
        <v>A super mutual. Which meets my needs reimburses very quickly</v>
      </c>
    </row>
    <row r="81" ht="15.75" customHeight="1">
      <c r="A81" s="2">
        <v>3.0</v>
      </c>
      <c r="B81" s="2" t="s">
        <v>307</v>
      </c>
      <c r="C81" s="2" t="s">
        <v>308</v>
      </c>
      <c r="D81" s="2" t="s">
        <v>32</v>
      </c>
      <c r="E81" s="2" t="s">
        <v>21</v>
      </c>
      <c r="F81" s="2" t="s">
        <v>15</v>
      </c>
      <c r="G81" s="2" t="s">
        <v>23</v>
      </c>
      <c r="H81" s="2" t="s">
        <v>23</v>
      </c>
      <c r="I81" s="2" t="str">
        <f>IFERROR(__xludf.DUMMYFUNCTION("GOOGLETRANSLATE(C81,""fr"",""en"")"),"I am satisfied with the service but I would have liked to have the right price of the start instead of having an increase as and when going to the following pages.")</f>
        <v>I am satisfied with the service but I would have liked to have the right price of the start instead of having an increase as and when going to the following pages.</v>
      </c>
    </row>
    <row r="82" ht="15.75" customHeight="1">
      <c r="A82" s="2">
        <v>3.0</v>
      </c>
      <c r="B82" s="2" t="s">
        <v>309</v>
      </c>
      <c r="C82" s="2" t="s">
        <v>310</v>
      </c>
      <c r="D82" s="2" t="s">
        <v>222</v>
      </c>
      <c r="E82" s="2" t="s">
        <v>21</v>
      </c>
      <c r="F82" s="2" t="s">
        <v>15</v>
      </c>
      <c r="G82" s="2" t="s">
        <v>311</v>
      </c>
      <c r="H82" s="2" t="s">
        <v>306</v>
      </c>
      <c r="I82" s="2" t="str">
        <f>IFERROR(__xludf.DUMMYFUNCTION("GOOGLETRANSLATE(C82,""fr"",""en"")"),"Insured at the Maubeuge agency for many years! Welcome to the very friendly and competent staff, it is for this reason that I stay there! As regards the services I fortunately did not have to use them for many years so I cannot criticize them!")</f>
        <v>Insured at the Maubeuge agency for many years! Welcome to the very friendly and competent staff, it is for this reason that I stay there! As regards the services I fortunately did not have to use them for many years so I cannot criticize them!</v>
      </c>
    </row>
    <row r="83" ht="15.75" customHeight="1">
      <c r="A83" s="2">
        <v>2.0</v>
      </c>
      <c r="B83" s="2" t="s">
        <v>312</v>
      </c>
      <c r="C83" s="2" t="s">
        <v>313</v>
      </c>
      <c r="D83" s="2" t="s">
        <v>314</v>
      </c>
      <c r="E83" s="2" t="s">
        <v>21</v>
      </c>
      <c r="F83" s="2" t="s">
        <v>15</v>
      </c>
      <c r="G83" s="2" t="s">
        <v>315</v>
      </c>
      <c r="H83" s="2" t="s">
        <v>179</v>
      </c>
      <c r="I83" s="2" t="str">
        <f>IFERROR(__xludf.DUMMYFUNCTION("GOOGLETRANSLATE(C83,""fr"",""en"")"),"Active Assurances is an insurance broker who does not wish to retain his customers. 37% increase in 3 years. Flee this broker who is only interesting in the first year.")</f>
        <v>Active Assurances is an insurance broker who does not wish to retain his customers. 37% increase in 3 years. Flee this broker who is only interesting in the first year.</v>
      </c>
    </row>
    <row r="84" ht="15.75" customHeight="1">
      <c r="A84" s="2">
        <v>1.0</v>
      </c>
      <c r="B84" s="2" t="s">
        <v>316</v>
      </c>
      <c r="C84" s="2" t="s">
        <v>317</v>
      </c>
      <c r="D84" s="2" t="s">
        <v>20</v>
      </c>
      <c r="E84" s="2" t="s">
        <v>21</v>
      </c>
      <c r="F84" s="2" t="s">
        <v>15</v>
      </c>
      <c r="G84" s="2" t="s">
        <v>318</v>
      </c>
      <c r="H84" s="2" t="s">
        <v>319</v>
      </c>
      <c r="I84" s="2" t="str">
        <f>IFERROR(__xludf.DUMMYFUNCTION("GOOGLETRANSLATE(C84,""fr"",""en"")"),"For a non -responsible disaster, customer service has left my file dragged for more than a year before being able to make the repairs")</f>
        <v>For a non -responsible disaster, customer service has left my file dragged for more than a year before being able to make the repairs</v>
      </c>
    </row>
    <row r="85" ht="15.75" customHeight="1">
      <c r="A85" s="2">
        <v>4.0</v>
      </c>
      <c r="B85" s="2" t="s">
        <v>320</v>
      </c>
      <c r="C85" s="2" t="s">
        <v>321</v>
      </c>
      <c r="D85" s="2" t="s">
        <v>20</v>
      </c>
      <c r="E85" s="2" t="s">
        <v>21</v>
      </c>
      <c r="F85" s="2" t="s">
        <v>15</v>
      </c>
      <c r="G85" s="2" t="s">
        <v>322</v>
      </c>
      <c r="H85" s="2" t="s">
        <v>95</v>
      </c>
      <c r="I85" s="2" t="str">
        <f>IFERROR(__xludf.DUMMYFUNCTION("GOOGLETRANSLATE(C85,""fr"",""en"")"),"I am satisfied thank you in relation to the interview I had and if our agreements are respected there will be nothing to say otherwise I will contact you to let you know")</f>
        <v>I am satisfied thank you in relation to the interview I had and if our agreements are respected there will be nothing to say otherwise I will contact you to let you know</v>
      </c>
    </row>
    <row r="86" ht="15.75" customHeight="1">
      <c r="A86" s="2">
        <v>2.0</v>
      </c>
      <c r="B86" s="2" t="s">
        <v>323</v>
      </c>
      <c r="C86" s="2" t="s">
        <v>324</v>
      </c>
      <c r="D86" s="2" t="s">
        <v>325</v>
      </c>
      <c r="E86" s="2" t="s">
        <v>283</v>
      </c>
      <c r="F86" s="2" t="s">
        <v>15</v>
      </c>
      <c r="G86" s="2" t="s">
        <v>326</v>
      </c>
      <c r="H86" s="2" t="s">
        <v>327</v>
      </c>
      <c r="I86" s="2" t="str">
        <f>IFERROR(__xludf.DUMMYFUNCTION("GOOGLETRANSLATE(C86,""fr"",""en"")"),"I have been a client for a week, it's already a disaster!
When you call their customer service, you have 2 options: #1 information on offers, #2 refund etc ... I already normally compose the #2 (to know how to communicate a direct debit mandate signed by"&amp;" way Electronics in containment), but no one answers! I waited 2 times 5 mins, 1 time 15 mins !!! 2 times transferred by the #1 staff. I don't even ask for refund !!! Not yet !!!
Oddly, before subscription, the #1 answers ultra quickly to sell you.")</f>
        <v>I have been a client for a week, it's already a disaster!
When you call their customer service, you have 2 options: #1 information on offers, #2 refund etc ... I already normally compose the #2 (to know how to communicate a direct debit mandate signed by way Electronics in containment), but no one answers! I waited 2 times 5 mins, 1 time 15 mins !!! 2 times transferred by the #1 staff. I don't even ask for refund !!! Not yet !!!
Oddly, before subscription, the #1 answers ultra quickly to sell you.</v>
      </c>
    </row>
    <row r="87" ht="15.75" customHeight="1">
      <c r="A87" s="2">
        <v>1.0</v>
      </c>
      <c r="B87" s="2" t="s">
        <v>328</v>
      </c>
      <c r="C87" s="2" t="s">
        <v>329</v>
      </c>
      <c r="D87" s="2" t="s">
        <v>139</v>
      </c>
      <c r="E87" s="2" t="s">
        <v>42</v>
      </c>
      <c r="F87" s="2" t="s">
        <v>15</v>
      </c>
      <c r="G87" s="2" t="s">
        <v>330</v>
      </c>
      <c r="H87" s="2" t="s">
        <v>331</v>
      </c>
      <c r="I87" s="2" t="str">
        <f>IFERROR(__xludf.DUMMYFUNCTION("GOOGLETRANSLATE(C87,""fr"",""en"")"),"Bad !!!! To avoid ! I have a claim dated 20/01/2019. The traveaux is still not made! Non -existent sinister service !!! Really take another insurance.")</f>
        <v>Bad !!!! To avoid ! I have a claim dated 20/01/2019. The traveaux is still not made! Non -existent sinister service !!! Really take another insurance.</v>
      </c>
    </row>
    <row r="88" ht="15.75" customHeight="1">
      <c r="A88" s="2">
        <v>1.0</v>
      </c>
      <c r="B88" s="2" t="s">
        <v>332</v>
      </c>
      <c r="C88" s="2" t="s">
        <v>333</v>
      </c>
      <c r="D88" s="2" t="s">
        <v>41</v>
      </c>
      <c r="E88" s="2" t="s">
        <v>21</v>
      </c>
      <c r="F88" s="2" t="s">
        <v>15</v>
      </c>
      <c r="G88" s="2" t="s">
        <v>334</v>
      </c>
      <c r="H88" s="2" t="s">
        <v>276</v>
      </c>
      <c r="I88" s="2" t="str">
        <f>IFERROR(__xludf.DUMMYFUNCTION("GOOGLETRANSLATE(C88,""fr"",""en"")"),"hello I asked for a quote for my daughter who has just had the license I was answered no quote if not customer ???? How do we do if we are a novice driver without parents' help ??? cordially")</f>
        <v>hello I asked for a quote for my daughter who has just had the license I was answered no quote if not customer ???? How do we do if we are a novice driver without parents' help ??? cordially</v>
      </c>
    </row>
    <row r="89" ht="15.75" customHeight="1">
      <c r="A89" s="2">
        <v>4.0</v>
      </c>
      <c r="B89" s="2" t="s">
        <v>335</v>
      </c>
      <c r="C89" s="2" t="s">
        <v>336</v>
      </c>
      <c r="D89" s="2" t="s">
        <v>32</v>
      </c>
      <c r="E89" s="2" t="s">
        <v>21</v>
      </c>
      <c r="F89" s="2" t="s">
        <v>15</v>
      </c>
      <c r="G89" s="2" t="s">
        <v>337</v>
      </c>
      <c r="H89" s="2" t="s">
        <v>87</v>
      </c>
      <c r="I89" s="2" t="str">
        <f>IFERROR(__xludf.DUMMYFUNCTION("GOOGLETRANSLATE(C89,""fr"",""en"")"),"No hindsight for the moment, good responsiveness to the signing of the contract.
Thank you for your kindness, and for your professionalism
You are the best!!")</f>
        <v>No hindsight for the moment, good responsiveness to the signing of the contract.
Thank you for your kindness, and for your professionalism
You are the best!!</v>
      </c>
    </row>
    <row r="90" ht="15.75" customHeight="1">
      <c r="A90" s="2">
        <v>3.0</v>
      </c>
      <c r="B90" s="2" t="s">
        <v>338</v>
      </c>
      <c r="C90" s="2" t="s">
        <v>339</v>
      </c>
      <c r="D90" s="2" t="s">
        <v>32</v>
      </c>
      <c r="E90" s="2" t="s">
        <v>42</v>
      </c>
      <c r="F90" s="2" t="s">
        <v>15</v>
      </c>
      <c r="G90" s="2" t="s">
        <v>340</v>
      </c>
      <c r="H90" s="2" t="s">
        <v>77</v>
      </c>
      <c r="I90" s="2" t="str">
        <f>IFERROR(__xludf.DUMMYFUNCTION("GOOGLETRANSLATE(C90,""fr"",""en"")"),"I am satisfied with the service, clarity and the simplicity of use of the simulator. The prices are reasonable. The prices of the options are however quite expensive.")</f>
        <v>I am satisfied with the service, clarity and the simplicity of use of the simulator. The prices are reasonable. The prices of the options are however quite expensive.</v>
      </c>
    </row>
    <row r="91" ht="15.75" customHeight="1">
      <c r="A91" s="2">
        <v>5.0</v>
      </c>
      <c r="B91" s="2" t="s">
        <v>341</v>
      </c>
      <c r="C91" s="2" t="s">
        <v>342</v>
      </c>
      <c r="D91" s="2" t="s">
        <v>32</v>
      </c>
      <c r="E91" s="2" t="s">
        <v>21</v>
      </c>
      <c r="F91" s="2" t="s">
        <v>15</v>
      </c>
      <c r="G91" s="2" t="s">
        <v>343</v>
      </c>
      <c r="H91" s="2" t="s">
        <v>95</v>
      </c>
      <c r="I91" s="2" t="str">
        <f>IFERROR(__xludf.DUMMYFUNCTION("GOOGLETRANSLATE(C91,""fr"",""en"")"),"Hello Following attempt at Direct Insurance flight managed the file from start to finish.
Troubleshooting Towing Expertise Repair and reimbursement within 15 days because I had not chosen the recommended garage.")</f>
        <v>Hello Following attempt at Direct Insurance flight managed the file from start to finish.
Troubleshooting Towing Expertise Repair and reimbursement within 15 days because I had not chosen the recommended garage.</v>
      </c>
    </row>
    <row r="92" ht="15.75" customHeight="1">
      <c r="A92" s="2">
        <v>4.0</v>
      </c>
      <c r="B92" s="2" t="s">
        <v>344</v>
      </c>
      <c r="C92" s="2" t="s">
        <v>345</v>
      </c>
      <c r="D92" s="2" t="s">
        <v>32</v>
      </c>
      <c r="E92" s="2" t="s">
        <v>21</v>
      </c>
      <c r="F92" s="2" t="s">
        <v>15</v>
      </c>
      <c r="G92" s="2" t="s">
        <v>346</v>
      </c>
      <c r="H92" s="2" t="s">
        <v>58</v>
      </c>
      <c r="I92" s="2" t="str">
        <f>IFERROR(__xludf.DUMMYFUNCTION("GOOGLETRANSLATE(C92,""fr"",""en"")"),"I am satisfied thank you bcp I hope everything is fine with direct insurance thank you in advance and good luck. The procedure is very fast without gap thank you")</f>
        <v>I am satisfied thank you bcp I hope everything is fine with direct insurance thank you in advance and good luck. The procedure is very fast without gap thank you</v>
      </c>
    </row>
    <row r="93" ht="15.75" customHeight="1">
      <c r="A93" s="2">
        <v>3.0</v>
      </c>
      <c r="B93" s="2" t="s">
        <v>347</v>
      </c>
      <c r="C93" s="2" t="s">
        <v>348</v>
      </c>
      <c r="D93" s="2" t="s">
        <v>32</v>
      </c>
      <c r="E93" s="2" t="s">
        <v>21</v>
      </c>
      <c r="F93" s="2" t="s">
        <v>15</v>
      </c>
      <c r="G93" s="2" t="s">
        <v>349</v>
      </c>
      <c r="H93" s="2" t="s">
        <v>87</v>
      </c>
      <c r="I93" s="2" t="str">
        <f>IFERROR(__xludf.DUMMYFUNCTION("GOOGLETRANSLATE(C93,""fr"",""en"")"),"Having a bonus of 50 for a few years and not having undergone, claims responsible or not, I would have liked to benefit from a reduction rather than an increase.
Cordially")</f>
        <v>Having a bonus of 50 for a few years and not having undergone, claims responsible or not, I would have liked to benefit from a reduction rather than an increase.
Cordially</v>
      </c>
    </row>
    <row r="94" ht="15.75" customHeight="1">
      <c r="A94" s="2">
        <v>2.0</v>
      </c>
      <c r="B94" s="2" t="s">
        <v>350</v>
      </c>
      <c r="C94" s="2" t="s">
        <v>351</v>
      </c>
      <c r="D94" s="2" t="s">
        <v>32</v>
      </c>
      <c r="E94" s="2" t="s">
        <v>21</v>
      </c>
      <c r="F94" s="2" t="s">
        <v>15</v>
      </c>
      <c r="G94" s="2" t="s">
        <v>352</v>
      </c>
      <c r="H94" s="2" t="s">
        <v>331</v>
      </c>
      <c r="I94" s="2" t="str">
        <f>IFERROR(__xludf.DUMMYFUNCTION("GOOGLETRANSLATE(C94,""fr"",""en"")"),"Assures for two years at direct insurance I have bad experience the big problem not an interlocutor impossible to have explanations especially the prices which
changes without patterns 50 for a hundred bonus has always been allowed since 1966 I wanted
T"&amp;"est I understood I come back to local insurance")</f>
        <v>Assures for two years at direct insurance I have bad experience the big problem not an interlocutor impossible to have explanations especially the prices which
changes without patterns 50 for a hundred bonus has always been allowed since 1966 I wanted
Test I understood I come back to local insurance</v>
      </c>
    </row>
    <row r="95" ht="15.75" customHeight="1">
      <c r="A95" s="2">
        <v>1.0</v>
      </c>
      <c r="B95" s="2" t="s">
        <v>353</v>
      </c>
      <c r="C95" s="2" t="s">
        <v>354</v>
      </c>
      <c r="D95" s="2" t="s">
        <v>122</v>
      </c>
      <c r="E95" s="2" t="s">
        <v>21</v>
      </c>
      <c r="F95" s="2" t="s">
        <v>15</v>
      </c>
      <c r="G95" s="2" t="s">
        <v>355</v>
      </c>
      <c r="H95" s="2" t="s">
        <v>34</v>
      </c>
      <c r="I95" s="2" t="str">
        <f>IFERROR(__xludf.DUMMYFUNCTION("GOOGLETRANSLATE(C95,""fr"",""en"")"),"The Matmut answered me in the form of mail, amazed at the fact that I had dared to give an opinion implied in bad faith when they never deserved in their performance. Apparently unhappy customers have only a low profile right. a good hearing ...")</f>
        <v>The Matmut answered me in the form of mail, amazed at the fact that I had dared to give an opinion implied in bad faith when they never deserved in their performance. Apparently unhappy customers have only a low profile right. a good hearing ...</v>
      </c>
    </row>
    <row r="96" ht="15.75" customHeight="1">
      <c r="A96" s="2">
        <v>1.0</v>
      </c>
      <c r="B96" s="2" t="s">
        <v>356</v>
      </c>
      <c r="C96" s="2" t="s">
        <v>357</v>
      </c>
      <c r="D96" s="2" t="s">
        <v>20</v>
      </c>
      <c r="E96" s="2" t="s">
        <v>21</v>
      </c>
      <c r="F96" s="2" t="s">
        <v>15</v>
      </c>
      <c r="G96" s="2" t="s">
        <v>358</v>
      </c>
      <c r="H96" s="2" t="s">
        <v>29</v>
      </c>
      <c r="I96" s="2" t="str">
        <f>IFERROR(__xludf.DUMMYFUNCTION("GOOGLETRANSLATE(C96,""fr"",""en"")"),"Insurance to avoid, I do not recommend it strongly. He traps you, he does not respect their commitments.")</f>
        <v>Insurance to avoid, I do not recommend it strongly. He traps you, he does not respect their commitments.</v>
      </c>
    </row>
    <row r="97" ht="15.75" customHeight="1">
      <c r="A97" s="2">
        <v>5.0</v>
      </c>
      <c r="B97" s="2" t="s">
        <v>359</v>
      </c>
      <c r="C97" s="2" t="s">
        <v>360</v>
      </c>
      <c r="D97" s="2" t="s">
        <v>75</v>
      </c>
      <c r="E97" s="2" t="s">
        <v>14</v>
      </c>
      <c r="F97" s="2" t="s">
        <v>15</v>
      </c>
      <c r="G97" s="2" t="s">
        <v>199</v>
      </c>
      <c r="H97" s="2" t="s">
        <v>199</v>
      </c>
      <c r="I97" s="2" t="str">
        <f>IFERROR(__xludf.DUMMYFUNCTION("GOOGLETRANSLATE(C97,""fr"",""en"")"),"I am very satisfied with my mutual health and the speakers on the phone are very effective and friendly. Would not change a thing.
 Best regard
")</f>
        <v>I am very satisfied with my mutual health and the speakers on the phone are very effective and friendly. Would not change a thing.
 Best regard
</v>
      </c>
    </row>
    <row r="98" ht="15.75" customHeight="1">
      <c r="A98" s="2">
        <v>3.0</v>
      </c>
      <c r="B98" s="2" t="s">
        <v>361</v>
      </c>
      <c r="C98" s="2" t="s">
        <v>362</v>
      </c>
      <c r="D98" s="2" t="s">
        <v>51</v>
      </c>
      <c r="E98" s="2" t="s">
        <v>52</v>
      </c>
      <c r="F98" s="2" t="s">
        <v>15</v>
      </c>
      <c r="G98" s="2" t="s">
        <v>363</v>
      </c>
      <c r="H98" s="2" t="s">
        <v>44</v>
      </c>
      <c r="I98" s="2" t="str">
        <f>IFERROR(__xludf.DUMMYFUNCTION("GOOGLETRANSLATE(C98,""fr"",""en"")"),"Execrable customer service. People answering the phone are very unpleasant and not professional. Whenever I call them it is the same thing.")</f>
        <v>Execrable customer service. People answering the phone are very unpleasant and not professional. Whenever I call them it is the same thing.</v>
      </c>
    </row>
    <row r="99" ht="15.75" customHeight="1">
      <c r="A99" s="2">
        <v>1.0</v>
      </c>
      <c r="B99" s="2" t="s">
        <v>364</v>
      </c>
      <c r="C99" s="2" t="s">
        <v>365</v>
      </c>
      <c r="D99" s="2" t="s">
        <v>93</v>
      </c>
      <c r="E99" s="2" t="s">
        <v>27</v>
      </c>
      <c r="F99" s="2" t="s">
        <v>15</v>
      </c>
      <c r="G99" s="2" t="s">
        <v>82</v>
      </c>
      <c r="H99" s="2" t="s">
        <v>82</v>
      </c>
      <c r="I99" s="2" t="str">
        <f>IFERROR(__xludf.DUMMYFUNCTION("GOOGLETRANSLATE(C99,""fr"",""en"")"),"They promised 2.5% mini per year to maintain the purchasing power ,, in fact now it's negative ,, that is normal ????? it is better to go elsewhere for any placement")</f>
        <v>They promised 2.5% mini per year to maintain the purchasing power ,, in fact now it's negative ,, that is normal ????? it is better to go elsewhere for any placement</v>
      </c>
    </row>
    <row r="100" ht="15.75" customHeight="1">
      <c r="A100" s="2">
        <v>2.0</v>
      </c>
      <c r="B100" s="2" t="s">
        <v>366</v>
      </c>
      <c r="C100" s="2" t="s">
        <v>367</v>
      </c>
      <c r="D100" s="2" t="s">
        <v>37</v>
      </c>
      <c r="E100" s="2" t="s">
        <v>21</v>
      </c>
      <c r="F100" s="2" t="s">
        <v>15</v>
      </c>
      <c r="G100" s="2" t="s">
        <v>368</v>
      </c>
      <c r="H100" s="2" t="s">
        <v>99</v>
      </c>
      <c r="I100" s="2" t="str">
        <f>IFERROR(__xludf.DUMMYFUNCTION("GOOGLETRANSLATE(C100,""fr"",""en"")"),"Hello, after 4 years of car insurance all risk at Eurofil, and 1 sinister partial manager, with a premium departure at 342 euros, I find a lot of coffee, my 2021 subscription, at 478, euros, and with this, no Partial reimbursement of premium, cause confin"&amp;"itation COVVI (super ...) Customer witnesses having had 2 claims in the year and .... ejected from the company, without discussion beforehand, really, you have to pay to be in order With the law, but nothing more .... the customer a simple milk cow, today"&amp;", it is decided, I am to this company without regret and advises any clients to weigh well for and against ... A good hearing.")</f>
        <v>Hello, after 4 years of car insurance all risk at Eurofil, and 1 sinister partial manager, with a premium departure at 342 euros, I find a lot of coffee, my 2021 subscription, at 478, euros, and with this, no Partial reimbursement of premium, cause confinitation COVVI (super ...) Customer witnesses having had 2 claims in the year and .... ejected from the company, without discussion beforehand, really, you have to pay to be in order With the law, but nothing more .... the customer a simple milk cow, today, it is decided, I am to this company without regret and advises any clients to weigh well for and against ... A good hearing.</v>
      </c>
    </row>
    <row r="101" ht="15.75" customHeight="1">
      <c r="A101" s="2">
        <v>1.0</v>
      </c>
      <c r="B101" s="2" t="s">
        <v>369</v>
      </c>
      <c r="C101" s="2" t="s">
        <v>370</v>
      </c>
      <c r="D101" s="2" t="s">
        <v>371</v>
      </c>
      <c r="E101" s="2" t="s">
        <v>52</v>
      </c>
      <c r="F101" s="2" t="s">
        <v>15</v>
      </c>
      <c r="G101" s="2" t="s">
        <v>372</v>
      </c>
      <c r="H101" s="2" t="s">
        <v>82</v>
      </c>
      <c r="I101" s="2" t="str">
        <f>IFERROR(__xludf.DUMMYFUNCTION("GOOGLETRANSLATE(C101,""fr"",""en"")"),"I was insured with them for a year, no accident, I have always paid in time. I sold my vehicle in July 2016 I therefore sent the act of sale afterwards in simple mail, a big mistake on my part. In September 2016 I was still levied I therefore called to un"&amp;"derstand why and they then told me that they had never received the act of sale when I had informed them by phone in July during the Purchase of another motorcycle to be insured at home. Time to find the buyer and take steps with the prefecture I could no"&amp;"t return a duplicate of sale in January 2017. No understanding on their part no commercial gesture when the reception error of the first certificate could very well come from their service I found myself losing € 210 and admits having too much perceived o"&amp;"f this sum but they intend to keep it. Very disappointed with this insurance I can assure you that I will never go back and working in a garage I will share my experience. To conclude I strongly advise against it.")</f>
        <v>I was insured with them for a year, no accident, I have always paid in time. I sold my vehicle in July 2016 I therefore sent the act of sale afterwards in simple mail, a big mistake on my part. In September 2016 I was still levied I therefore called to understand why and they then told me that they had never received the act of sale when I had informed them by phone in July during the Purchase of another motorcycle to be insured at home. Time to find the buyer and take steps with the prefecture I could not return a duplicate of sale in January 2017. No understanding on their part no commercial gesture when the reception error of the first certificate could very well come from their service I found myself losing € 210 and admits having too much perceived of this sum but they intend to keep it. Very disappointed with this insurance I can assure you that I will never go back and working in a garage I will share my experience. To conclude I strongly advise against it.</v>
      </c>
    </row>
    <row r="102" ht="15.75" customHeight="1">
      <c r="A102" s="2">
        <v>4.0</v>
      </c>
      <c r="B102" s="2" t="s">
        <v>373</v>
      </c>
      <c r="C102" s="2" t="s">
        <v>374</v>
      </c>
      <c r="D102" s="2" t="s">
        <v>20</v>
      </c>
      <c r="E102" s="2" t="s">
        <v>21</v>
      </c>
      <c r="F102" s="2" t="s">
        <v>15</v>
      </c>
      <c r="G102" s="2" t="s">
        <v>129</v>
      </c>
      <c r="H102" s="2" t="s">
        <v>54</v>
      </c>
      <c r="I102" s="2" t="str">
        <f>IFERROR(__xludf.DUMMYFUNCTION("GOOGLETRANSLATE(C102,""fr"",""en"")"),"Juliette of the sales department to accompany me perfectly during my call until the subscription of my contract. Pleasant web interface, to see for the future but I have no doubt about the services of your insurance.")</f>
        <v>Juliette of the sales department to accompany me perfectly during my call until the subscription of my contract. Pleasant web interface, to see for the future but I have no doubt about the services of your insurance.</v>
      </c>
    </row>
    <row r="103" ht="15.75" customHeight="1">
      <c r="A103" s="2">
        <v>2.0</v>
      </c>
      <c r="B103" s="2" t="s">
        <v>375</v>
      </c>
      <c r="C103" s="2" t="s">
        <v>376</v>
      </c>
      <c r="D103" s="2" t="s">
        <v>13</v>
      </c>
      <c r="E103" s="2" t="s">
        <v>14</v>
      </c>
      <c r="F103" s="2" t="s">
        <v>15</v>
      </c>
      <c r="G103" s="2" t="s">
        <v>377</v>
      </c>
      <c r="H103" s="2" t="s">
        <v>378</v>
      </c>
      <c r="I103" s="2" t="str">
        <f>IFERROR(__xludf.DUMMYFUNCTION("GOOGLETRANSLATE(C103,""fr"",""en"")"),"This day, I was looking for a new mutual on the Internet when my phone rings. He was a broker for Santiane. He offers me a quote that he explains perfectly to me. He tells me send me an email from the quote, but the email does not happen. After several ch"&amp;"ecks still no email. After an hour of discussion, he tells me send me an email containing the contract to sign, but still no email. He invites me to go to the site, gives me codes and here I am in the presence of the contract on my screen. He explains the"&amp;" contract to me, resumes the points, asks me to check boxes, asks me my IBAN then said to me ""here you just have to click at the bottom of the page on"" Sign my contract "". late I understood that I was manipulating myself and I got strongly upset. Being"&amp;" unable to be listened to, I hung up after warning it, and there was one Multitudes of calls. The emails have still not arrived, I checked my mailbox and it works perfectly. I conclude that the emails have not been sent so as not to give me time to think "&amp;"and me Bringing gently to sign a contract without noticing too much. In conclusion, it is imperative to remain vigilant. In addition, I will make a file for UFC Que Choisir.")</f>
        <v>This day, I was looking for a new mutual on the Internet when my phone rings. He was a broker for Santiane. He offers me a quote that he explains perfectly to me. He tells me send me an email from the quote, but the email does not happen. After several checks still no email. After an hour of discussion, he tells me send me an email containing the contract to sign, but still no email. He invites me to go to the site, gives me codes and here I am in the presence of the contract on my screen. He explains the contract to me, resumes the points, asks me to check boxes, asks me my IBAN then said to me "here you just have to click at the bottom of the page on" Sign my contract ". late I understood that I was manipulating myself and I got strongly upset. Being unable to be listened to, I hung up after warning it, and there was one Multitudes of calls. The emails have still not arrived, I checked my mailbox and it works perfectly. I conclude that the emails have not been sent so as not to give me time to think and me Bringing gently to sign a contract without noticing too much. In conclusion, it is imperative to remain vigilant. In addition, I will make a file for UFC Que Choisir.</v>
      </c>
    </row>
    <row r="104" ht="15.75" customHeight="1">
      <c r="A104" s="2">
        <v>4.0</v>
      </c>
      <c r="B104" s="2" t="s">
        <v>379</v>
      </c>
      <c r="C104" s="2" t="s">
        <v>380</v>
      </c>
      <c r="D104" s="2" t="s">
        <v>20</v>
      </c>
      <c r="E104" s="2" t="s">
        <v>21</v>
      </c>
      <c r="F104" s="2" t="s">
        <v>15</v>
      </c>
      <c r="G104" s="2" t="s">
        <v>381</v>
      </c>
      <c r="H104" s="2" t="s">
        <v>179</v>
      </c>
      <c r="I104" s="2" t="str">
        <f>IFERROR(__xludf.DUMMYFUNCTION("GOOGLETRANSLATE(C104,""fr"",""en"")"),"I am very satisfied with the services offered by the Olivier Assurance.
The price they offer is suitable and interesting.
They are listening, I recommend them.")</f>
        <v>I am very satisfied with the services offered by the Olivier Assurance.
The price they offer is suitable and interesting.
They are listening, I recommend them.</v>
      </c>
    </row>
    <row r="105" ht="15.75" customHeight="1">
      <c r="A105" s="2">
        <v>3.0</v>
      </c>
      <c r="B105" s="2" t="s">
        <v>382</v>
      </c>
      <c r="C105" s="2" t="s">
        <v>383</v>
      </c>
      <c r="D105" s="2" t="s">
        <v>75</v>
      </c>
      <c r="E105" s="2" t="s">
        <v>14</v>
      </c>
      <c r="F105" s="2" t="s">
        <v>15</v>
      </c>
      <c r="G105" s="2" t="s">
        <v>384</v>
      </c>
      <c r="H105" s="2" t="s">
        <v>385</v>
      </c>
      <c r="I105" s="2" t="str">
        <f>IFERROR(__xludf.DUMMYFUNCTION("GOOGLETRANSLATE(C105,""fr"",""en"")"),"The reception of advisers is always very courteous and professional")</f>
        <v>The reception of advisers is always very courteous and professional</v>
      </c>
    </row>
    <row r="106" ht="15.75" customHeight="1">
      <c r="A106" s="2">
        <v>5.0</v>
      </c>
      <c r="B106" s="2" t="s">
        <v>386</v>
      </c>
      <c r="C106" s="2" t="s">
        <v>387</v>
      </c>
      <c r="D106" s="2" t="s">
        <v>20</v>
      </c>
      <c r="E106" s="2" t="s">
        <v>21</v>
      </c>
      <c r="F106" s="2" t="s">
        <v>15</v>
      </c>
      <c r="G106" s="2" t="s">
        <v>388</v>
      </c>
      <c r="H106" s="2" t="s">
        <v>54</v>
      </c>
      <c r="I106" s="2" t="str">
        <f>IFERROR(__xludf.DUMMYFUNCTION("GOOGLETRANSLATE(C106,""fr"",""en"")"),"Very friendly advisor with clear explanations and taking our very satisfactory requests, very good listening to our needs. I recommend")</f>
        <v>Very friendly advisor with clear explanations and taking our very satisfactory requests, very good listening to our needs. I recommend</v>
      </c>
    </row>
    <row r="107" ht="15.75" customHeight="1">
      <c r="A107" s="2">
        <v>4.0</v>
      </c>
      <c r="B107" s="2" t="s">
        <v>389</v>
      </c>
      <c r="C107" s="2" t="s">
        <v>390</v>
      </c>
      <c r="D107" s="2" t="s">
        <v>32</v>
      </c>
      <c r="E107" s="2" t="s">
        <v>21</v>
      </c>
      <c r="F107" s="2" t="s">
        <v>15</v>
      </c>
      <c r="G107" s="2" t="s">
        <v>391</v>
      </c>
      <c r="H107" s="2" t="s">
        <v>54</v>
      </c>
      <c r="I107" s="2" t="str">
        <f>IFERROR(__xludf.DUMMYFUNCTION("GOOGLETRANSLATE(C107,""fr"",""en"")"),"I am currently satisfied with ease and simplicity of subscription. I am awaiting the effectiveness of the Youdrive system and the price reduction that will result from it.
")</f>
        <v>I am currently satisfied with ease and simplicity of subscription. I am awaiting the effectiveness of the Youdrive system and the price reduction that will result from it.
</v>
      </c>
    </row>
    <row r="108" ht="15.75" customHeight="1">
      <c r="A108" s="2">
        <v>1.0</v>
      </c>
      <c r="B108" s="2" t="s">
        <v>392</v>
      </c>
      <c r="C108" s="2" t="s">
        <v>393</v>
      </c>
      <c r="D108" s="2" t="s">
        <v>20</v>
      </c>
      <c r="E108" s="2" t="s">
        <v>21</v>
      </c>
      <c r="F108" s="2" t="s">
        <v>15</v>
      </c>
      <c r="G108" s="2" t="s">
        <v>182</v>
      </c>
      <c r="H108" s="2" t="s">
        <v>183</v>
      </c>
      <c r="I108" s="2" t="str">
        <f>IFERROR(__xludf.DUMMYFUNCTION("GOOGLETRANSLATE(C108,""fr"",""en"")"),"I made a quote I corrected the quote did not take into account the change must pay 15 € + 15 of an increase in normal customer service does not take into account our opinion or error or BUG BUG")</f>
        <v>I made a quote I corrected the quote did not take into account the change must pay 15 € + 15 of an increase in normal customer service does not take into account our opinion or error or BUG BUG</v>
      </c>
    </row>
    <row r="109" ht="15.75" customHeight="1">
      <c r="A109" s="2">
        <v>4.0</v>
      </c>
      <c r="B109" s="2" t="s">
        <v>394</v>
      </c>
      <c r="C109" s="2" t="s">
        <v>395</v>
      </c>
      <c r="D109" s="2" t="s">
        <v>20</v>
      </c>
      <c r="E109" s="2" t="s">
        <v>21</v>
      </c>
      <c r="F109" s="2" t="s">
        <v>15</v>
      </c>
      <c r="G109" s="2" t="s">
        <v>396</v>
      </c>
      <c r="H109" s="2" t="s">
        <v>23</v>
      </c>
      <c r="I109" s="2" t="str">
        <f>IFERROR(__xludf.DUMMYFUNCTION("GOOGLETRANSLATE(C109,""fr"",""en"")"),"Super responsiveness and super recommended on the phone. To advise strongly. To see for other home and or AAV insurance and or school insurance")</f>
        <v>Super responsiveness and super recommended on the phone. To advise strongly. To see for other home and or AAV insurance and or school insurance</v>
      </c>
    </row>
    <row r="110" ht="15.75" customHeight="1">
      <c r="A110" s="2">
        <v>3.0</v>
      </c>
      <c r="B110" s="2" t="s">
        <v>397</v>
      </c>
      <c r="C110" s="2" t="s">
        <v>398</v>
      </c>
      <c r="D110" s="2" t="s">
        <v>32</v>
      </c>
      <c r="E110" s="2" t="s">
        <v>21</v>
      </c>
      <c r="F110" s="2" t="s">
        <v>15</v>
      </c>
      <c r="G110" s="2" t="s">
        <v>399</v>
      </c>
      <c r="H110" s="2" t="s">
        <v>38</v>
      </c>
      <c r="I110" s="2" t="str">
        <f>IFERROR(__xludf.DUMMYFUNCTION("GOOGLETRANSLATE(C110,""fr"",""en"")"),"Satisfied but I no longer have a lot of battery. I hope to have a good service by engaging at home. Thank you for your understanding. Saraiva Sebastien")</f>
        <v>Satisfied but I no longer have a lot of battery. I hope to have a good service by engaging at home. Thank you for your understanding. Saraiva Sebastien</v>
      </c>
    </row>
    <row r="111" ht="15.75" customHeight="1">
      <c r="A111" s="2">
        <v>2.0</v>
      </c>
      <c r="B111" s="2" t="s">
        <v>400</v>
      </c>
      <c r="C111" s="2" t="s">
        <v>401</v>
      </c>
      <c r="D111" s="2" t="s">
        <v>26</v>
      </c>
      <c r="E111" s="2" t="s">
        <v>27</v>
      </c>
      <c r="F111" s="2" t="s">
        <v>15</v>
      </c>
      <c r="G111" s="2" t="s">
        <v>402</v>
      </c>
      <c r="H111" s="2" t="s">
        <v>110</v>
      </c>
      <c r="I111" s="2" t="str">
        <f>IFERROR(__xludf.DUMMYFUNCTION("GOOGLETRANSLATE(C111,""fr"",""en"")"),"I have been waiting for news from AFER ... nothing after multiple reminders, very worrying, what happens? Not even an acknowledgment of receipt of my multiple Couriers. Next step, I make a scandal at the headquarters!")</f>
        <v>I have been waiting for news from AFER ... nothing after multiple reminders, very worrying, what happens? Not even an acknowledgment of receipt of my multiple Couriers. Next step, I make a scandal at the headquarters!</v>
      </c>
    </row>
    <row r="112" ht="15.75" customHeight="1">
      <c r="A112" s="2">
        <v>5.0</v>
      </c>
      <c r="B112" s="2" t="s">
        <v>403</v>
      </c>
      <c r="C112" s="2" t="s">
        <v>404</v>
      </c>
      <c r="D112" s="2" t="s">
        <v>13</v>
      </c>
      <c r="E112" s="2" t="s">
        <v>14</v>
      </c>
      <c r="F112" s="2" t="s">
        <v>15</v>
      </c>
      <c r="G112" s="2" t="s">
        <v>405</v>
      </c>
      <c r="H112" s="2" t="s">
        <v>406</v>
      </c>
      <c r="I112" s="2" t="str">
        <f>IFERROR(__xludf.DUMMYFUNCTION("GOOGLETRANSLATE(C112,""fr"",""en"")"),"very good understanding of the problems with very fast resolution on their part
Very good search for the right mutual adapted to the family composition and the needs of each
I highly recommend
")</f>
        <v>very good understanding of the problems with very fast resolution on their part
Very good search for the right mutual adapted to the family composition and the needs of each
I highly recommend
</v>
      </c>
    </row>
    <row r="113" ht="15.75" customHeight="1">
      <c r="A113" s="2">
        <v>4.0</v>
      </c>
      <c r="B113" s="2" t="s">
        <v>407</v>
      </c>
      <c r="C113" s="2" t="s">
        <v>408</v>
      </c>
      <c r="D113" s="2" t="s">
        <v>32</v>
      </c>
      <c r="E113" s="2" t="s">
        <v>21</v>
      </c>
      <c r="F113" s="2" t="s">
        <v>15</v>
      </c>
      <c r="G113" s="2" t="s">
        <v>409</v>
      </c>
      <c r="H113" s="2" t="s">
        <v>54</v>
      </c>
      <c r="I113" s="2" t="str">
        <f>IFERROR(__xludf.DUMMYFUNCTION("GOOGLETRANSLATE(C113,""fr"",""en"")"),"I am satisfied with the service and satisfied with the price and the speed. And given guarantees. To offer to other person. Hoping that the rest is the same.")</f>
        <v>I am satisfied with the service and satisfied with the price and the speed. And given guarantees. To offer to other person. Hoping that the rest is the same.</v>
      </c>
    </row>
    <row r="114" ht="15.75" customHeight="1">
      <c r="A114" s="2">
        <v>5.0</v>
      </c>
      <c r="B114" s="2" t="s">
        <v>410</v>
      </c>
      <c r="C114" s="2" t="s">
        <v>411</v>
      </c>
      <c r="D114" s="2" t="s">
        <v>146</v>
      </c>
      <c r="E114" s="2" t="s">
        <v>52</v>
      </c>
      <c r="F114" s="2" t="s">
        <v>15</v>
      </c>
      <c r="G114" s="2" t="s">
        <v>412</v>
      </c>
      <c r="H114" s="2" t="s">
        <v>23</v>
      </c>
      <c r="I114" s="2" t="str">
        <f>IFERROR(__xludf.DUMMYFUNCTION("GOOGLETRANSLATE(C114,""fr"",""en"")"),"I am delighted with services and price;
I hope I have no unpleasant surprises afterwards. In the meantime I recommended my friends.
Cordially")</f>
        <v>I am delighted with services and price;
I hope I have no unpleasant surprises afterwards. In the meantime I recommended my friends.
Cordially</v>
      </c>
    </row>
    <row r="115" ht="15.75" customHeight="1">
      <c r="A115" s="2">
        <v>2.0</v>
      </c>
      <c r="B115" s="2" t="s">
        <v>413</v>
      </c>
      <c r="C115" s="2" t="s">
        <v>414</v>
      </c>
      <c r="D115" s="2" t="s">
        <v>113</v>
      </c>
      <c r="E115" s="2" t="s">
        <v>21</v>
      </c>
      <c r="F115" s="2" t="s">
        <v>15</v>
      </c>
      <c r="G115" s="2" t="s">
        <v>415</v>
      </c>
      <c r="H115" s="2" t="s">
        <v>188</v>
      </c>
      <c r="I115" s="2" t="str">
        <f>IFERROR(__xludf.DUMMYFUNCTION("GOOGLETRANSLATE(C115,""fr"",""en"")"),"A la maif for 25 years. I was dealing with them for 2 problems. : Water damage and sliding break. In both cases, a refusal of care ... The MAIF is a militant insurer who campaigns to put money in the pockets without ever paying it for his insured ... to f"&amp;"lee")</f>
        <v>A la maif for 25 years. I was dealing with them for 2 problems. : Water damage and sliding break. In both cases, a refusal of care ... The MAIF is a militant insurer who campaigns to put money in the pockets without ever paying it for his insured ... to flee</v>
      </c>
    </row>
    <row r="116" ht="15.75" customHeight="1">
      <c r="A116" s="2">
        <v>5.0</v>
      </c>
      <c r="B116" s="2" t="s">
        <v>416</v>
      </c>
      <c r="C116" s="2" t="s">
        <v>417</v>
      </c>
      <c r="D116" s="2" t="s">
        <v>93</v>
      </c>
      <c r="E116" s="2" t="s">
        <v>21</v>
      </c>
      <c r="F116" s="2" t="s">
        <v>15</v>
      </c>
      <c r="G116" s="2" t="s">
        <v>418</v>
      </c>
      <c r="H116" s="2" t="s">
        <v>418</v>
      </c>
      <c r="I116" s="2" t="str">
        <f>IFERROR(__xludf.DUMMYFUNCTION("GOOGLETRANSLATE(C116,""fr"",""en"")"),"I live in St Martin, I had to face the Irma cyclone, so I made a disaster declaration of Cat.nat. Online for my damaged car which generated an email accusing reception with reference of the sinister file
I had to be absent for several months in metropoli"&amp;"tan France, when I returned in January I pay my insurance renewal has expired since November but it has not posed a problem, the reception hostess gave me The coordinates of the expert I went to see to see the disaster, and I received a call 8 days ago te"&amp;"lling me that my compensation check was ready at the agency.
Bravo Allianz St Martin for your professionalism!")</f>
        <v>I live in St Martin, I had to face the Irma cyclone, so I made a disaster declaration of Cat.nat. Online for my damaged car which generated an email accusing reception with reference of the sinister file
I had to be absent for several months in metropolitan France, when I returned in January I pay my insurance renewal has expired since November but it has not posed a problem, the reception hostess gave me The coordinates of the expert I went to see to see the disaster, and I received a call 8 days ago telling me that my compensation check was ready at the agency.
Bravo Allianz St Martin for your professionalism!</v>
      </c>
    </row>
    <row r="117" ht="15.75" customHeight="1">
      <c r="A117" s="2">
        <v>2.0</v>
      </c>
      <c r="B117" s="2" t="s">
        <v>419</v>
      </c>
      <c r="C117" s="2" t="s">
        <v>420</v>
      </c>
      <c r="D117" s="2" t="s">
        <v>222</v>
      </c>
      <c r="E117" s="2" t="s">
        <v>21</v>
      </c>
      <c r="F117" s="2" t="s">
        <v>15</v>
      </c>
      <c r="G117" s="2" t="s">
        <v>421</v>
      </c>
      <c r="H117" s="2" t="s">
        <v>422</v>
      </c>
      <c r="I117" s="2" t="str">
        <f>IFERROR(__xludf.DUMMYFUNCTION("GOOGLETRANSLATE(C117,""fr"",""en"")"),"We have provided one of our vehicles at AXA via our broker. At the sale of this vehicle we did the necessary with our broker, but it had meanwhile closed its doors. So we returned to the Axa platform ... I was told that as I went through a broker you coul"&amp;"d not do anything for me (even if this one closed ...) he m 'It was even said that you were neither concerned nor responsible for what the brokers sold on behalf of your society ... and that if I was not happy I had only went elsewhere. I was asked to mak"&amp;"e an email to your customer service (answer within 40 days !!!) and while waiting for our new vehicle cannot be insured because I need an information statement that no one wants to provide me !! !")</f>
        <v>We have provided one of our vehicles at AXA via our broker. At the sale of this vehicle we did the necessary with our broker, but it had meanwhile closed its doors. So we returned to the Axa platform ... I was told that as I went through a broker you could not do anything for me (even if this one closed ...) he m 'It was even said that you were neither concerned nor responsible for what the brokers sold on behalf of your society ... and that if I was not happy I had only went elsewhere. I was asked to make an email to your customer service (answer within 40 days !!!) and while waiting for our new vehicle cannot be insured because I need an information statement that no one wants to provide me !! !</v>
      </c>
    </row>
    <row r="118" ht="15.75" customHeight="1">
      <c r="A118" s="2">
        <v>5.0</v>
      </c>
      <c r="B118" s="2" t="s">
        <v>423</v>
      </c>
      <c r="C118" s="2" t="s">
        <v>424</v>
      </c>
      <c r="D118" s="2" t="s">
        <v>32</v>
      </c>
      <c r="E118" s="2" t="s">
        <v>21</v>
      </c>
      <c r="F118" s="2" t="s">
        <v>15</v>
      </c>
      <c r="G118" s="2" t="s">
        <v>425</v>
      </c>
      <c r="H118" s="2" t="s">
        <v>38</v>
      </c>
      <c r="I118" s="2" t="str">
        <f>IFERROR(__xludf.DUMMYFUNCTION("GOOGLETRANSLATE(C118,""fr"",""en"")"),"I am satisfied with the service that you offer me quickly, it is simple and effective I am delighted with the value for money it was not complicated understandable understandable")</f>
        <v>I am satisfied with the service that you offer me quickly, it is simple and effective I am delighted with the value for money it was not complicated understandable understandable</v>
      </c>
    </row>
    <row r="119" ht="15.75" customHeight="1">
      <c r="A119" s="2">
        <v>1.0</v>
      </c>
      <c r="B119" s="2" t="s">
        <v>426</v>
      </c>
      <c r="C119" s="2" t="s">
        <v>427</v>
      </c>
      <c r="D119" s="2" t="s">
        <v>41</v>
      </c>
      <c r="E119" s="2" t="s">
        <v>52</v>
      </c>
      <c r="F119" s="2" t="s">
        <v>15</v>
      </c>
      <c r="G119" s="2" t="s">
        <v>428</v>
      </c>
      <c r="H119" s="2" t="s">
        <v>295</v>
      </c>
      <c r="I119" s="2" t="str">
        <f>IFERROR(__xludf.DUMMYFUNCTION("GOOGLETRANSLATE(C119,""fr"",""en"")"),"Despite mail letters concerning MAFF termination continued to take very poor management of insured prices between 50 and 100% more expensive than competition")</f>
        <v>Despite mail letters concerning MAFF termination continued to take very poor management of insured prices between 50 and 100% more expensive than competition</v>
      </c>
    </row>
    <row r="120" ht="15.75" customHeight="1">
      <c r="A120" s="2">
        <v>5.0</v>
      </c>
      <c r="B120" s="2" t="s">
        <v>429</v>
      </c>
      <c r="C120" s="2" t="s">
        <v>430</v>
      </c>
      <c r="D120" s="2" t="s">
        <v>20</v>
      </c>
      <c r="E120" s="2" t="s">
        <v>21</v>
      </c>
      <c r="F120" s="2" t="s">
        <v>15</v>
      </c>
      <c r="G120" s="2" t="s">
        <v>431</v>
      </c>
      <c r="H120" s="2" t="s">
        <v>95</v>
      </c>
      <c r="I120" s="2" t="str">
        <f>IFERROR(__xludf.DUMMYFUNCTION("GOOGLETRANSLATE(C120,""fr"",""en"")"),"I am satisfied with the assurance taken.A price and telecommunications level.
The steps are quite simple and easy for procedures.
The sending of documents and signatures are carried out easily.")</f>
        <v>I am satisfied with the assurance taken.A price and telecommunications level.
The steps are quite simple and easy for procedures.
The sending of documents and signatures are carried out easily.</v>
      </c>
    </row>
    <row r="121" ht="15.75" customHeight="1">
      <c r="A121" s="2">
        <v>1.0</v>
      </c>
      <c r="B121" s="2" t="s">
        <v>432</v>
      </c>
      <c r="C121" s="2" t="s">
        <v>433</v>
      </c>
      <c r="D121" s="2" t="s">
        <v>434</v>
      </c>
      <c r="E121" s="2" t="s">
        <v>128</v>
      </c>
      <c r="F121" s="2" t="s">
        <v>15</v>
      </c>
      <c r="G121" s="2" t="s">
        <v>435</v>
      </c>
      <c r="H121" s="2" t="s">
        <v>276</v>
      </c>
      <c r="I121" s="2" t="str">
        <f>IFERROR(__xludf.DUMMYFUNCTION("GOOGLETRANSLATE(C121,""fr"",""en"")"),"I have just finished my last due September 2017 loan, I am responsible for a bank of real estate funding especially not to work with them !!!!! I saw 2 experts from their home no respect for back problem nothing to make the expert filled out the file that"&amp;" he has given the insurance. From questions nothing to do with the subject ex: diplomas how many children and various other questions and it drags in length when you can no longer sit down so much you have badly !!! obligation to ask for a counter experti"&amp;"se obtained after having called To a lawyer in January 2016 and I am today in 2nd category disability, moreover I have just finished my treatment started at the start of the year for breast cancer. Sorry if I am not profitable !!!
And difficult to have a"&amp;"n unacceptable interlocutor on the phone. Study well before subscribing to them")</f>
        <v>I have just finished my last due September 2017 loan, I am responsible for a bank of real estate funding especially not to work with them !!!!! I saw 2 experts from their home no respect for back problem nothing to make the expert filled out the file that he has given the insurance. From questions nothing to do with the subject ex: diplomas how many children and various other questions and it drags in length when you can no longer sit down so much you have badly !!! obligation to ask for a counter expertise obtained after having called To a lawyer in January 2016 and I am today in 2nd category disability, moreover I have just finished my treatment started at the start of the year for breast cancer. Sorry if I am not profitable !!!
And difficult to have an unacceptable interlocutor on the phone. Study well before subscribing to them</v>
      </c>
    </row>
    <row r="122" ht="15.75" customHeight="1">
      <c r="A122" s="2">
        <v>5.0</v>
      </c>
      <c r="B122" s="2" t="s">
        <v>436</v>
      </c>
      <c r="C122" s="2" t="s">
        <v>437</v>
      </c>
      <c r="D122" s="2" t="s">
        <v>32</v>
      </c>
      <c r="E122" s="2" t="s">
        <v>21</v>
      </c>
      <c r="F122" s="2" t="s">
        <v>15</v>
      </c>
      <c r="G122" s="2" t="s">
        <v>208</v>
      </c>
      <c r="H122" s="2" t="s">
        <v>58</v>
      </c>
      <c r="I122" s="2" t="str">
        <f>IFERROR(__xludf.DUMMYFUNCTION("GOOGLETRANSLATE(C122,""fr"",""en"")"),"Execution speed and available on the top weekend, I am satisfied and I hope the ETR afterwards, fast online subscription and telephone service too")</f>
        <v>Execution speed and available on the top weekend, I am satisfied and I hope the ETR afterwards, fast online subscription and telephone service too</v>
      </c>
    </row>
    <row r="123" ht="15.75" customHeight="1">
      <c r="A123" s="2">
        <v>5.0</v>
      </c>
      <c r="B123" s="2" t="s">
        <v>438</v>
      </c>
      <c r="C123" s="2" t="s">
        <v>439</v>
      </c>
      <c r="D123" s="2" t="s">
        <v>51</v>
      </c>
      <c r="E123" s="2" t="s">
        <v>52</v>
      </c>
      <c r="F123" s="2" t="s">
        <v>15</v>
      </c>
      <c r="G123" s="2" t="s">
        <v>440</v>
      </c>
      <c r="H123" s="2" t="s">
        <v>38</v>
      </c>
      <c r="I123" s="2" t="str">
        <f>IFERROR(__xludf.DUMMYFUNCTION("GOOGLETRANSLATE(C123,""fr"",""en"")"),"Very satisfied with the service, a very fast and efficient service, very simple and well presented, I recommend AMV for secure and optimized online membership")</f>
        <v>Very satisfied with the service, a very fast and efficient service, very simple and well presented, I recommend AMV for secure and optimized online membership</v>
      </c>
    </row>
    <row r="124" ht="15.75" customHeight="1">
      <c r="A124" s="2">
        <v>4.0</v>
      </c>
      <c r="B124" s="2" t="s">
        <v>441</v>
      </c>
      <c r="C124" s="2" t="s">
        <v>442</v>
      </c>
      <c r="D124" s="2" t="s">
        <v>20</v>
      </c>
      <c r="E124" s="2" t="s">
        <v>21</v>
      </c>
      <c r="F124" s="2" t="s">
        <v>15</v>
      </c>
      <c r="G124" s="2" t="s">
        <v>443</v>
      </c>
      <c r="H124" s="2" t="s">
        <v>48</v>
      </c>
      <c r="I124" s="2" t="str">
        <f>IFERROR(__xludf.DUMMYFUNCTION("GOOGLETRANSLATE(C124,""fr"",""en"")"),"Too bad the bug site when signing the contract, it makes you waste a lot of time for something that could be done quickly, otherwise the prices are good")</f>
        <v>Too bad the bug site when signing the contract, it makes you waste a lot of time for something that could be done quickly, otherwise the prices are good</v>
      </c>
    </row>
    <row r="125" ht="15.75" customHeight="1">
      <c r="A125" s="2">
        <v>3.0</v>
      </c>
      <c r="B125" s="2" t="s">
        <v>444</v>
      </c>
      <c r="C125" s="2" t="s">
        <v>445</v>
      </c>
      <c r="D125" s="2" t="s">
        <v>106</v>
      </c>
      <c r="E125" s="2" t="s">
        <v>14</v>
      </c>
      <c r="F125" s="2" t="s">
        <v>15</v>
      </c>
      <c r="G125" s="2" t="s">
        <v>446</v>
      </c>
      <c r="H125" s="2" t="s">
        <v>447</v>
      </c>
      <c r="I125" s="2" t="str">
        <f>IFERROR(__xludf.DUMMYFUNCTION("GOOGLETRANSLATE(C125,""fr"",""en"")"),"I am currently ensuring the penalty pennies neoliane and I am very surprised by certain comments that I have just read.
Indeed, Neoliane allows me to benefit from certain rights that my mutual did not allow me and with contributions which are not necessa"&amp;"rily excessive !!!")</f>
        <v>I am currently ensuring the penalty pennies neoliane and I am very surprised by certain comments that I have just read.
Indeed, Neoliane allows me to benefit from certain rights that my mutual did not allow me and with contributions which are not necessarily excessive !!!</v>
      </c>
    </row>
    <row r="126" ht="15.75" customHeight="1">
      <c r="A126" s="2">
        <v>2.0</v>
      </c>
      <c r="B126" s="2" t="s">
        <v>448</v>
      </c>
      <c r="C126" s="2" t="s">
        <v>449</v>
      </c>
      <c r="D126" s="2" t="s">
        <v>186</v>
      </c>
      <c r="E126" s="2" t="s">
        <v>42</v>
      </c>
      <c r="F126" s="2" t="s">
        <v>15</v>
      </c>
      <c r="G126" s="2" t="s">
        <v>450</v>
      </c>
      <c r="H126" s="2" t="s">
        <v>95</v>
      </c>
      <c r="I126" s="2" t="str">
        <f>IFERROR(__xludf.DUMMYFUNCTION("GOOGLETRANSLATE(C126,""fr"",""en"")"),"We were victims of lightning on May 5, 2020, triggering a little vague procedures at the start. After insistence they assigned me a prime contractor to follow the work. Error not to be made, take an independent even if it means paying part of your pocket."&amp;"
They made me sign a ""site management agreement"" it would have been better to call it ""is there pilot on the site"".
The project manager first refused that I bring quotes competitor on the pretext that if he takes care of the file then it is up to hi"&amp;"m to put the competent companies in place. I knew afterwards that it is simply ""illegal"".
And I am not talking about the management of the totally nonexistent site, since one of the responses of the M-Oeuvre, was to tell me that he was not going to spe"&amp;"nd every month on my site.
In short, it has been more than a year since the file is open, I do not have a lot of direct reproach to Pacifica but their work company Viaren is a disaster. So courage Fuiez")</f>
        <v>We were victims of lightning on May 5, 2020, triggering a little vague procedures at the start. After insistence they assigned me a prime contractor to follow the work. Error not to be made, take an independent even if it means paying part of your pocket.
They made me sign a "site management agreement" it would have been better to call it "is there pilot on the site".
The project manager first refused that I bring quotes competitor on the pretext that if he takes care of the file then it is up to him to put the competent companies in place. I knew afterwards that it is simply "illegal".
And I am not talking about the management of the totally nonexistent site, since one of the responses of the M-Oeuvre, was to tell me that he was not going to spend every month on my site.
In short, it has been more than a year since the file is open, I do not have a lot of direct reproach to Pacifica but their work company Viaren is a disaster. So courage Fuiez</v>
      </c>
    </row>
    <row r="127" ht="15.75" customHeight="1">
      <c r="A127" s="2">
        <v>3.0</v>
      </c>
      <c r="B127" s="2" t="s">
        <v>451</v>
      </c>
      <c r="C127" s="2" t="s">
        <v>452</v>
      </c>
      <c r="D127" s="2" t="s">
        <v>434</v>
      </c>
      <c r="E127" s="2" t="s">
        <v>14</v>
      </c>
      <c r="F127" s="2" t="s">
        <v>15</v>
      </c>
      <c r="G127" s="2" t="s">
        <v>453</v>
      </c>
      <c r="H127" s="2" t="s">
        <v>454</v>
      </c>
      <c r="I127" s="2" t="str">
        <f>IFERROR(__xludf.DUMMYFUNCTION("GOOGLETRANSLATE(C127,""fr"",""en"")"),"Rather good mutual taken at the time of my unemployment period.")</f>
        <v>Rather good mutual taken at the time of my unemployment period.</v>
      </c>
    </row>
    <row r="128" ht="15.75" customHeight="1">
      <c r="A128" s="2">
        <v>1.0</v>
      </c>
      <c r="B128" s="2" t="s">
        <v>455</v>
      </c>
      <c r="C128" s="2" t="s">
        <v>456</v>
      </c>
      <c r="D128" s="2" t="s">
        <v>122</v>
      </c>
      <c r="E128" s="2" t="s">
        <v>21</v>
      </c>
      <c r="F128" s="2" t="s">
        <v>15</v>
      </c>
      <c r="G128" s="2" t="s">
        <v>457</v>
      </c>
      <c r="H128" s="2" t="s">
        <v>458</v>
      </c>
      <c r="I128" s="2" t="str">
        <f>IFERROR(__xludf.DUMMYFUNCTION("GOOGLETRANSLATE(C128,""fr"",""en"")"),"I had a claim in 6 years, and Matmut no longer wants to make sure!?!
If you don't need anything they are there for you (do your pockets), otherwise, run away.")</f>
        <v>I had a claim in 6 years, and Matmut no longer wants to make sure!?!
If you don't need anything they are there for you (do your pockets), otherwise, run away.</v>
      </c>
    </row>
    <row r="129" ht="15.75" customHeight="1">
      <c r="A129" s="2">
        <v>4.0</v>
      </c>
      <c r="B129" s="2" t="s">
        <v>459</v>
      </c>
      <c r="C129" s="2" t="s">
        <v>460</v>
      </c>
      <c r="D129" s="2" t="s">
        <v>20</v>
      </c>
      <c r="E129" s="2" t="s">
        <v>21</v>
      </c>
      <c r="F129" s="2" t="s">
        <v>15</v>
      </c>
      <c r="G129" s="2" t="s">
        <v>461</v>
      </c>
      <c r="H129" s="2" t="s">
        <v>54</v>
      </c>
      <c r="I129" s="2" t="str">
        <f>IFERROR(__xludf.DUMMYFUNCTION("GOOGLETRANSLATE(C129,""fr"",""en"")"),"We are satisfied with the service, good responsiveness for the implementation of insurance. This is the second contract and for the moment everything is going well.
 ")</f>
        <v>We are satisfied with the service, good responsiveness for the implementation of insurance. This is the second contract and for the moment everything is going well.
 </v>
      </c>
    </row>
    <row r="130" ht="15.75" customHeight="1">
      <c r="A130" s="2">
        <v>3.0</v>
      </c>
      <c r="B130" s="2" t="s">
        <v>462</v>
      </c>
      <c r="C130" s="2" t="s">
        <v>463</v>
      </c>
      <c r="D130" s="2" t="s">
        <v>32</v>
      </c>
      <c r="E130" s="2" t="s">
        <v>21</v>
      </c>
      <c r="F130" s="2" t="s">
        <v>15</v>
      </c>
      <c r="G130" s="2" t="s">
        <v>302</v>
      </c>
      <c r="H130" s="2" t="s">
        <v>54</v>
      </c>
      <c r="I130" s="2" t="str">
        <f>IFERROR(__xludf.DUMMYFUNCTION("GOOGLETRANSLATE(C130,""fr"",""en"")"),"I am satisfied with the service very well explained
Satisfactory prices
Good performance.
Happy with speed
Many choice of options")</f>
        <v>I am satisfied with the service very well explained
Satisfactory prices
Good performance.
Happy with speed
Many choice of options</v>
      </c>
    </row>
    <row r="131" ht="15.75" customHeight="1">
      <c r="A131" s="2">
        <v>3.0</v>
      </c>
      <c r="B131" s="2" t="s">
        <v>464</v>
      </c>
      <c r="C131" s="2" t="s">
        <v>465</v>
      </c>
      <c r="D131" s="2" t="s">
        <v>32</v>
      </c>
      <c r="E131" s="2" t="s">
        <v>21</v>
      </c>
      <c r="F131" s="2" t="s">
        <v>15</v>
      </c>
      <c r="G131" s="2" t="s">
        <v>466</v>
      </c>
      <c r="H131" s="2" t="s">
        <v>179</v>
      </c>
      <c r="I131" s="2" t="str">
        <f>IFERROR(__xludf.DUMMYFUNCTION("GOOGLETRANSLATE(C131,""fr"",""en"")"),"The price of insurance has increased from 60 to 2 years. Direct Insurance is no longer as attractive as before.
I therefore plan to change insurance this year")</f>
        <v>The price of insurance has increased from 60 to 2 years. Direct Insurance is no longer as attractive as before.
I therefore plan to change insurance this year</v>
      </c>
    </row>
    <row r="132" ht="15.75" customHeight="1">
      <c r="A132" s="2">
        <v>1.0</v>
      </c>
      <c r="B132" s="2" t="s">
        <v>467</v>
      </c>
      <c r="C132" s="2" t="s">
        <v>468</v>
      </c>
      <c r="D132" s="2" t="s">
        <v>469</v>
      </c>
      <c r="E132" s="2" t="s">
        <v>14</v>
      </c>
      <c r="F132" s="2" t="s">
        <v>15</v>
      </c>
      <c r="G132" s="2" t="s">
        <v>470</v>
      </c>
      <c r="H132" s="2" t="s">
        <v>199</v>
      </c>
      <c r="I132" s="2" t="str">
        <f>IFERROR(__xludf.DUMMYFUNCTION("GOOGLETRANSLATE(C132,""fr"",""en"")"),"A disaster since the beginning of 2021!
I've been at Mercer for 14 years, and so far everything was going well.
But the problems started at the end of 2020.
Normally, Mercer sends my third-party payment card for the following year in mid-December.
H"&amp;"aving seen nothing coming on January 6, 2021, I relaunched Mercer by messaging on their site, they replied on January 18 that ""my card has just been sent"".
Today on February 5, 2021 it has still not arrived.
In parallel, following consultations in Jan"&amp;"uary I had two postal letters to Mercer telling me that they cannot take care of a refund since I have been radiated from their home.
While I still work in the same company, the contributions are taken and that neither me nor my boss asked for my radiati"&amp;"on ...
This does not stop there: I also had two postal letters from them asking me for supporting documents to be reimbursed simple consultations, while in 14 years I was never asked for parts (outside the Quote for glasses and dentist)
And that in para"&amp;"llel to letters saying that I am struck off ...
Last discovery:
I installed the Mercer app on my phone to see if I could download my paid third party card through this (it's impossible on their website), but via the app, I am offered to download the Map"&amp;" for 2020, so last year.
The bizarrest in all of this is that my third-party payment card paper for 2020 (which I therefore received at the end of 2019) has another member number than that, always for 2020, which I can download in the 'Application, and t"&amp;"hat it does not depend on the same management center (Levallois Perret for the paper card, Chartres for the card downloadable by the app)
So I end up with two members of a member, thank you Mercer!
In short, it seems to have become great anything.
La"&amp;"st remark, the 4 letters I received in January are signed by names with Russian sounds, even Mercer has outsourced her services in a ""low-cost"" country?
In short, for you who are looking for a mutual insurance company at the beginning of 2021, flee Mer"&amp;"cer!")</f>
        <v>A disaster since the beginning of 2021!
I've been at Mercer for 14 years, and so far everything was going well.
But the problems started at the end of 2020.
Normally, Mercer sends my third-party payment card for the following year in mid-December.
Having seen nothing coming on January 6, 2021, I relaunched Mercer by messaging on their site, they replied on January 18 that "my card has just been sent".
Today on February 5, 2021 it has still not arrived.
In parallel, following consultations in January I had two postal letters to Mercer telling me that they cannot take care of a refund since I have been radiated from their home.
While I still work in the same company, the contributions are taken and that neither me nor my boss asked for my radiation ...
This does not stop there: I also had two postal letters from them asking me for supporting documents to be reimbursed simple consultations, while in 14 years I was never asked for parts (outside the Quote for glasses and dentist)
And that in parallel to letters saying that I am struck off ...
Last discovery:
I installed the Mercer app on my phone to see if I could download my paid third party card through this (it's impossible on their website), but via the app, I am offered to download the Map for 2020, so last year.
The bizarrest in all of this is that my third-party payment card paper for 2020 (which I therefore received at the end of 2019) has another member number than that, always for 2020, which I can download in the 'Application, and that it does not depend on the same management center (Levallois Perret for the paper card, Chartres for the card downloadable by the app)
So I end up with two members of a member, thank you Mercer!
In short, it seems to have become great anything.
Last remark, the 4 letters I received in January are signed by names with Russian sounds, even Mercer has outsourced her services in a "low-cost" country?
In short, for you who are looking for a mutual insurance company at the beginning of 2021, flee Mercer!</v>
      </c>
    </row>
    <row r="133" ht="15.75" customHeight="1">
      <c r="A133" s="2">
        <v>2.0</v>
      </c>
      <c r="B133" s="2" t="s">
        <v>471</v>
      </c>
      <c r="C133" s="2" t="s">
        <v>472</v>
      </c>
      <c r="D133" s="2" t="s">
        <v>139</v>
      </c>
      <c r="E133" s="2" t="s">
        <v>42</v>
      </c>
      <c r="F133" s="2" t="s">
        <v>15</v>
      </c>
      <c r="G133" s="2" t="s">
        <v>473</v>
      </c>
      <c r="H133" s="2" t="s">
        <v>17</v>
      </c>
      <c r="I133" s="2" t="str">
        <f>IFERROR(__xludf.DUMMYFUNCTION("GOOGLETRANSLATE(C133,""fr"",""en"")"),"unreachable claim service by phone more than an hour of waiting before rejection of the call")</f>
        <v>unreachable claim service by phone more than an hour of waiting before rejection of the call</v>
      </c>
    </row>
    <row r="134" ht="15.75" customHeight="1">
      <c r="A134" s="2">
        <v>1.0</v>
      </c>
      <c r="B134" s="2" t="s">
        <v>474</v>
      </c>
      <c r="C134" s="2" t="s">
        <v>475</v>
      </c>
      <c r="D134" s="2" t="s">
        <v>314</v>
      </c>
      <c r="E134" s="2" t="s">
        <v>21</v>
      </c>
      <c r="F134" s="2" t="s">
        <v>15</v>
      </c>
      <c r="G134" s="2" t="s">
        <v>476</v>
      </c>
      <c r="H134" s="2" t="s">
        <v>163</v>
      </c>
      <c r="I134" s="2" t="str">
        <f>IFERROR(__xludf.DUMMYFUNCTION("GOOGLETRANSLATE(C134,""fr"",""en"")"),"HORRIBLE ! TO FLEE ! ineffective customer service, very notable and incompetent staff. To take our money they know how to do but for the rest nothing! Never the same person on the phone is getting lost on the way, one says black the other says white, of t"&amp;"he big anything! ""Surchanted customer service"" that makes us wait (express?) And who never has an answer to our questions! ""Yes then please apologize but ..."" typical response that they all learned in training!")</f>
        <v>HORRIBLE ! TO FLEE ! ineffective customer service, very notable and incompetent staff. To take our money they know how to do but for the rest nothing! Never the same person on the phone is getting lost on the way, one says black the other says white, of the big anything! "Surchanted customer service" that makes us wait (express?) And who never has an answer to our questions! "Yes then please apologize but ..." typical response that they all learned in training!</v>
      </c>
    </row>
    <row r="135" ht="15.75" customHeight="1">
      <c r="A135" s="2">
        <v>2.0</v>
      </c>
      <c r="B135" s="2" t="s">
        <v>477</v>
      </c>
      <c r="C135" s="2" t="s">
        <v>478</v>
      </c>
      <c r="D135" s="2" t="s">
        <v>106</v>
      </c>
      <c r="E135" s="2" t="s">
        <v>14</v>
      </c>
      <c r="F135" s="2" t="s">
        <v>15</v>
      </c>
      <c r="G135" s="2" t="s">
        <v>479</v>
      </c>
      <c r="H135" s="2" t="s">
        <v>110</v>
      </c>
      <c r="I135" s="2" t="str">
        <f>IFERROR(__xludf.DUMMYFUNCTION("GOOGLETRANSLATE(C135,""fr"",""en"")"),"Loss of time")</f>
        <v>Loss of time</v>
      </c>
    </row>
    <row r="136" ht="15.75" customHeight="1">
      <c r="A136" s="2">
        <v>5.0</v>
      </c>
      <c r="B136" s="2" t="s">
        <v>480</v>
      </c>
      <c r="C136" s="2" t="s">
        <v>481</v>
      </c>
      <c r="D136" s="2" t="s">
        <v>20</v>
      </c>
      <c r="E136" s="2" t="s">
        <v>21</v>
      </c>
      <c r="F136" s="2" t="s">
        <v>15</v>
      </c>
      <c r="G136" s="2" t="s">
        <v>47</v>
      </c>
      <c r="H136" s="2" t="s">
        <v>48</v>
      </c>
      <c r="I136" s="2" t="str">
        <f>IFERROR(__xludf.DUMMYFUNCTION("GOOGLETRANSLATE(C136,""fr"",""en"")"),"Qualified, pleasant, accommodating agents.
Excellent services.
Nothing to say, no worries encountered with the Olivier Insurance so far.
Ascelin Plantey")</f>
        <v>Qualified, pleasant, accommodating agents.
Excellent services.
Nothing to say, no worries encountered with the Olivier Insurance so far.
Ascelin Plantey</v>
      </c>
    </row>
    <row r="137" ht="15.75" customHeight="1">
      <c r="A137" s="2">
        <v>4.0</v>
      </c>
      <c r="B137" s="2" t="s">
        <v>482</v>
      </c>
      <c r="C137" s="2" t="s">
        <v>483</v>
      </c>
      <c r="D137" s="2" t="s">
        <v>122</v>
      </c>
      <c r="E137" s="2" t="s">
        <v>42</v>
      </c>
      <c r="F137" s="2" t="s">
        <v>15</v>
      </c>
      <c r="G137" s="2" t="s">
        <v>191</v>
      </c>
      <c r="H137" s="2" t="s">
        <v>48</v>
      </c>
      <c r="I137" s="2" t="str">
        <f>IFERROR(__xludf.DUMMYFUNCTION("GOOGLETRANSLATE(C137,""fr"",""en"")"),"Victim of a burglary in my second home last December, I am particularly satisfied with the way my file was managed by the Matmut and his expert to finally do me without chipping, post by post, a very suitable compensation proposal And that I accepted with"&amp;"out discussion. Thank you and congratulations to the Matmut.")</f>
        <v>Victim of a burglary in my second home last December, I am particularly satisfied with the way my file was managed by the Matmut and his expert to finally do me without chipping, post by post, a very suitable compensation proposal And that I accepted without discussion. Thank you and congratulations to the Matmut.</v>
      </c>
    </row>
    <row r="138" ht="15.75" customHeight="1">
      <c r="A138" s="2">
        <v>5.0</v>
      </c>
      <c r="B138" s="2" t="s">
        <v>484</v>
      </c>
      <c r="C138" s="2" t="s">
        <v>485</v>
      </c>
      <c r="D138" s="2" t="s">
        <v>32</v>
      </c>
      <c r="E138" s="2" t="s">
        <v>21</v>
      </c>
      <c r="F138" s="2" t="s">
        <v>15</v>
      </c>
      <c r="G138" s="2" t="s">
        <v>175</v>
      </c>
      <c r="H138" s="2" t="s">
        <v>54</v>
      </c>
      <c r="I138" s="2" t="str">
        <f>IFERROR(__xludf.DUMMYFUNCTION("GOOGLETRANSLATE(C138,""fr"",""en"")"),"Resonable price
 Reactive team during a call
Monitoring of suitable files.
Very fluid site and personal space for easily finding the documents")</f>
        <v>Resonable price
 Reactive team during a call
Monitoring of suitable files.
Very fluid site and personal space for easily finding the documents</v>
      </c>
    </row>
    <row r="139" ht="15.75" customHeight="1">
      <c r="A139" s="2">
        <v>4.0</v>
      </c>
      <c r="B139" s="2" t="s">
        <v>486</v>
      </c>
      <c r="C139" s="2" t="s">
        <v>487</v>
      </c>
      <c r="D139" s="2" t="s">
        <v>127</v>
      </c>
      <c r="E139" s="2" t="s">
        <v>128</v>
      </c>
      <c r="F139" s="2" t="s">
        <v>15</v>
      </c>
      <c r="G139" s="2" t="s">
        <v>488</v>
      </c>
      <c r="H139" s="2" t="s">
        <v>87</v>
      </c>
      <c r="I139" s="2" t="str">
        <f>IFERROR(__xludf.DUMMYFUNCTION("GOOGLETRANSLATE(C139,""fr"",""en"")"),"The site is easy to use and intuitive, the prices are very attractive. I hope I wouldn't be disappointed the day I need it.")</f>
        <v>The site is easy to use and intuitive, the prices are very attractive. I hope I wouldn't be disappointed the day I need it.</v>
      </c>
    </row>
    <row r="140" ht="15.75" customHeight="1">
      <c r="A140" s="2">
        <v>4.0</v>
      </c>
      <c r="B140" s="2" t="s">
        <v>489</v>
      </c>
      <c r="C140" s="2" t="s">
        <v>490</v>
      </c>
      <c r="D140" s="2" t="s">
        <v>146</v>
      </c>
      <c r="E140" s="2" t="s">
        <v>52</v>
      </c>
      <c r="F140" s="2" t="s">
        <v>15</v>
      </c>
      <c r="G140" s="2" t="s">
        <v>491</v>
      </c>
      <c r="H140" s="2" t="s">
        <v>179</v>
      </c>
      <c r="I140" s="2" t="str">
        <f>IFERROR(__xludf.DUMMYFUNCTION("GOOGLETRANSLATE(C140,""fr"",""en"")"),"The customer service not phone is very pro and very welcoming. On the other hand when we want a quote or have a request to be made by email, the response times are too long")</f>
        <v>The customer service not phone is very pro and very welcoming. On the other hand when we want a quote or have a request to be made by email, the response times are too long</v>
      </c>
    </row>
    <row r="141" ht="15.75" customHeight="1">
      <c r="A141" s="2">
        <v>5.0</v>
      </c>
      <c r="B141" s="2" t="s">
        <v>492</v>
      </c>
      <c r="C141" s="2" t="s">
        <v>493</v>
      </c>
      <c r="D141" s="2" t="s">
        <v>13</v>
      </c>
      <c r="E141" s="2" t="s">
        <v>14</v>
      </c>
      <c r="F141" s="2" t="s">
        <v>15</v>
      </c>
      <c r="G141" s="2" t="s">
        <v>494</v>
      </c>
      <c r="H141" s="2" t="s">
        <v>295</v>
      </c>
      <c r="I141" s="2" t="str">
        <f>IFERROR(__xludf.DUMMYFUNCTION("GOOGLETRANSLATE(C141,""fr"",""en"")"),"I have been a customer for 1 year and a half, and I have never had a problem with this society, quite simply because I am a knowledgeable, I knew how to adapt my expectations to the reality of things, I received my card after the 1st Sweater, therefore 1 "&amp;"year after my subscription for the contract did not start until the following year. Malakof had been my mutual since, certainly I didn’t be able to join all the time, in this case Santiah jiu the intermediare for me. My contract contained a foresight and "&amp;"the advisor had it said to me well during our telephonic exchange (unlike some who said. Life and foresight !!) Santiane is an independent organization that has never presented itself as a mutual or insurance, by reading the negative opinions, I did not p"&amp;"revent myself from laughing! People do not even understand the functioning of insurance, mutuals, neither the laws that register them nor even the difference between an insurer, a comparator and a third -party third party !! And worse still, they take the"&amp;"mselves for clever (or encore victims) to do in short, before advancing on what you do not even understand, inquire a little about this job to be able to judge things well.")</f>
        <v>I have been a customer for 1 year and a half, and I have never had a problem with this society, quite simply because I am a knowledgeable, I knew how to adapt my expectations to the reality of things, I received my card after the 1st Sweater, therefore 1 year after my subscription for the contract did not start until the following year. Malakof had been my mutual since, certainly I didn’t be able to join all the time, in this case Santiah jiu the intermediare for me. My contract contained a foresight and the advisor had it said to me well during our telephonic exchange (unlike some who said. Life and foresight !!) Santiane is an independent organization that has never presented itself as a mutual or insurance, by reading the negative opinions, I did not prevent myself from laughing! People do not even understand the functioning of insurance, mutuals, neither the laws that register them nor even the difference between an insurer, a comparator and a third -party third party !! And worse still, they take themselves for clever (or encore victims) to do in short, before advancing on what you do not even understand, inquire a little about this job to be able to judge things well.</v>
      </c>
    </row>
    <row r="142" ht="15.75" customHeight="1">
      <c r="A142" s="2">
        <v>2.0</v>
      </c>
      <c r="B142" s="2" t="s">
        <v>495</v>
      </c>
      <c r="C142" s="2" t="s">
        <v>496</v>
      </c>
      <c r="D142" s="2" t="s">
        <v>32</v>
      </c>
      <c r="E142" s="2" t="s">
        <v>21</v>
      </c>
      <c r="F142" s="2" t="s">
        <v>15</v>
      </c>
      <c r="G142" s="2" t="s">
        <v>497</v>
      </c>
      <c r="H142" s="2" t="s">
        <v>454</v>
      </c>
      <c r="I142" s="2" t="str">
        <f>IFERROR(__xludf.DUMMYFUNCTION("GOOGLETRANSLATE(C142,""fr"",""en"")"),"The quality of customer service is very limited.
The advisers do not master their subject and to specific questions which can only lead by yes or by no I obtain ""yes .... normally ..."".
All that the advisers repeat in a loop because they do not know w"&amp;"hat to say is ""in any case reassure you your file is in progress"". With imprecise responses and advisers who know nothing about it we quickly want to break the phone.
The assistance puts lead to find an approved garage and I am not entitled to a loan v"&amp;"ehicle because my vehicle is no longer ""rolling"" which seems logical when you have a disaster ...
In short horrible")</f>
        <v>The quality of customer service is very limited.
The advisers do not master their subject and to specific questions which can only lead by yes or by no I obtain "yes .... normally ...".
All that the advisers repeat in a loop because they do not know what to say is "in any case reassure you your file is in progress". With imprecise responses and advisers who know nothing about it we quickly want to break the phone.
The assistance puts lead to find an approved garage and I am not entitled to a loan vehicle because my vehicle is no longer "rolling" which seems logical when you have a disaster ...
In short horrible</v>
      </c>
    </row>
    <row r="143" ht="15.75" customHeight="1">
      <c r="A143" s="2">
        <v>3.0</v>
      </c>
      <c r="B143" s="2" t="s">
        <v>498</v>
      </c>
      <c r="C143" s="2" t="s">
        <v>499</v>
      </c>
      <c r="D143" s="2" t="s">
        <v>106</v>
      </c>
      <c r="E143" s="2" t="s">
        <v>14</v>
      </c>
      <c r="F143" s="2" t="s">
        <v>15</v>
      </c>
      <c r="G143" s="2" t="s">
        <v>500</v>
      </c>
      <c r="H143" s="2" t="s">
        <v>58</v>
      </c>
      <c r="I143" s="2" t="str">
        <f>IFERROR(__xludf.DUMMYFUNCTION("GOOGLETRANSLATE(C143,""fr"",""en"")"),"The person I had on the phone for information was very nice met my expectations. I am happy to have subscribed to this mutual, to see in time")</f>
        <v>The person I had on the phone for information was very nice met my expectations. I am happy to have subscribed to this mutual, to see in time</v>
      </c>
    </row>
    <row r="144" ht="15.75" customHeight="1">
      <c r="A144" s="2">
        <v>1.0</v>
      </c>
      <c r="B144" s="2" t="s">
        <v>501</v>
      </c>
      <c r="C144" s="2" t="s">
        <v>502</v>
      </c>
      <c r="D144" s="2" t="s">
        <v>282</v>
      </c>
      <c r="E144" s="2" t="s">
        <v>283</v>
      </c>
      <c r="F144" s="2" t="s">
        <v>15</v>
      </c>
      <c r="G144" s="2" t="s">
        <v>503</v>
      </c>
      <c r="H144" s="2" t="s">
        <v>504</v>
      </c>
      <c r="I144" s="2" t="str">
        <f>IFERROR(__xludf.DUMMYFUNCTION("GOOGLETRANSLATE(C144,""fr"",""en"")"),"When you are in limpossibility to pay your deadlines by giving evidence because you are unemployed, that you do not even narrate to pay your inhuman rent of the year 2019 to the future your company")</f>
        <v>When you are in limpossibility to pay your deadlines by giving evidence because you are unemployed, that you do not even narrate to pay your inhuman rent of the year 2019 to the future your company</v>
      </c>
    </row>
    <row r="145" ht="15.75" customHeight="1">
      <c r="A145" s="2">
        <v>3.0</v>
      </c>
      <c r="B145" s="2" t="s">
        <v>505</v>
      </c>
      <c r="C145" s="2" t="s">
        <v>506</v>
      </c>
      <c r="D145" s="2" t="s">
        <v>32</v>
      </c>
      <c r="E145" s="2" t="s">
        <v>21</v>
      </c>
      <c r="F145" s="2" t="s">
        <v>15</v>
      </c>
      <c r="G145" s="2" t="s">
        <v>507</v>
      </c>
      <c r="H145" s="2" t="s">
        <v>95</v>
      </c>
      <c r="I145" s="2" t="str">
        <f>IFERROR(__xludf.DUMMYFUNCTION("GOOGLETRANSLATE(C145,""fr"",""en"")"),"A little expensive compared to the price of the walk, if not always ready to respond to my requests, too bad the interlocutors do not speak better French because sometimes we do not understand each other
")</f>
        <v>A little expensive compared to the price of the walk, if not always ready to respond to my requests, too bad the interlocutors do not speak better French because sometimes we do not understand each other
</v>
      </c>
    </row>
    <row r="146" ht="15.75" customHeight="1">
      <c r="A146" s="2">
        <v>2.0</v>
      </c>
      <c r="B146" s="2" t="s">
        <v>508</v>
      </c>
      <c r="C146" s="2" t="s">
        <v>509</v>
      </c>
      <c r="D146" s="2" t="s">
        <v>150</v>
      </c>
      <c r="E146" s="2" t="s">
        <v>42</v>
      </c>
      <c r="F146" s="2" t="s">
        <v>15</v>
      </c>
      <c r="G146" s="2" t="s">
        <v>510</v>
      </c>
      <c r="H146" s="2" t="s">
        <v>99</v>
      </c>
      <c r="I146" s="2" t="str">
        <f>IFERROR(__xludf.DUMMYFUNCTION("GOOGLETRANSLATE(C146,""fr"",""en"")"),"Hello,
I tell you about my bad experience with the Macif
In 2018, I leave my accommodation to move with my partner and send, as the customer service explained to me, the said certificate by simple letter in order to terminate my contract. We have kept"&amp;" its insurer.
Now I receive an email from a collection company for a sum that I owe to the Macif. I immediately contact the Macif which tells me not to have trace of my mail and invites me to send them by email to regularize the file.
So I send an e"&amp;"mail with my contact details, I receive an automatic response and I wait ... Nothing!
I remind you and I am told that the email has been received and that my file and under processing. A few days and ... nothing!
Finally, five emails always with an auto"&amp;"matic response, but nothing more. Eight calls to discover whenever my file is processed and I will have an answer shortly (which will never come).
Better still, each time I ask them at least to indicate to their collection company that the file does not "&amp;"have to be, I am told that they will send it each time. Obviously understand that it is never done and that I can manage well with a society that may be more used to people in bad faith than in good faith.
After these multiple calls, I am told that a r"&amp;"efund will be made. A refund of 37 euros instead of almost 70 euros calculated. Why ?? Simply because the recovery company this causes costs. Sorry I didn't have an onion nearby so I couldn't cry ...
Situation of the moment, after a month of emails and"&amp;" appeal, no news concerning:
1- My undue radiation,
2- The opinion of an error on their part with the collection company (which I call regularly to find out if they have news from the Macif who each time tells me that they will make a letter)
Moralit"&amp;"y: Customer service at the Macif is nonexistent, they are more quick to recover by mistakes than to return the sums unduly perceived and in addition allows itself to make a small puncture in passing.
On the other hand, when it comes to assuming the error"&amp;", places the most total silence.
A course that is not yet finished because it remains to settle the cancellation, the collection company and the total reimbursement of the sums too perceived without puncture on their part. Sums to which the legal rate "&amp;"should be applied as the delay is significant and the bad faith glaring after a month of calls and emails
An excellent experience so as not to renew the experience with this insurer and a long list of unanswered emails to show my loved ones that it is "&amp;"better to grant them distrust than confidence!")</f>
        <v>Hello,
I tell you about my bad experience with the Macif
In 2018, I leave my accommodation to move with my partner and send, as the customer service explained to me, the said certificate by simple letter in order to terminate my contract. We have kept its insurer.
Now I receive an email from a collection company for a sum that I owe to the Macif. I immediately contact the Macif which tells me not to have trace of my mail and invites me to send them by email to regularize the file.
So I send an email with my contact details, I receive an automatic response and I wait ... Nothing!
I remind you and I am told that the email has been received and that my file and under processing. A few days and ... nothing!
Finally, five emails always with an automatic response, but nothing more. Eight calls to discover whenever my file is processed and I will have an answer shortly (which will never come).
Better still, each time I ask them at least to indicate to their collection company that the file does not have to be, I am told that they will send it each time. Obviously understand that it is never done and that I can manage well with a society that may be more used to people in bad faith than in good faith.
After these multiple calls, I am told that a refund will be made. A refund of 37 euros instead of almost 70 euros calculated. Why ?? Simply because the recovery company this causes costs. Sorry I didn't have an onion nearby so I couldn't cry ...
Situation of the moment, after a month of emails and appeal, no news concerning:
1- My undue radiation,
2- The opinion of an error on their part with the collection company (which I call regularly to find out if they have news from the Macif who each time tells me that they will make a letter)
Morality: Customer service at the Macif is nonexistent, they are more quick to recover by mistakes than to return the sums unduly perceived and in addition allows itself to make a small puncture in passing.
On the other hand, when it comes to assuming the error, places the most total silence.
A course that is not yet finished because it remains to settle the cancellation, the collection company and the total reimbursement of the sums too perceived without puncture on their part. Sums to which the legal rate should be applied as the delay is significant and the bad faith glaring after a month of calls and emails
An excellent experience so as not to renew the experience with this insurer and a long list of unanswered emails to show my loved ones that it is better to grant them distrust than confidence!</v>
      </c>
    </row>
    <row r="147" ht="15.75" customHeight="1">
      <c r="A147" s="2">
        <v>4.0</v>
      </c>
      <c r="B147" s="2" t="s">
        <v>511</v>
      </c>
      <c r="C147" s="2" t="s">
        <v>512</v>
      </c>
      <c r="D147" s="2" t="s">
        <v>32</v>
      </c>
      <c r="E147" s="2" t="s">
        <v>21</v>
      </c>
      <c r="F147" s="2" t="s">
        <v>15</v>
      </c>
      <c r="G147" s="2" t="s">
        <v>513</v>
      </c>
      <c r="H147" s="2" t="s">
        <v>48</v>
      </c>
      <c r="I147" s="2" t="str">
        <f>IFERROR(__xludf.DUMMYFUNCTION("GOOGLETRANSLATE(C147,""fr"",""en"")"),"I am satisfied with my auto and home insurance contracts.
price level is quality of service, which are very satisfactory quality for me")</f>
        <v>I am satisfied with my auto and home insurance contracts.
price level is quality of service, which are very satisfactory quality for me</v>
      </c>
    </row>
    <row r="148" ht="15.75" customHeight="1">
      <c r="A148" s="2">
        <v>4.0</v>
      </c>
      <c r="B148" s="2" t="s">
        <v>514</v>
      </c>
      <c r="C148" s="2" t="s">
        <v>515</v>
      </c>
      <c r="D148" s="2" t="s">
        <v>20</v>
      </c>
      <c r="E148" s="2" t="s">
        <v>21</v>
      </c>
      <c r="F148" s="2" t="s">
        <v>15</v>
      </c>
      <c r="G148" s="2" t="s">
        <v>516</v>
      </c>
      <c r="H148" s="2" t="s">
        <v>195</v>
      </c>
      <c r="I148" s="2" t="str">
        <f>IFERROR(__xludf.DUMMYFUNCTION("GOOGLETRANSLATE(C148,""fr"",""en"")"),"Well, simple, fast and professional!")</f>
        <v>Well, simple, fast and professional!</v>
      </c>
    </row>
    <row r="149" ht="15.75" customHeight="1">
      <c r="A149" s="2">
        <v>3.0</v>
      </c>
      <c r="B149" s="2" t="s">
        <v>517</v>
      </c>
      <c r="C149" s="2" t="s">
        <v>518</v>
      </c>
      <c r="D149" s="2" t="s">
        <v>41</v>
      </c>
      <c r="E149" s="2" t="s">
        <v>52</v>
      </c>
      <c r="F149" s="2" t="s">
        <v>15</v>
      </c>
      <c r="G149" s="2" t="s">
        <v>519</v>
      </c>
      <c r="H149" s="2" t="s">
        <v>156</v>
      </c>
      <c r="I149" s="2" t="str">
        <f>IFERROR(__xludf.DUMMYFUNCTION("GOOGLETRANSLATE(C149,""fr"",""en"")"),"Wanting to re-assure my motorcycle after 2 years of termination (and 6 years without disaster), impossible without repatriating at least 2 contracts from my competing insurers subscribed in the meantime following the start of my professional activity.
In"&amp;" addition, I am printed a contract for a month while you think that I do not sign finally. And surprise, the monthly payment has been taken from me. I should be reimbursed according to them. I have been waiting for 4 months ...")</f>
        <v>Wanting to re-assure my motorcycle after 2 years of termination (and 6 years without disaster), impossible without repatriating at least 2 contracts from my competing insurers subscribed in the meantime following the start of my professional activity.
In addition, I am printed a contract for a month while you think that I do not sign finally. And surprise, the monthly payment has been taken from me. I should be reimbursed according to them. I have been waiting for 4 months ...</v>
      </c>
    </row>
    <row r="150" ht="15.75" customHeight="1">
      <c r="A150" s="2">
        <v>4.0</v>
      </c>
      <c r="B150" s="2" t="s">
        <v>520</v>
      </c>
      <c r="C150" s="2" t="s">
        <v>521</v>
      </c>
      <c r="D150" s="2" t="s">
        <v>20</v>
      </c>
      <c r="E150" s="2" t="s">
        <v>21</v>
      </c>
      <c r="F150" s="2" t="s">
        <v>15</v>
      </c>
      <c r="G150" s="2" t="s">
        <v>205</v>
      </c>
      <c r="H150" s="2" t="s">
        <v>87</v>
      </c>
      <c r="I150" s="2" t="str">
        <f>IFERROR(__xludf.DUMMYFUNCTION("GOOGLETRANSLATE(C150,""fr"",""en"")"),"I resumed an insurance contract compared to the excellent quality of service offered. I am very satisfied with the services but also of the very competent staff")</f>
        <v>I resumed an insurance contract compared to the excellent quality of service offered. I am very satisfied with the services but also of the very competent staff</v>
      </c>
    </row>
    <row r="151" ht="15.75" customHeight="1">
      <c r="A151" s="2">
        <v>1.0</v>
      </c>
      <c r="B151" s="2" t="s">
        <v>522</v>
      </c>
      <c r="C151" s="2" t="s">
        <v>523</v>
      </c>
      <c r="D151" s="2" t="s">
        <v>80</v>
      </c>
      <c r="E151" s="2" t="s">
        <v>14</v>
      </c>
      <c r="F151" s="2" t="s">
        <v>15</v>
      </c>
      <c r="G151" s="2" t="s">
        <v>524</v>
      </c>
      <c r="H151" s="2" t="s">
        <v>525</v>
      </c>
      <c r="I151" s="2" t="str">
        <f>IFERROR(__xludf.DUMMYFUNCTION("GOOGLETRANSLATE(C151,""fr"",""en"")"),"Exorbitant price, low reimbursement, compulsory when you are a civil servant to be able to choose insurance additional salary if you arrive like serious.
Besides, .. can we talk about refund if we pay more expensive than what we recover?
")</f>
        <v>Exorbitant price, low reimbursement, compulsory when you are a civil servant to be able to choose insurance additional salary if you arrive like serious.
Besides, .. can we talk about refund if we pay more expensive than what we recover?
</v>
      </c>
    </row>
    <row r="152" ht="15.75" customHeight="1">
      <c r="A152" s="2">
        <v>2.0</v>
      </c>
      <c r="B152" s="2" t="s">
        <v>526</v>
      </c>
      <c r="C152" s="2" t="s">
        <v>527</v>
      </c>
      <c r="D152" s="2" t="s">
        <v>13</v>
      </c>
      <c r="E152" s="2" t="s">
        <v>14</v>
      </c>
      <c r="F152" s="2" t="s">
        <v>15</v>
      </c>
      <c r="G152" s="2" t="s">
        <v>528</v>
      </c>
      <c r="H152" s="2" t="s">
        <v>17</v>
      </c>
      <c r="I152" s="2" t="str">
        <f>IFERROR(__xludf.DUMMYFUNCTION("GOOGLETRANSLATE(C152,""fr"",""en"")"),"Hello, a little angry because the minimum service is not rendered: it's been more than a week since I try several times (every day) to transmit a rather expensive quote to know what the expenses incumbent on each parties ( Mutual, social security, custome"&amp;"r) ... via the customer interface https://www.santiane.fr/Service-Client, and I have a systematic error: ""File name"" and my request is rejected. .. When customer service is called, the call is rejected by the wait is too long! Anything ... If it continu"&amp;"es, I go to a slightly more aggressive stadium ... I had ""gwendal"" on the phone, lovable but which is there to ""buffer"" ... so no solution for The moment.")</f>
        <v>Hello, a little angry because the minimum service is not rendered: it's been more than a week since I try several times (every day) to transmit a rather expensive quote to know what the expenses incumbent on each parties ( Mutual, social security, customer) ... via the customer interface https://www.santiane.fr/Service-Client, and I have a systematic error: "File name" and my request is rejected. .. When customer service is called, the call is rejected by the wait is too long! Anything ... If it continues, I go to a slightly more aggressive stadium ... I had "gwendal" on the phone, lovable but which is there to "buffer" ... so no solution for The moment.</v>
      </c>
    </row>
    <row r="153" ht="15.75" customHeight="1">
      <c r="A153" s="2">
        <v>4.0</v>
      </c>
      <c r="B153" s="2" t="s">
        <v>529</v>
      </c>
      <c r="C153" s="2" t="s">
        <v>530</v>
      </c>
      <c r="D153" s="2" t="s">
        <v>20</v>
      </c>
      <c r="E153" s="2" t="s">
        <v>21</v>
      </c>
      <c r="F153" s="2" t="s">
        <v>15</v>
      </c>
      <c r="G153" s="2" t="s">
        <v>531</v>
      </c>
      <c r="H153" s="2" t="s">
        <v>23</v>
      </c>
      <c r="I153" s="2" t="str">
        <f>IFERROR(__xludf.DUMMYFUNCTION("GOOGLETRANSLATE(C153,""fr"",""en"")"),"I am satisfied with the price and the service. On the other hand, I have 3 vehicles in total and a house that I cannot group because my wife who is a childminder cannot be taken into account for her job.")</f>
        <v>I am satisfied with the price and the service. On the other hand, I have 3 vehicles in total and a house that I cannot group because my wife who is a childminder cannot be taken into account for her job.</v>
      </c>
    </row>
    <row r="154" ht="15.75" customHeight="1">
      <c r="A154" s="2">
        <v>4.0</v>
      </c>
      <c r="B154" s="2" t="s">
        <v>532</v>
      </c>
      <c r="C154" s="2" t="s">
        <v>533</v>
      </c>
      <c r="D154" s="2" t="s">
        <v>127</v>
      </c>
      <c r="E154" s="2" t="s">
        <v>128</v>
      </c>
      <c r="F154" s="2" t="s">
        <v>15</v>
      </c>
      <c r="G154" s="2" t="s">
        <v>95</v>
      </c>
      <c r="H154" s="2" t="s">
        <v>95</v>
      </c>
      <c r="I154" s="2" t="str">
        <f>IFERROR(__xludf.DUMMYFUNCTION("GOOGLETRANSLATE(C154,""fr"",""en"")"),"I am satisfied, the prices suit me, the advisers are sympathetic, I will recommend Zenup in my entourage. I will remain faithful (I already have two contracts in place).")</f>
        <v>I am satisfied, the prices suit me, the advisers are sympathetic, I will recommend Zenup in my entourage. I will remain faithful (I already have two contracts in place).</v>
      </c>
    </row>
    <row r="155" ht="15.75" customHeight="1">
      <c r="A155" s="2">
        <v>1.0</v>
      </c>
      <c r="B155" s="2" t="s">
        <v>534</v>
      </c>
      <c r="C155" s="2" t="s">
        <v>535</v>
      </c>
      <c r="D155" s="2" t="s">
        <v>325</v>
      </c>
      <c r="E155" s="2" t="s">
        <v>283</v>
      </c>
      <c r="F155" s="2" t="s">
        <v>15</v>
      </c>
      <c r="G155" s="2" t="s">
        <v>536</v>
      </c>
      <c r="H155" s="2" t="s">
        <v>331</v>
      </c>
      <c r="I155" s="2" t="str">
        <f>IFERROR(__xludf.DUMMYFUNCTION("GOOGLETRANSLATE(C155,""fr"",""en"")"),"I called this day to have information and make a quote, I had an unpleasant lady on the phone shouting me as if I were a child
She barely listened to my arguments that she castigated me by talking to me about fraud to termination insurance and that ins"&amp;"urance was not a mutual ...
Customer service: 0
I do not recommend this insurance at all")</f>
        <v>I called this day to have information and make a quote, I had an unpleasant lady on the phone shouting me as if I were a child
She barely listened to my arguments that she castigated me by talking to me about fraud to termination insurance and that insurance was not a mutual ...
Customer service: 0
I do not recommend this insurance at all</v>
      </c>
    </row>
    <row r="156" ht="15.75" customHeight="1">
      <c r="A156" s="2">
        <v>1.0</v>
      </c>
      <c r="B156" s="2" t="s">
        <v>537</v>
      </c>
      <c r="C156" s="2" t="s">
        <v>538</v>
      </c>
      <c r="D156" s="2" t="s">
        <v>32</v>
      </c>
      <c r="E156" s="2" t="s">
        <v>21</v>
      </c>
      <c r="F156" s="2" t="s">
        <v>15</v>
      </c>
      <c r="G156" s="2" t="s">
        <v>539</v>
      </c>
      <c r="H156" s="2" t="s">
        <v>540</v>
      </c>
      <c r="I156" s="2" t="str">
        <f>IFERROR(__xludf.DUMMYFUNCTION("GOOGLETRANSLATE(C156,""fr"",""en"")"),"When you have an accident that you know if the insurance is good or not.")</f>
        <v>When you have an accident that you know if the insurance is good or not.</v>
      </c>
    </row>
    <row r="157" ht="15.75" customHeight="1">
      <c r="A157" s="2">
        <v>1.0</v>
      </c>
      <c r="B157" s="2" t="s">
        <v>541</v>
      </c>
      <c r="C157" s="2" t="s">
        <v>542</v>
      </c>
      <c r="D157" s="2" t="s">
        <v>543</v>
      </c>
      <c r="E157" s="2" t="s">
        <v>544</v>
      </c>
      <c r="F157" s="2" t="s">
        <v>15</v>
      </c>
      <c r="G157" s="2" t="s">
        <v>545</v>
      </c>
      <c r="H157" s="2" t="s">
        <v>327</v>
      </c>
      <c r="I157" s="2" t="str">
        <f>IFERROR(__xludf.DUMMYFUNCTION("GOOGLETRANSLATE(C157,""fr"",""en"")"),"I sent my request for maternity leave MI-January via the website: no reception confirmation, no reference number, no trace of the shipment recorded on the site. I have called customer service several times, who confirmed to me that the file had been recei"&amp;"ved and would be processed within 2 months. After the 2 months, still no news, so I remind me and here I am told: ""Ah sorry, I see that your file has been zapped. We will therefore launch a complaint, but we will still have to wait 2 months for her be tr"&amp;"eated. "" It is unacceptable ! The file should go into priority because it is not a complaint, it is an oversight on your part which should be treated as soon as possible. It's called respect for customers. And besides, I still have no trace of all this o"&amp;"n the site, no reference number or complaint, no trace of our exchanges ... When I read the other opinions on the site, I wonder even if I will be paid one day ... Opinionassurances, can you please advise me a consumer association for me to file a complai"&amp;"nt? Thanks.")</f>
        <v>I sent my request for maternity leave MI-January via the website: no reception confirmation, no reference number, no trace of the shipment recorded on the site. I have called customer service several times, who confirmed to me that the file had been received and would be processed within 2 months. After the 2 months, still no news, so I remind me and here I am told: "Ah sorry, I see that your file has been zapped. We will therefore launch a complaint, but we will still have to wait 2 months for her be treated. " It is unacceptable ! The file should go into priority because it is not a complaint, it is an oversight on your part which should be treated as soon as possible. It's called respect for customers. And besides, I still have no trace of all this on the site, no reference number or complaint, no trace of our exchanges ... When I read the other opinions on the site, I wonder even if I will be paid one day ... Opinionassurances, can you please advise me a consumer association for me to file a complaint? Thanks.</v>
      </c>
    </row>
    <row r="158" ht="15.75" customHeight="1">
      <c r="A158" s="2">
        <v>5.0</v>
      </c>
      <c r="B158" s="2" t="s">
        <v>546</v>
      </c>
      <c r="C158" s="2" t="s">
        <v>547</v>
      </c>
      <c r="D158" s="2" t="s">
        <v>32</v>
      </c>
      <c r="E158" s="2" t="s">
        <v>21</v>
      </c>
      <c r="F158" s="2" t="s">
        <v>15</v>
      </c>
      <c r="G158" s="2" t="s">
        <v>548</v>
      </c>
      <c r="H158" s="2" t="s">
        <v>48</v>
      </c>
      <c r="I158" s="2" t="str">
        <f>IFERROR(__xludf.DUMMYFUNCTION("GOOGLETRANSLATE(C158,""fr"",""en"")"),"I am satisfied with everything and thank you..j hopes that we will have a good commercial relationship. Your insurance company would seem to me to be the best .. thank you and give me good services.")</f>
        <v>I am satisfied with everything and thank you..j hopes that we will have a good commercial relationship. Your insurance company would seem to me to be the best .. thank you and give me good services.</v>
      </c>
    </row>
    <row r="159" ht="15.75" customHeight="1">
      <c r="A159" s="2">
        <v>1.0</v>
      </c>
      <c r="B159" s="2" t="s">
        <v>549</v>
      </c>
      <c r="C159" s="2" t="s">
        <v>550</v>
      </c>
      <c r="D159" s="2" t="s">
        <v>80</v>
      </c>
      <c r="E159" s="2" t="s">
        <v>14</v>
      </c>
      <c r="F159" s="2" t="s">
        <v>15</v>
      </c>
      <c r="G159" s="2" t="s">
        <v>551</v>
      </c>
      <c r="H159" s="2" t="s">
        <v>552</v>
      </c>
      <c r="I159" s="2" t="str">
        <f>IFERROR(__xludf.DUMMYFUNCTION("GOOGLETRANSLATE(C159,""fr"",""en"")"),"I absolutely do not recommend this mutual: loss of documents for each refund; incomprehension on the part of the services when I was in an integral formula.")</f>
        <v>I absolutely do not recommend this mutual: loss of documents for each refund; incomprehension on the part of the services when I was in an integral formula.</v>
      </c>
    </row>
    <row r="160" ht="15.75" customHeight="1">
      <c r="A160" s="2">
        <v>1.0</v>
      </c>
      <c r="B160" s="2" t="s">
        <v>553</v>
      </c>
      <c r="C160" s="2" t="s">
        <v>554</v>
      </c>
      <c r="D160" s="2" t="s">
        <v>37</v>
      </c>
      <c r="E160" s="2" t="s">
        <v>21</v>
      </c>
      <c r="F160" s="2" t="s">
        <v>15</v>
      </c>
      <c r="G160" s="2" t="s">
        <v>555</v>
      </c>
      <c r="H160" s="2" t="s">
        <v>152</v>
      </c>
      <c r="I160" s="2" t="str">
        <f>IFERROR(__xludf.DUMMYFUNCTION("GOOGLETRANSLATE(C160,""fr"",""en"")"),"Warning !! This insurance company offers competitive rates at the start to bait new customers and then slyly year in years The prices fly away without reason, 117 euros more per contribution to a new customer for the same car and the same guarantees, I ch"&amp;"ange for the olive tree we will see !!")</f>
        <v>Warning !! This insurance company offers competitive rates at the start to bait new customers and then slyly year in years The prices fly away without reason, 117 euros more per contribution to a new customer for the same car and the same guarantees, I change for the olive tree we will see !!</v>
      </c>
    </row>
    <row r="161" ht="15.75" customHeight="1">
      <c r="A161" s="2">
        <v>1.0</v>
      </c>
      <c r="B161" s="2" t="s">
        <v>556</v>
      </c>
      <c r="C161" s="2" t="s">
        <v>557</v>
      </c>
      <c r="D161" s="2" t="s">
        <v>20</v>
      </c>
      <c r="E161" s="2" t="s">
        <v>21</v>
      </c>
      <c r="F161" s="2" t="s">
        <v>15</v>
      </c>
      <c r="G161" s="2" t="s">
        <v>558</v>
      </c>
      <c r="H161" s="2" t="s">
        <v>447</v>
      </c>
      <c r="I161" s="2" t="str">
        <f>IFERROR(__xludf.DUMMYFUNCTION("GOOGLETRANSLATE(C161,""fr"",""en"")"),"No one from null have my flying my vehicle it's been more two months being assured all risk I thought I was quiet and always nothing he pretends to you a vehicle hanged 7 days and demerate you after if you do not affect them these steps who calls you and "&amp;"when You can always have them the same answer The getiona will call you the problem what ever call and it does not communicate are number it is bizzard either that I go by bus to work there. advancement current")</f>
        <v>No one from null have my flying my vehicle it's been more two months being assured all risk I thought I was quiet and always nothing he pretends to you a vehicle hanged 7 days and demerate you after if you do not affect them these steps who calls you and when You can always have them the same answer The getiona will call you the problem what ever call and it does not communicate are number it is bizzard either that I go by bus to work there. advancement current</v>
      </c>
    </row>
    <row r="162" ht="15.75" customHeight="1">
      <c r="A162" s="2">
        <v>1.0</v>
      </c>
      <c r="B162" s="2" t="s">
        <v>559</v>
      </c>
      <c r="C162" s="2" t="s">
        <v>560</v>
      </c>
      <c r="D162" s="2" t="s">
        <v>222</v>
      </c>
      <c r="E162" s="2" t="s">
        <v>42</v>
      </c>
      <c r="F162" s="2" t="s">
        <v>15</v>
      </c>
      <c r="G162" s="2" t="s">
        <v>536</v>
      </c>
      <c r="H162" s="2" t="s">
        <v>331</v>
      </c>
      <c r="I162" s="2" t="str">
        <f>IFERROR(__xludf.DUMMYFUNCTION("GOOGLETRANSLATE(C162,""fr"",""en"")"),"Champions to have contracts signed with shovel and always available for this. Incompetent and absent customer service. Does not know how to update a customer file for over a year and a half; Note an unaccompanied contract on your customer area and send yo"&amp;"u recovery companies to pay for this undertaken contract.
Never respond to emails.
AXA advisor which follows your incompetent file: champion and always present to have you signed a new contract. Afterwards, there is no one left to follow up on your fi"&amp;"le and unable to follow up on your requests, is never informed when you ask a question about monitoring your file.
AXA services do not know how to communicate with each other and when you contact them, either we do not answer you (do not respond to reg"&amp;"istered mail with acknowledgment of reception!), Either we do not know what to answer you, or you switch you from service to service. You give information to your AXA advisor, the AXA services is not informed. You contact the AXA services because your adv"&amp;"isor asks you to contact them, the services refer you to your AXA advisor which, for its part, refers you to the AXA services, in short, ping-pong games between their services.
Incompetent insurance and mutual.
To avoid absolutely!")</f>
        <v>Champions to have contracts signed with shovel and always available for this. Incompetent and absent customer service. Does not know how to update a customer file for over a year and a half; Note an unaccompanied contract on your customer area and send you recovery companies to pay for this undertaken contract.
Never respond to emails.
AXA advisor which follows your incompetent file: champion and always present to have you signed a new contract. Afterwards, there is no one left to follow up on your file and unable to follow up on your requests, is never informed when you ask a question about monitoring your file.
AXA services do not know how to communicate with each other and when you contact them, either we do not answer you (do not respond to registered mail with acknowledgment of reception!), Either we do not know what to answer you, or you switch you from service to service. You give information to your AXA advisor, the AXA services is not informed. You contact the AXA services because your advisor asks you to contact them, the services refer you to your AXA advisor which, for its part, refers you to the AXA services, in short, ping-pong games between their services.
Incompetent insurance and mutual.
To avoid absolutely!</v>
      </c>
    </row>
    <row r="163" ht="15.75" customHeight="1">
      <c r="A163" s="2">
        <v>4.0</v>
      </c>
      <c r="B163" s="2" t="s">
        <v>561</v>
      </c>
      <c r="C163" s="2" t="s">
        <v>562</v>
      </c>
      <c r="D163" s="2" t="s">
        <v>13</v>
      </c>
      <c r="E163" s="2" t="s">
        <v>14</v>
      </c>
      <c r="F163" s="2" t="s">
        <v>15</v>
      </c>
      <c r="G163" s="2" t="s">
        <v>563</v>
      </c>
      <c r="H163" s="2" t="s">
        <v>152</v>
      </c>
      <c r="I163" s="2" t="str">
        <f>IFERROR(__xludf.DUMMYFUNCTION("GOOGLETRANSLATE(C163,""fr"",""en"")"),"The interlocutors do the best to answer various questions and requests.")</f>
        <v>The interlocutors do the best to answer various questions and requests.</v>
      </c>
    </row>
    <row r="164" ht="15.75" customHeight="1">
      <c r="A164" s="2">
        <v>4.0</v>
      </c>
      <c r="B164" s="2" t="s">
        <v>564</v>
      </c>
      <c r="C164" s="2" t="s">
        <v>565</v>
      </c>
      <c r="D164" s="2" t="s">
        <v>20</v>
      </c>
      <c r="E164" s="2" t="s">
        <v>21</v>
      </c>
      <c r="F164" s="2" t="s">
        <v>15</v>
      </c>
      <c r="G164" s="2" t="s">
        <v>566</v>
      </c>
      <c r="H164" s="2" t="s">
        <v>38</v>
      </c>
      <c r="I164" s="2" t="str">
        <f>IFERROR(__xludf.DUMMYFUNCTION("GOOGLETRANSLATE(C164,""fr"",""en"")"),"I am satisfied. Your website is really very easy to use, it's nice. Prices are to date the best on the market in the young drivers segment. Thanks")</f>
        <v>I am satisfied. Your website is really very easy to use, it's nice. Prices are to date the best on the market in the young drivers segment. Thanks</v>
      </c>
    </row>
    <row r="165" ht="15.75" customHeight="1">
      <c r="A165" s="2">
        <v>5.0</v>
      </c>
      <c r="B165" s="2" t="s">
        <v>567</v>
      </c>
      <c r="C165" s="2" t="s">
        <v>568</v>
      </c>
      <c r="D165" s="2" t="s">
        <v>139</v>
      </c>
      <c r="E165" s="2" t="s">
        <v>21</v>
      </c>
      <c r="F165" s="2" t="s">
        <v>15</v>
      </c>
      <c r="G165" s="2" t="s">
        <v>38</v>
      </c>
      <c r="H165" s="2" t="s">
        <v>38</v>
      </c>
      <c r="I165" s="2" t="str">
        <f>IFERROR(__xludf.DUMMYFUNCTION("GOOGLETRANSLATE(C165,""fr"",""en"")"),"Very satisfied with the services offered by GMF, full and practical website. Account well put my vehicles back on the anniversary date. ease to edit documents.")</f>
        <v>Very satisfied with the services offered by GMF, full and practical website. Account well put my vehicles back on the anniversary date. ease to edit documents.</v>
      </c>
    </row>
    <row r="166" ht="15.75" customHeight="1">
      <c r="A166" s="2">
        <v>5.0</v>
      </c>
      <c r="B166" s="2" t="s">
        <v>569</v>
      </c>
      <c r="C166" s="2" t="s">
        <v>570</v>
      </c>
      <c r="D166" s="2" t="s">
        <v>186</v>
      </c>
      <c r="E166" s="2" t="s">
        <v>42</v>
      </c>
      <c r="F166" s="2" t="s">
        <v>15</v>
      </c>
      <c r="G166" s="2" t="s">
        <v>48</v>
      </c>
      <c r="H166" s="2" t="s">
        <v>48</v>
      </c>
      <c r="I166" s="2" t="str">
        <f>IFERROR(__xludf.DUMMYFUNCTION("GOOGLETRANSLATE(C166,""fr"",""en"")"),"Hello, a big thank you to the Pacifica teams for having accompanied me during a disaster due to the storm of 25/09/2020; Thanks to their advice I was able to show all the damage to the expert; Cordially")</f>
        <v>Hello, a big thank you to the Pacifica teams for having accompanied me during a disaster due to the storm of 25/09/2020; Thanks to their advice I was able to show all the damage to the expert; Cordially</v>
      </c>
    </row>
    <row r="167" ht="15.75" customHeight="1">
      <c r="A167" s="2">
        <v>5.0</v>
      </c>
      <c r="B167" s="2" t="s">
        <v>571</v>
      </c>
      <c r="C167" s="2" t="s">
        <v>572</v>
      </c>
      <c r="D167" s="2" t="s">
        <v>314</v>
      </c>
      <c r="E167" s="2" t="s">
        <v>21</v>
      </c>
      <c r="F167" s="2" t="s">
        <v>15</v>
      </c>
      <c r="G167" s="2" t="s">
        <v>573</v>
      </c>
      <c r="H167" s="2" t="s">
        <v>110</v>
      </c>
      <c r="I167" s="2" t="str">
        <f>IFERROR(__xludf.DUMMYFUNCTION("GOOGLETRANSLATE(C167,""fr"",""en"")"),"Charming welcome, speed of execution, extreme explanations
Just top and at the price level: great
to recommend
For price price offered € 420.94 while customer at Direct Insurance for years their price offered € 1075 ""Look for the error""")</f>
        <v>Charming welcome, speed of execution, extreme explanations
Just top and at the price level: great
to recommend
For price price offered € 420.94 while customer at Direct Insurance for years their price offered € 1075 "Look for the error"</v>
      </c>
    </row>
    <row r="168" ht="15.75" customHeight="1">
      <c r="A168" s="2">
        <v>4.0</v>
      </c>
      <c r="B168" s="2" t="s">
        <v>574</v>
      </c>
      <c r="C168" s="2" t="s">
        <v>575</v>
      </c>
      <c r="D168" s="2" t="s">
        <v>32</v>
      </c>
      <c r="E168" s="2" t="s">
        <v>21</v>
      </c>
      <c r="F168" s="2" t="s">
        <v>15</v>
      </c>
      <c r="G168" s="2" t="s">
        <v>576</v>
      </c>
      <c r="H168" s="2" t="s">
        <v>54</v>
      </c>
      <c r="I168" s="2" t="str">
        <f>IFERROR(__xludf.DUMMYFUNCTION("GOOGLETRANSLATE(C168,""fr"",""en"")"),"Satisfied with the price and the services offered as well as the ease to take out a contract
I would recommend those around me for their insurance contracts")</f>
        <v>Satisfied with the price and the services offered as well as the ease to take out a contract
I would recommend those around me for their insurance contracts</v>
      </c>
    </row>
    <row r="169" ht="15.75" customHeight="1">
      <c r="A169" s="2">
        <v>3.0</v>
      </c>
      <c r="B169" s="2" t="s">
        <v>577</v>
      </c>
      <c r="C169" s="2" t="s">
        <v>578</v>
      </c>
      <c r="D169" s="2" t="s">
        <v>222</v>
      </c>
      <c r="E169" s="2" t="s">
        <v>52</v>
      </c>
      <c r="F169" s="2" t="s">
        <v>15</v>
      </c>
      <c r="G169" s="2" t="s">
        <v>579</v>
      </c>
      <c r="H169" s="2" t="s">
        <v>540</v>
      </c>
      <c r="I169" s="2" t="str">
        <f>IFERROR(__xludf.DUMMYFUNCTION("GOOGLETRANSLATE(C169,""fr"",""en"")"),"Personally, I was stolen my GSXR motorcycle and, after 1 month, Axa ""properly"" reimbursed me. I say ""correctly"" because, anyway, in the case, I lost a little about 1000 euros ...
Please note, the file to be formed after a flight has lots of papers: r"&amp;"emember to keep everything ...")</f>
        <v>Personally, I was stolen my GSXR motorcycle and, after 1 month, Axa "properly" reimbursed me. I say "correctly" because, anyway, in the case, I lost a little about 1000 euros ...
Please note, the file to be formed after a flight has lots of papers: remember to keep everything ...</v>
      </c>
    </row>
    <row r="170" ht="15.75" customHeight="1">
      <c r="A170" s="2">
        <v>1.0</v>
      </c>
      <c r="B170" s="2" t="s">
        <v>580</v>
      </c>
      <c r="C170" s="2" t="s">
        <v>581</v>
      </c>
      <c r="D170" s="2" t="s">
        <v>32</v>
      </c>
      <c r="E170" s="2" t="s">
        <v>42</v>
      </c>
      <c r="F170" s="2" t="s">
        <v>15</v>
      </c>
      <c r="G170" s="2" t="s">
        <v>582</v>
      </c>
      <c r="H170" s="2" t="s">
        <v>406</v>
      </c>
      <c r="I170" s="2" t="str">
        <f>IFERROR(__xludf.DUMMYFUNCTION("GOOGLETRANSLATE(C170,""fr"",""en"")"),"Victim of water damage for more than a month and following the ""visit"" of an expert (by smartphone!), Still not compensated and the repairs still not made. The after -sales service is deplorable. Unable to answer you, promises to recall and never recall"&amp;"s, the tone used is sometimes limited. On the other hand to try to lower compensation as much as possible, they do not hesitate, seeking to stick the responsibility of the claim to you. I have to grasp the mediator. In short, as BCP wrote here, assurance "&amp;"to flee ...")</f>
        <v>Victim of water damage for more than a month and following the "visit" of an expert (by smartphone!), Still not compensated and the repairs still not made. The after -sales service is deplorable. Unable to answer you, promises to recall and never recalls, the tone used is sometimes limited. On the other hand to try to lower compensation as much as possible, they do not hesitate, seeking to stick the responsibility of the claim to you. I have to grasp the mediator. In short, as BCP wrote here, assurance to flee ...</v>
      </c>
    </row>
    <row r="171" ht="15.75" customHeight="1">
      <c r="A171" s="2">
        <v>1.0</v>
      </c>
      <c r="B171" s="2" t="s">
        <v>583</v>
      </c>
      <c r="C171" s="2" t="s">
        <v>584</v>
      </c>
      <c r="D171" s="2" t="s">
        <v>287</v>
      </c>
      <c r="E171" s="2" t="s">
        <v>283</v>
      </c>
      <c r="F171" s="2" t="s">
        <v>15</v>
      </c>
      <c r="G171" s="2" t="s">
        <v>585</v>
      </c>
      <c r="H171" s="2" t="s">
        <v>63</v>
      </c>
      <c r="I171" s="2" t="str">
        <f>IFERROR(__xludf.DUMMYFUNCTION("GOOGLETRANSLATE(C171,""fr"",""en"")"),"If I had read these opinions before taking insurance for my dog ​​at ECA I would have gone elsewhere")</f>
        <v>If I had read these opinions before taking insurance for my dog ​​at ECA I would have gone elsewhere</v>
      </c>
    </row>
    <row r="172" ht="15.75" customHeight="1">
      <c r="A172" s="2">
        <v>5.0</v>
      </c>
      <c r="B172" s="2" t="s">
        <v>586</v>
      </c>
      <c r="C172" s="2" t="s">
        <v>587</v>
      </c>
      <c r="D172" s="2" t="s">
        <v>32</v>
      </c>
      <c r="E172" s="2" t="s">
        <v>21</v>
      </c>
      <c r="F172" s="2" t="s">
        <v>15</v>
      </c>
      <c r="G172" s="2" t="s">
        <v>57</v>
      </c>
      <c r="H172" s="2" t="s">
        <v>58</v>
      </c>
      <c r="I172" s="2" t="str">
        <f>IFERROR(__xludf.DUMMYFUNCTION("GOOGLETRANSLATE(C172,""fr"",""en"")"),"I am very happy with this service and really it's very simple for me thank you direct insurance I am Mr. Bouraoui Sabri my address in Clichy sous Bois")</f>
        <v>I am very happy with this service and really it's very simple for me thank you direct insurance I am Mr. Bouraoui Sabri my address in Clichy sous Bois</v>
      </c>
    </row>
    <row r="173" ht="15.75" customHeight="1">
      <c r="A173" s="2">
        <v>2.0</v>
      </c>
      <c r="B173" s="2" t="s">
        <v>588</v>
      </c>
      <c r="C173" s="2" t="s">
        <v>589</v>
      </c>
      <c r="D173" s="2" t="s">
        <v>150</v>
      </c>
      <c r="E173" s="2" t="s">
        <v>21</v>
      </c>
      <c r="F173" s="2" t="s">
        <v>15</v>
      </c>
      <c r="G173" s="2" t="s">
        <v>590</v>
      </c>
      <c r="H173" s="2" t="s">
        <v>99</v>
      </c>
      <c r="I173" s="2" t="str">
        <f>IFERROR(__xludf.DUMMYFUNCTION("GOOGLETRANSLATE(C173,""fr"",""en"")"),"I have just renewed my car insurance contract and I find that it is expensive for a Peugeot 206 vehicle from 2002.
I am in the process of finding myself at another insurer because I pay 10 € more because I changed my place of residence of 5 km.")</f>
        <v>I have just renewed my car insurance contract and I find that it is expensive for a Peugeot 206 vehicle from 2002.
I am in the process of finding myself at another insurer because I pay 10 € more because I changed my place of residence of 5 km.</v>
      </c>
    </row>
    <row r="174" ht="15.75" customHeight="1">
      <c r="A174" s="2">
        <v>2.0</v>
      </c>
      <c r="B174" s="2" t="s">
        <v>591</v>
      </c>
      <c r="C174" s="2" t="s">
        <v>592</v>
      </c>
      <c r="D174" s="2" t="s">
        <v>20</v>
      </c>
      <c r="E174" s="2" t="s">
        <v>21</v>
      </c>
      <c r="F174" s="2" t="s">
        <v>15</v>
      </c>
      <c r="G174" s="2" t="s">
        <v>593</v>
      </c>
      <c r="H174" s="2" t="s">
        <v>188</v>
      </c>
      <c r="I174" s="2" t="str">
        <f>IFERROR(__xludf.DUMMYFUNCTION("GOOGLETRANSLATE(C174,""fr"",""en"")"),"I had a non -responsible accident over a month ago, my vehicle is wreck. To date, the olive tree has still not established responsibilities because they have still not read the amicable observation sent the day after the accident. Result I am without vehi"&amp;"cle (ready finished) and I still have to wait for a ""manager"" to look at the observation ... It is shameful management ... and no one reacts despite my many blows.")</f>
        <v>I had a non -responsible accident over a month ago, my vehicle is wreck. To date, the olive tree has still not established responsibilities because they have still not read the amicable observation sent the day after the accident. Result I am without vehicle (ready finished) and I still have to wait for a "manager" to look at the observation ... It is shameful management ... and no one reacts despite my many blows.</v>
      </c>
    </row>
    <row r="175" ht="15.75" customHeight="1">
      <c r="A175" s="2">
        <v>5.0</v>
      </c>
      <c r="B175" s="2" t="s">
        <v>594</v>
      </c>
      <c r="C175" s="2" t="s">
        <v>595</v>
      </c>
      <c r="D175" s="2" t="s">
        <v>20</v>
      </c>
      <c r="E175" s="2" t="s">
        <v>21</v>
      </c>
      <c r="F175" s="2" t="s">
        <v>15</v>
      </c>
      <c r="G175" s="2" t="s">
        <v>596</v>
      </c>
      <c r="H175" s="2" t="s">
        <v>597</v>
      </c>
      <c r="I175" s="2" t="str">
        <f>IFERROR(__xludf.DUMMYFUNCTION("GOOGLETRANSLATE(C175,""fr"",""en"")"),"Reactivity and professionalism of interlocutors, clarity of comments and conditions of engagement, completely reasonable price, simplicity of the procedure")</f>
        <v>Reactivity and professionalism of interlocutors, clarity of comments and conditions of engagement, completely reasonable price, simplicity of the procedure</v>
      </c>
    </row>
    <row r="176" ht="15.75" customHeight="1">
      <c r="A176" s="2">
        <v>3.0</v>
      </c>
      <c r="B176" s="2" t="s">
        <v>598</v>
      </c>
      <c r="C176" s="2" t="s">
        <v>599</v>
      </c>
      <c r="D176" s="2" t="s">
        <v>287</v>
      </c>
      <c r="E176" s="2" t="s">
        <v>283</v>
      </c>
      <c r="F176" s="2" t="s">
        <v>15</v>
      </c>
      <c r="G176" s="2" t="s">
        <v>600</v>
      </c>
      <c r="H176" s="2" t="s">
        <v>295</v>
      </c>
      <c r="I176" s="2" t="str">
        <f>IFERROR(__xludf.DUMMYFUNCTION("GOOGLETRANSLATE(C176,""fr"",""en"")"),"Insistent telephone operator. We sell ""all inclusive"" insurance by emphasizing radiotherapy, chemotherapy. And finally the contract only includes surgical costs. In other words, the contract is useless. Forcing by phone. I told him three times that I wa"&amp;"nted to think, he insisted by saying I give you the contract. BUT NO. Just for that I will not go to you. Ok you have good taking but it guarantees nothing and you take people for stupids. Change sales policy.")</f>
        <v>Insistent telephone operator. We sell "all inclusive" insurance by emphasizing radiotherapy, chemotherapy. And finally the contract only includes surgical costs. In other words, the contract is useless. Forcing by phone. I told him three times that I wanted to think, he insisted by saying I give you the contract. BUT NO. Just for that I will not go to you. Ok you have good taking but it guarantees nothing and you take people for stupids. Change sales policy.</v>
      </c>
    </row>
    <row r="177" ht="15.75" customHeight="1">
      <c r="A177" s="2">
        <v>5.0</v>
      </c>
      <c r="B177" s="2" t="s">
        <v>601</v>
      </c>
      <c r="C177" s="2" t="s">
        <v>602</v>
      </c>
      <c r="D177" s="2" t="s">
        <v>20</v>
      </c>
      <c r="E177" s="2" t="s">
        <v>21</v>
      </c>
      <c r="F177" s="2" t="s">
        <v>15</v>
      </c>
      <c r="G177" s="2" t="s">
        <v>603</v>
      </c>
      <c r="H177" s="2" t="s">
        <v>54</v>
      </c>
      <c r="I177" s="2" t="str">
        <f>IFERROR(__xludf.DUMMYFUNCTION("GOOGLETRANSLATE(C177,""fr"",""en"")"),"I am satisfied and the prices suit me. Customer advisor always available to explain and make the contract understand. I recommend this olive assurance")</f>
        <v>I am satisfied and the prices suit me. Customer advisor always available to explain and make the contract understand. I recommend this olive assurance</v>
      </c>
    </row>
    <row r="178" ht="15.75" customHeight="1">
      <c r="A178" s="2">
        <v>1.0</v>
      </c>
      <c r="B178" s="2" t="s">
        <v>604</v>
      </c>
      <c r="C178" s="2" t="s">
        <v>605</v>
      </c>
      <c r="D178" s="2" t="s">
        <v>32</v>
      </c>
      <c r="E178" s="2" t="s">
        <v>21</v>
      </c>
      <c r="F178" s="2" t="s">
        <v>15</v>
      </c>
      <c r="G178" s="2" t="s">
        <v>606</v>
      </c>
      <c r="H178" s="2" t="s">
        <v>44</v>
      </c>
      <c r="I178" s="2" t="str">
        <f>IFERROR(__xludf.DUMMYFUNCTION("GOOGLETRANSLATE(C178,""fr"",""en"")"),"Currently at all risk, with tranquility option, (760 euros per year) I recommend this insurance. Because this option bears its name very badly. My car was damaged when it was parked, by a semi trailer, it was found by the police. So obviously completely i"&amp;"rresponsible. They were the ones who had the insurance and a tow truck arrived. Big error since the vehicle was rolling. First trap. No loan vehicle with the departure of repairs. Except that already the insurance knew that the mechanic did not. D or a pr"&amp;"oposal of 30 euros per day .... so waiting for the expert. Except that the car is not repairable. Suddenly ... how do I do ???????????? I didn't ask anything from anyone like many and I am told that my vehicle is worth 2500 euros ... while it has always b"&amp;"een maintained, under invoices. I am totally sad about this non -consideration they have of their customers. Pay to have nothing.")</f>
        <v>Currently at all risk, with tranquility option, (760 euros per year) I recommend this insurance. Because this option bears its name very badly. My car was damaged when it was parked, by a semi trailer, it was found by the police. So obviously completely irresponsible. They were the ones who had the insurance and a tow truck arrived. Big error since the vehicle was rolling. First trap. No loan vehicle with the departure of repairs. Except that already the insurance knew that the mechanic did not. D or a proposal of 30 euros per day .... so waiting for the expert. Except that the car is not repairable. Suddenly ... how do I do ???????????? I didn't ask anything from anyone like many and I am told that my vehicle is worth 2500 euros ... while it has always been maintained, under invoices. I am totally sad about this non -consideration they have of their customers. Pay to have nothing.</v>
      </c>
    </row>
    <row r="179" ht="15.75" customHeight="1">
      <c r="A179" s="2">
        <v>2.0</v>
      </c>
      <c r="B179" s="2" t="s">
        <v>607</v>
      </c>
      <c r="C179" s="2" t="s">
        <v>608</v>
      </c>
      <c r="D179" s="2" t="s">
        <v>93</v>
      </c>
      <c r="E179" s="2" t="s">
        <v>42</v>
      </c>
      <c r="F179" s="2" t="s">
        <v>15</v>
      </c>
      <c r="G179" s="2" t="s">
        <v>609</v>
      </c>
      <c r="H179" s="2" t="s">
        <v>525</v>
      </c>
      <c r="I179" s="2" t="str">
        <f>IFERROR(__xludf.DUMMYFUNCTION("GOOGLETRANSLATE(C179,""fr"",""en"")"),"I was robbed on December 31 and to date June 4 I am still not reimbursed, they try all the stratagems so as not")</f>
        <v>I was robbed on December 31 and to date June 4 I am still not reimbursed, they try all the stratagems so as not</v>
      </c>
    </row>
    <row r="180" ht="15.75" customHeight="1">
      <c r="A180" s="2">
        <v>1.0</v>
      </c>
      <c r="B180" s="2" t="s">
        <v>610</v>
      </c>
      <c r="C180" s="2" t="s">
        <v>611</v>
      </c>
      <c r="D180" s="2" t="s">
        <v>434</v>
      </c>
      <c r="E180" s="2" t="s">
        <v>128</v>
      </c>
      <c r="F180" s="2" t="s">
        <v>15</v>
      </c>
      <c r="G180" s="2" t="s">
        <v>612</v>
      </c>
      <c r="H180" s="2" t="s">
        <v>77</v>
      </c>
      <c r="I180" s="2" t="str">
        <f>IFERROR(__xludf.DUMMYFUNCTION("GOOGLETRANSLATE(C180,""fr"",""en"")"),"April asked me for a very complete file to ensure a mortgage, once the file has been given and complete more news on their part and impossible to connect to my file. 3 weeks that it lasts I am taken for a fool, I do not recommend it strongly, because we c"&amp;"annot wait so long when we start important loans. Mr Ribal Herve")</f>
        <v>April asked me for a very complete file to ensure a mortgage, once the file has been given and complete more news on their part and impossible to connect to my file. 3 weeks that it lasts I am taken for a fool, I do not recommend it strongly, because we cannot wait so long when we start important loans. Mr Ribal Herve</v>
      </c>
    </row>
    <row r="181" ht="15.75" customHeight="1">
      <c r="A181" s="2">
        <v>4.0</v>
      </c>
      <c r="B181" s="2" t="s">
        <v>613</v>
      </c>
      <c r="C181" s="2" t="s">
        <v>614</v>
      </c>
      <c r="D181" s="2" t="s">
        <v>32</v>
      </c>
      <c r="E181" s="2" t="s">
        <v>21</v>
      </c>
      <c r="F181" s="2" t="s">
        <v>15</v>
      </c>
      <c r="G181" s="2" t="s">
        <v>425</v>
      </c>
      <c r="H181" s="2" t="s">
        <v>38</v>
      </c>
      <c r="I181" s="2" t="str">
        <f>IFERROR(__xludf.DUMMYFUNCTION("GOOGLETRANSLATE(C181,""fr"",""en"")"),"I am satisfied with the service and the speed to which the quote was published. In addition, the simplicity of membership is a significant asset. Hoping so much responsiveness in the event of a problem!")</f>
        <v>I am satisfied with the service and the speed to which the quote was published. In addition, the simplicity of membership is a significant asset. Hoping so much responsiveness in the event of a problem!</v>
      </c>
    </row>
    <row r="182" ht="15.75" customHeight="1">
      <c r="A182" s="2">
        <v>2.0</v>
      </c>
      <c r="B182" s="2" t="s">
        <v>615</v>
      </c>
      <c r="C182" s="2" t="s">
        <v>616</v>
      </c>
      <c r="D182" s="2" t="s">
        <v>150</v>
      </c>
      <c r="E182" s="2" t="s">
        <v>21</v>
      </c>
      <c r="F182" s="2" t="s">
        <v>15</v>
      </c>
      <c r="G182" s="2" t="s">
        <v>617</v>
      </c>
      <c r="H182" s="2" t="s">
        <v>199</v>
      </c>
      <c r="I182" s="2" t="str">
        <f>IFERROR(__xludf.DUMMYFUNCTION("GOOGLETRANSLATE(C182,""fr"",""en"")"),"Too many interlocutors, too much mail sent without thinking, the customer does not come out of it as soon as he asks for information he is badly welcomed and above all he is treated as if he did not understand anything! They are on their platform that wit"&amp;"h their PC are pro! What interests them is your phone numbers and you need to macher the work so as not to pay opinions that are not. A bill; a rib; A return envelope that in fact is not valid for the question you have asked. The machine does everything! "&amp;"and the customer must
Monitor their ""work"" like milk on fire; Otherwise you pay things that are not real invoices. But it's all that. So be careful and control your contracts.")</f>
        <v>Too many interlocutors, too much mail sent without thinking, the customer does not come out of it as soon as he asks for information he is badly welcomed and above all he is treated as if he did not understand anything! They are on their platform that with their PC are pro! What interests them is your phone numbers and you need to macher the work so as not to pay opinions that are not. A bill; a rib; A return envelope that in fact is not valid for the question you have asked. The machine does everything! and the customer must
Monitor their "work" like milk on fire; Otherwise you pay things that are not real invoices. But it's all that. So be careful and control your contracts.</v>
      </c>
    </row>
    <row r="183" ht="15.75" customHeight="1">
      <c r="A183" s="2">
        <v>5.0</v>
      </c>
      <c r="B183" s="2" t="s">
        <v>618</v>
      </c>
      <c r="C183" s="2" t="s">
        <v>619</v>
      </c>
      <c r="D183" s="2" t="s">
        <v>20</v>
      </c>
      <c r="E183" s="2" t="s">
        <v>21</v>
      </c>
      <c r="F183" s="2" t="s">
        <v>15</v>
      </c>
      <c r="G183" s="2" t="s">
        <v>620</v>
      </c>
      <c r="H183" s="2" t="s">
        <v>23</v>
      </c>
      <c r="I183" s="2" t="str">
        <f>IFERROR(__xludf.DUMMYFUNCTION("GOOGLETRANSLATE(C183,""fr"",""en"")"),"I am satisfied with the price and I count on you to terminate the contract with Direct Insurance as soon as possible, thank you very much
Cordially,")</f>
        <v>I am satisfied with the price and I count on you to terminate the contract with Direct Insurance as soon as possible, thank you very much
Cordially,</v>
      </c>
    </row>
    <row r="184" ht="15.75" customHeight="1">
      <c r="A184" s="2">
        <v>4.0</v>
      </c>
      <c r="B184" s="2" t="s">
        <v>621</v>
      </c>
      <c r="C184" s="2" t="s">
        <v>622</v>
      </c>
      <c r="D184" s="2" t="s">
        <v>20</v>
      </c>
      <c r="E184" s="2" t="s">
        <v>21</v>
      </c>
      <c r="F184" s="2" t="s">
        <v>15</v>
      </c>
      <c r="G184" s="2" t="s">
        <v>623</v>
      </c>
      <c r="H184" s="2" t="s">
        <v>87</v>
      </c>
      <c r="I184" s="2" t="str">
        <f>IFERROR(__xludf.DUMMYFUNCTION("GOOGLETRANSLATE(C184,""fr"",""en"")"),"I am satisfied with the service proposed by the Olivier Insurance.
The price is correct and affordable.
I highly recommend this insurance.
Very satisfied.")</f>
        <v>I am satisfied with the service proposed by the Olivier Insurance.
The price is correct and affordable.
I highly recommend this insurance.
Very satisfied.</v>
      </c>
    </row>
    <row r="185" ht="15.75" customHeight="1">
      <c r="A185" s="2">
        <v>2.0</v>
      </c>
      <c r="B185" s="2" t="s">
        <v>624</v>
      </c>
      <c r="C185" s="2" t="s">
        <v>625</v>
      </c>
      <c r="D185" s="2" t="s">
        <v>139</v>
      </c>
      <c r="E185" s="2" t="s">
        <v>42</v>
      </c>
      <c r="F185" s="2" t="s">
        <v>15</v>
      </c>
      <c r="G185" s="2" t="s">
        <v>76</v>
      </c>
      <c r="H185" s="2" t="s">
        <v>77</v>
      </c>
      <c r="I185" s="2" t="str">
        <f>IFERROR(__xludf.DUMMYFUNCTION("GOOGLETRANSLATE(C185,""fr"",""en"")"),"GMF is a good insurance if we have no claims I have had bitter experience with water damage whose responsibility was allocated to my co -ownership neighbor. Ten months and still not compensated. The collective management of the file is catastrophic: locki"&amp;"ng communication, refusal of information, contradictory opinion of advisers who are unreachable most of the time, partial compensation, absence of transparency ... I leave GMF after decades of loyalty without claims")</f>
        <v>GMF is a good insurance if we have no claims I have had bitter experience with water damage whose responsibility was allocated to my co -ownership neighbor. Ten months and still not compensated. The collective management of the file is catastrophic: locking communication, refusal of information, contradictory opinion of advisers who are unreachable most of the time, partial compensation, absence of transparency ... I leave GMF after decades of loyalty without claims</v>
      </c>
    </row>
    <row r="186" ht="15.75" customHeight="1">
      <c r="A186" s="2">
        <v>4.0</v>
      </c>
      <c r="B186" s="2" t="s">
        <v>626</v>
      </c>
      <c r="C186" s="2" t="s">
        <v>627</v>
      </c>
      <c r="D186" s="2" t="s">
        <v>139</v>
      </c>
      <c r="E186" s="2" t="s">
        <v>21</v>
      </c>
      <c r="F186" s="2" t="s">
        <v>15</v>
      </c>
      <c r="G186" s="2" t="s">
        <v>628</v>
      </c>
      <c r="H186" s="2" t="s">
        <v>87</v>
      </c>
      <c r="I186" s="2" t="str">
        <f>IFERROR(__xludf.DUMMYFUNCTION("GOOGLETRANSLATE(C186,""fr"",""en"")"),"It would be wise to be able to download the certificates directly from the personal space to the extent or the mail sending service experiences sending problems.")</f>
        <v>It would be wise to be able to download the certificates directly from the personal space to the extent or the mail sending service experiences sending problems.</v>
      </c>
    </row>
    <row r="187" ht="15.75" customHeight="1">
      <c r="A187" s="2">
        <v>5.0</v>
      </c>
      <c r="B187" s="2" t="s">
        <v>629</v>
      </c>
      <c r="C187" s="2" t="s">
        <v>630</v>
      </c>
      <c r="D187" s="2" t="s">
        <v>20</v>
      </c>
      <c r="E187" s="2" t="s">
        <v>21</v>
      </c>
      <c r="F187" s="2" t="s">
        <v>15</v>
      </c>
      <c r="G187" s="2" t="s">
        <v>631</v>
      </c>
      <c r="H187" s="2" t="s">
        <v>179</v>
      </c>
      <c r="I187" s="2" t="str">
        <f>IFERROR(__xludf.DUMMYFUNCTION("GOOGLETRANSLATE(C187,""fr"",""en"")"),"Satisfied with the insurance price now I wait to see in the event of claims if you will be up to monitoring in terms of monitoring and reimbursement")</f>
        <v>Satisfied with the insurance price now I wait to see in the event of claims if you will be up to monitoring in terms of monitoring and reimbursement</v>
      </c>
    </row>
    <row r="188" ht="15.75" customHeight="1">
      <c r="A188" s="2">
        <v>4.0</v>
      </c>
      <c r="B188" s="2" t="s">
        <v>632</v>
      </c>
      <c r="C188" s="2" t="s">
        <v>633</v>
      </c>
      <c r="D188" s="2" t="s">
        <v>32</v>
      </c>
      <c r="E188" s="2" t="s">
        <v>21</v>
      </c>
      <c r="F188" s="2" t="s">
        <v>15</v>
      </c>
      <c r="G188" s="2" t="s">
        <v>634</v>
      </c>
      <c r="H188" s="2" t="s">
        <v>179</v>
      </c>
      <c r="I188" s="2" t="str">
        <f>IFERROR(__xludf.DUMMYFUNCTION("GOOGLETRANSLATE(C188,""fr"",""en"")"),"Not taken care of a break -in on the gate of my garden which is an integral part of my accommodation, apart from that I am happy to be at Direct Insurance;)")</f>
        <v>Not taken care of a break -in on the gate of my garden which is an integral part of my accommodation, apart from that I am happy to be at Direct Insurance;)</v>
      </c>
    </row>
    <row r="189" ht="15.75" customHeight="1">
      <c r="A189" s="2">
        <v>5.0</v>
      </c>
      <c r="B189" s="2" t="s">
        <v>635</v>
      </c>
      <c r="C189" s="2" t="s">
        <v>636</v>
      </c>
      <c r="D189" s="2" t="s">
        <v>32</v>
      </c>
      <c r="E189" s="2" t="s">
        <v>21</v>
      </c>
      <c r="F189" s="2" t="s">
        <v>15</v>
      </c>
      <c r="G189" s="2" t="s">
        <v>140</v>
      </c>
      <c r="H189" s="2" t="s">
        <v>87</v>
      </c>
      <c r="I189" s="2" t="str">
        <f>IFERROR(__xludf.DUMMYFUNCTION("GOOGLETRANSLATE(C189,""fr"",""en"")"),"very containing direct insurance for more than 7 years thank you for your
competence of the kindness of the telephone service and your prices are
unbeatable")</f>
        <v>very containing direct insurance for more than 7 years thank you for your
competence of the kindness of the telephone service and your prices are
unbeatable</v>
      </c>
    </row>
    <row r="190" ht="15.75" customHeight="1">
      <c r="A190" s="2">
        <v>4.0</v>
      </c>
      <c r="B190" s="2" t="s">
        <v>637</v>
      </c>
      <c r="C190" s="2" t="s">
        <v>638</v>
      </c>
      <c r="D190" s="2" t="s">
        <v>146</v>
      </c>
      <c r="E190" s="2" t="s">
        <v>52</v>
      </c>
      <c r="F190" s="2" t="s">
        <v>15</v>
      </c>
      <c r="G190" s="2" t="s">
        <v>639</v>
      </c>
      <c r="H190" s="2" t="s">
        <v>54</v>
      </c>
      <c r="I190" s="2" t="str">
        <f>IFERROR(__xludf.DUMMYFUNCTION("GOOGLETRANSLATE(C190,""fr"",""en"")"),"I am satisfied with the service, the prices are correct, a multitude of options offered which I hope will give me satisfaction, when I could request")</f>
        <v>I am satisfied with the service, the prices are correct, a multitude of options offered which I hope will give me satisfaction, when I could request</v>
      </c>
    </row>
    <row r="191" ht="15.75" customHeight="1">
      <c r="A191" s="2">
        <v>2.0</v>
      </c>
      <c r="B191" s="2" t="s">
        <v>640</v>
      </c>
      <c r="C191" s="2" t="s">
        <v>641</v>
      </c>
      <c r="D191" s="2" t="s">
        <v>314</v>
      </c>
      <c r="E191" s="2" t="s">
        <v>21</v>
      </c>
      <c r="F191" s="2" t="s">
        <v>15</v>
      </c>
      <c r="G191" s="2" t="s">
        <v>642</v>
      </c>
      <c r="H191" s="2" t="s">
        <v>454</v>
      </c>
      <c r="I191" s="2" t="str">
        <f>IFERROR(__xludf.DUMMYFUNCTION("GOOGLETRANSLATE(C191,""fr"",""en"")"),"I have been registered with them since March 1, I sent the same documents twice and I still don't have my green card, I can't drive with my car")</f>
        <v>I have been registered with them since March 1, I sent the same documents twice and I still don't have my green card, I can't drive with my car</v>
      </c>
    </row>
    <row r="192" ht="15.75" customHeight="1">
      <c r="A192" s="2">
        <v>2.0</v>
      </c>
      <c r="B192" s="2" t="s">
        <v>643</v>
      </c>
      <c r="C192" s="2" t="s">
        <v>644</v>
      </c>
      <c r="D192" s="2" t="s">
        <v>150</v>
      </c>
      <c r="E192" s="2" t="s">
        <v>21</v>
      </c>
      <c r="F192" s="2" t="s">
        <v>15</v>
      </c>
      <c r="G192" s="2" t="s">
        <v>645</v>
      </c>
      <c r="H192" s="2" t="s">
        <v>597</v>
      </c>
      <c r="I192" s="2" t="str">
        <f>IFERROR(__xludf.DUMMYFUNCTION("GOOGLETRANSLATE(C192,""fr"",""en"")"),"I just called the Macif to declare a trailer, following the discussion, the advisor offers me to increase my accident guarantee insurance that I refuse. Barely hang up on my tel that I receive by email a modification of my accident guaranteed contract to "&amp;"sign !!! A shame, inadmissible, I had to remind them immediately to recover the initial contract !!! Very disappointed with the forcing of the Macif !!!")</f>
        <v>I just called the Macif to declare a trailer, following the discussion, the advisor offers me to increase my accident guarantee insurance that I refuse. Barely hang up on my tel that I receive by email a modification of my accident guaranteed contract to sign !!! A shame, inadmissible, I had to remind them immediately to recover the initial contract !!! Very disappointed with the forcing of the Macif !!!</v>
      </c>
    </row>
    <row r="193" ht="15.75" customHeight="1">
      <c r="A193" s="2">
        <v>4.0</v>
      </c>
      <c r="B193" s="2" t="s">
        <v>646</v>
      </c>
      <c r="C193" s="2" t="s">
        <v>647</v>
      </c>
      <c r="D193" s="2" t="s">
        <v>150</v>
      </c>
      <c r="E193" s="2" t="s">
        <v>21</v>
      </c>
      <c r="F193" s="2" t="s">
        <v>15</v>
      </c>
      <c r="G193" s="2" t="s">
        <v>648</v>
      </c>
      <c r="H193" s="2" t="s">
        <v>552</v>
      </c>
      <c r="I193" s="2" t="str">
        <f>IFERROR(__xludf.DUMMYFUNCTION("GOOGLETRANSLATE(C193,""fr"",""en"")"),"client for many years I only had to rent their services both in car insurance and lives")</f>
        <v>client for many years I only had to rent their services both in car insurance and lives</v>
      </c>
    </row>
    <row r="194" ht="15.75" customHeight="1">
      <c r="A194" s="2">
        <v>2.0</v>
      </c>
      <c r="B194" s="2" t="s">
        <v>649</v>
      </c>
      <c r="C194" s="2" t="s">
        <v>650</v>
      </c>
      <c r="D194" s="2" t="s">
        <v>150</v>
      </c>
      <c r="E194" s="2" t="s">
        <v>21</v>
      </c>
      <c r="F194" s="2" t="s">
        <v>15</v>
      </c>
      <c r="G194" s="2" t="s">
        <v>651</v>
      </c>
      <c r="H194" s="2" t="s">
        <v>48</v>
      </c>
      <c r="I194" s="2" t="str">
        <f>IFERROR(__xludf.DUMMYFUNCTION("GOOGLETRANSLATE(C194,""fr"",""en"")"),"For years the green card was sent 2 months in advance valid until March 31, I have called, I spoke politely to the lady and ""politely"" she straightened me unanswered")</f>
        <v>For years the green card was sent 2 months in advance valid until March 31, I have called, I spoke politely to the lady and "politely" she straightened me unanswered</v>
      </c>
    </row>
    <row r="195" ht="15.75" customHeight="1">
      <c r="A195" s="2">
        <v>1.0</v>
      </c>
      <c r="B195" s="2" t="s">
        <v>652</v>
      </c>
      <c r="C195" s="2" t="s">
        <v>653</v>
      </c>
      <c r="D195" s="2" t="s">
        <v>543</v>
      </c>
      <c r="E195" s="2" t="s">
        <v>544</v>
      </c>
      <c r="F195" s="2" t="s">
        <v>15</v>
      </c>
      <c r="G195" s="2" t="s">
        <v>609</v>
      </c>
      <c r="H195" s="2" t="s">
        <v>525</v>
      </c>
      <c r="I195" s="2" t="str">
        <f>IFERROR(__xludf.DUMMYFUNCTION("GOOGLETRANSLATE(C195,""fr"",""en"")"),"In March 2018 I had a work accident, he had processed my file in June 2018, thereafter no problem. But since November still no payment following the relapse of my work accident, it has been 3 months that I call you every week each time I am given again tr"&amp;"eatment deadline, papers that are missing, in the end currently full file , I am told that my file is out of time that a complaint has been made but still no payment or file processing! I think justice will become my only recourse against them. There are "&amp;"financially tired.")</f>
        <v>In March 2018 I had a work accident, he had processed my file in June 2018, thereafter no problem. But since November still no payment following the relapse of my work accident, it has been 3 months that I call you every week each time I am given again treatment deadline, papers that are missing, in the end currently full file , I am told that my file is out of time that a complaint has been made but still no payment or file processing! I think justice will become my only recourse against them. There are financially tired.</v>
      </c>
    </row>
    <row r="196" ht="15.75" customHeight="1">
      <c r="A196" s="2">
        <v>1.0</v>
      </c>
      <c r="B196" s="2" t="s">
        <v>654</v>
      </c>
      <c r="C196" s="2" t="s">
        <v>655</v>
      </c>
      <c r="D196" s="2" t="s">
        <v>122</v>
      </c>
      <c r="E196" s="2" t="s">
        <v>42</v>
      </c>
      <c r="F196" s="2" t="s">
        <v>15</v>
      </c>
      <c r="G196" s="2" t="s">
        <v>44</v>
      </c>
      <c r="H196" s="2" t="s">
        <v>44</v>
      </c>
      <c r="I196" s="2" t="str">
        <f>IFERROR(__xludf.DUMMYFUNCTION("GOOGLETRANSLATE(C196,""fr"",""en"")"),"Nonexistent customer service, I have desperately trying to obtain a simple insurance certificate for more than 2 months ... I sent more than 5 letters, I called them several times but they are always unable to answer my request . Promises ""Yes we put you"&amp;"r priority file"", ""Yes we will contact you during the day"" ... but nothing concrete. Very disappointed by the Matmut while I have been a customer for many years. I absolutely do not recommend this insurer.")</f>
        <v>Nonexistent customer service, I have desperately trying to obtain a simple insurance certificate for more than 2 months ... I sent more than 5 letters, I called them several times but they are always unable to answer my request . Promises "Yes we put your priority file", "Yes we will contact you during the day" ... but nothing concrete. Very disappointed by the Matmut while I have been a customer for many years. I absolutely do not recommend this insurer.</v>
      </c>
    </row>
    <row r="197" ht="15.75" customHeight="1">
      <c r="A197" s="2">
        <v>1.0</v>
      </c>
      <c r="B197" s="2" t="s">
        <v>656</v>
      </c>
      <c r="C197" s="2" t="s">
        <v>657</v>
      </c>
      <c r="D197" s="2" t="s">
        <v>106</v>
      </c>
      <c r="E197" s="2" t="s">
        <v>14</v>
      </c>
      <c r="F197" s="2" t="s">
        <v>15</v>
      </c>
      <c r="G197" s="2" t="s">
        <v>658</v>
      </c>
      <c r="H197" s="2" t="s">
        <v>95</v>
      </c>
      <c r="I197" s="2" t="str">
        <f>IFERROR(__xludf.DUMMYFUNCTION("GOOGLETRANSLATE(C197,""fr"",""en"")"),"Contact by phone, after a strong insistence of the seller, I conclude a contract, the next morning I cancel this contract. I recall this seller, he confirms the cancellation and denigrates the opposing mutual, I doubt his words under the pretext of losing"&amp;" his sales bonus. I make a letter the same day with acknowledgment of receipt for cancellation. The one comes back to sign. This month withdraws from my account for a service cancel. J concludes that this company has led to my account a sum of money for a"&amp;" contract which has been canceled under 24 hours. So .....
.... After validation, I am subject to me that certain words cannot be written, so text not validated, they do not want to hear that they are under the pretext of prosecution ah ah. Mutual to fle"&amp;"e. I do not want to be contacted by this company later. Thank you")</f>
        <v>Contact by phone, after a strong insistence of the seller, I conclude a contract, the next morning I cancel this contract. I recall this seller, he confirms the cancellation and denigrates the opposing mutual, I doubt his words under the pretext of losing his sales bonus. I make a letter the same day with acknowledgment of receipt for cancellation. The one comes back to sign. This month withdraws from my account for a service cancel. J concludes that this company has led to my account a sum of money for a contract which has been canceled under 24 hours. So .....
.... After validation, I am subject to me that certain words cannot be written, so text not validated, they do not want to hear that they are under the pretext of prosecution ah ah. Mutual to flee. I do not want to be contacted by this company later. Thank you</v>
      </c>
    </row>
    <row r="198" ht="15.75" customHeight="1">
      <c r="A198" s="2">
        <v>1.0</v>
      </c>
      <c r="B198" s="2" t="s">
        <v>659</v>
      </c>
      <c r="C198" s="2" t="s">
        <v>660</v>
      </c>
      <c r="D198" s="2" t="s">
        <v>251</v>
      </c>
      <c r="E198" s="2" t="s">
        <v>14</v>
      </c>
      <c r="F198" s="2" t="s">
        <v>15</v>
      </c>
      <c r="G198" s="2" t="s">
        <v>661</v>
      </c>
      <c r="H198" s="2" t="s">
        <v>179</v>
      </c>
      <c r="I198" s="2" t="str">
        <f>IFERROR(__xludf.DUMMYFUNCTION("GOOGLETRANSLATE(C198,""fr"",""en"")"),"Mutual to flee absolutely, seek all possible pretexts so as not to reimburse while the services are in the contracts. Impossible to have them on the phone, never respond to emails. Mutual not at all professional, I do not recommend it strongly, strongly t"&amp;"hat I can go elsewhere because it is by far the worst mutual that I know !!!!
I repeat, to flee absolutely !!!!!!")</f>
        <v>Mutual to flee absolutely, seek all possible pretexts so as not to reimburse while the services are in the contracts. Impossible to have them on the phone, never respond to emails. Mutual not at all professional, I do not recommend it strongly, strongly that I can go elsewhere because it is by far the worst mutual that I know !!!!
I repeat, to flee absolutely !!!!!!</v>
      </c>
    </row>
    <row r="199" ht="15.75" customHeight="1">
      <c r="A199" s="2">
        <v>3.0</v>
      </c>
      <c r="B199" s="2" t="s">
        <v>662</v>
      </c>
      <c r="C199" s="2" t="s">
        <v>663</v>
      </c>
      <c r="D199" s="2" t="s">
        <v>20</v>
      </c>
      <c r="E199" s="2" t="s">
        <v>21</v>
      </c>
      <c r="F199" s="2" t="s">
        <v>15</v>
      </c>
      <c r="G199" s="2" t="s">
        <v>664</v>
      </c>
      <c r="H199" s="2" t="s">
        <v>48</v>
      </c>
      <c r="I199" s="2" t="str">
        <f>IFERROR(__xludf.DUMMYFUNCTION("GOOGLETRANSLATE(C199,""fr"",""en"")"),"I am satisfied with their warm welcome
I find the affordable prices,
The advantage is that we can have a subscription of a contract quickly.
")</f>
        <v>I am satisfied with their warm welcome
I find the affordable prices,
The advantage is that we can have a subscription of a contract quickly.
</v>
      </c>
    </row>
    <row r="200" ht="15.75" customHeight="1">
      <c r="A200" s="2">
        <v>5.0</v>
      </c>
      <c r="B200" s="2" t="s">
        <v>665</v>
      </c>
      <c r="C200" s="2" t="s">
        <v>666</v>
      </c>
      <c r="D200" s="2" t="s">
        <v>51</v>
      </c>
      <c r="E200" s="2" t="s">
        <v>52</v>
      </c>
      <c r="F200" s="2" t="s">
        <v>15</v>
      </c>
      <c r="G200" s="2" t="s">
        <v>667</v>
      </c>
      <c r="H200" s="2" t="s">
        <v>77</v>
      </c>
      <c r="I200" s="2" t="str">
        <f>IFERROR(__xludf.DUMMYFUNCTION("GOOGLETRANSLATE(C200,""fr"",""en"")"),"Very good insurance always present for all accident requests documents etc I recommend 200% the staff is always available for you")</f>
        <v>Very good insurance always present for all accident requests documents etc I recommend 200% the staff is always available for you</v>
      </c>
    </row>
    <row r="201" ht="15.75" customHeight="1">
      <c r="A201" s="2">
        <v>2.0</v>
      </c>
      <c r="B201" s="2" t="s">
        <v>668</v>
      </c>
      <c r="C201" s="2" t="s">
        <v>669</v>
      </c>
      <c r="D201" s="2" t="s">
        <v>670</v>
      </c>
      <c r="E201" s="2" t="s">
        <v>14</v>
      </c>
      <c r="F201" s="2" t="s">
        <v>15</v>
      </c>
      <c r="G201" s="2" t="s">
        <v>651</v>
      </c>
      <c r="H201" s="2" t="s">
        <v>48</v>
      </c>
      <c r="I201" s="2" t="str">
        <f>IFERROR(__xludf.DUMMYFUNCTION("GOOGLETRANSLATE(C201,""fr"",""en"")"),"We have been waiting for reimbursements since February 1
We have terminated the contract and despite everything the contributions of contributions continue to be carried out therefore opposition to the bank made today on March 2021 a shame !!!")</f>
        <v>We have been waiting for reimbursements since February 1
We have terminated the contract and despite everything the contributions of contributions continue to be carried out therefore opposition to the bank made today on March 2021 a shame !!!</v>
      </c>
    </row>
    <row r="202" ht="15.75" customHeight="1">
      <c r="A202" s="2">
        <v>4.0</v>
      </c>
      <c r="B202" s="2" t="s">
        <v>671</v>
      </c>
      <c r="C202" s="2" t="s">
        <v>672</v>
      </c>
      <c r="D202" s="2" t="s">
        <v>20</v>
      </c>
      <c r="E202" s="2" t="s">
        <v>21</v>
      </c>
      <c r="F202" s="2" t="s">
        <v>15</v>
      </c>
      <c r="G202" s="2" t="s">
        <v>673</v>
      </c>
      <c r="H202" s="2" t="s">
        <v>23</v>
      </c>
      <c r="I202" s="2" t="str">
        <f>IFERROR(__xludf.DUMMYFUNCTION("GOOGLETRANSLATE(C202,""fr"",""en"")"),"Very good relational contact on the part of French actors ""which is rare today"" and atractive price, reception of rapid documents and management of efficient claims")</f>
        <v>Very good relational contact on the part of French actors "which is rare today" and atractive price, reception of rapid documents and management of efficient claims</v>
      </c>
    </row>
    <row r="203" ht="15.75" customHeight="1">
      <c r="A203" s="2">
        <v>5.0</v>
      </c>
      <c r="B203" s="2" t="s">
        <v>674</v>
      </c>
      <c r="C203" s="2" t="s">
        <v>675</v>
      </c>
      <c r="D203" s="2" t="s">
        <v>20</v>
      </c>
      <c r="E203" s="2" t="s">
        <v>21</v>
      </c>
      <c r="F203" s="2" t="s">
        <v>15</v>
      </c>
      <c r="G203" s="2" t="s">
        <v>676</v>
      </c>
      <c r="H203" s="2" t="s">
        <v>95</v>
      </c>
      <c r="I203" s="2" t="str">
        <f>IFERROR(__xludf.DUMMYFUNCTION("GOOGLETRANSLATE(C203,""fr"",""en"")"),"I am satisfied with the service, fast and competitive. The welcome is nice and available. The prices are by far the cheapest. I recommend this insurance.")</f>
        <v>I am satisfied with the service, fast and competitive. The welcome is nice and available. The prices are by far the cheapest. I recommend this insurance.</v>
      </c>
    </row>
    <row r="204" ht="15.75" customHeight="1">
      <c r="A204" s="2">
        <v>1.0</v>
      </c>
      <c r="B204" s="2" t="s">
        <v>677</v>
      </c>
      <c r="C204" s="2" t="s">
        <v>678</v>
      </c>
      <c r="D204" s="2" t="s">
        <v>251</v>
      </c>
      <c r="E204" s="2" t="s">
        <v>14</v>
      </c>
      <c r="F204" s="2" t="s">
        <v>15</v>
      </c>
      <c r="G204" s="2" t="s">
        <v>679</v>
      </c>
      <c r="H204" s="2" t="s">
        <v>87</v>
      </c>
      <c r="I204" s="2" t="str">
        <f>IFERROR(__xludf.DUMMYFUNCTION("GOOGLETRANSLATE(C204,""fr"",""en"")"),"The worst mutual that I have ever seen. Do everything not to reimburse, do not take into account the documents, app that plants once in two .. to flee")</f>
        <v>The worst mutual that I have ever seen. Do everything not to reimburse, do not take into account the documents, app that plants once in two .. to flee</v>
      </c>
    </row>
    <row r="205" ht="15.75" customHeight="1">
      <c r="A205" s="2">
        <v>2.0</v>
      </c>
      <c r="B205" s="2" t="s">
        <v>680</v>
      </c>
      <c r="C205" s="2" t="s">
        <v>681</v>
      </c>
      <c r="D205" s="2" t="s">
        <v>32</v>
      </c>
      <c r="E205" s="2" t="s">
        <v>21</v>
      </c>
      <c r="F205" s="2" t="s">
        <v>15</v>
      </c>
      <c r="G205" s="2" t="s">
        <v>54</v>
      </c>
      <c r="H205" s="2" t="s">
        <v>54</v>
      </c>
      <c r="I205" s="2" t="str">
        <f>IFERROR(__xludf.DUMMYFUNCTION("GOOGLETRANSLATE(C205,""fr"",""en"")"),"I think you should give customers the choice to issue an opinion or not.
Overall, the service is not bad, competent commercial. However, I am very disappointed with the quality of the information statement.")</f>
        <v>I think you should give customers the choice to issue an opinion or not.
Overall, the service is not bad, competent commercial. However, I am very disappointed with the quality of the information statement.</v>
      </c>
    </row>
    <row r="206" ht="15.75" customHeight="1">
      <c r="A206" s="2">
        <v>1.0</v>
      </c>
      <c r="B206" s="2" t="s">
        <v>682</v>
      </c>
      <c r="C206" s="2" t="s">
        <v>683</v>
      </c>
      <c r="D206" s="2" t="s">
        <v>222</v>
      </c>
      <c r="E206" s="2" t="s">
        <v>21</v>
      </c>
      <c r="F206" s="2" t="s">
        <v>15</v>
      </c>
      <c r="G206" s="2" t="s">
        <v>684</v>
      </c>
      <c r="H206" s="2" t="s">
        <v>685</v>
      </c>
      <c r="I206" s="2" t="str">
        <f>IFERROR(__xludf.DUMMYFUNCTION("GOOGLETRANSLATE(C206,""fr"",""en"")"),"Insured since 2015 on a vehicle and a home contract, I declared a minor claim with my pet (200 euros). During the online declaration, I expressly ask for the mounting of a possible deductible, the answer is: no deductible or less than 30 euros.
I decide "&amp;"to play my civil liability for this case. Consequently, the difficulties started, no management of the claim, no communication, a deductible of 160 euros is requested, contrary to what was indicated to me by phone during the declaration. Payment of the fe"&amp;"es has taken several months to be made to the victim and no communication with the opposing company. Then receipt of the fundamental call for the year 2018 going from 930 euros to 1001 euros without any declarations of auto claims which represents an incr"&amp;"ease of 10 % !! When I ask for explanations I am taken from high by explaining that the prices increase each year!")</f>
        <v>Insured since 2015 on a vehicle and a home contract, I declared a minor claim with my pet (200 euros). During the online declaration, I expressly ask for the mounting of a possible deductible, the answer is: no deductible or less than 30 euros.
I decide to play my civil liability for this case. Consequently, the difficulties started, no management of the claim, no communication, a deductible of 160 euros is requested, contrary to what was indicated to me by phone during the declaration. Payment of the fees has taken several months to be made to the victim and no communication with the opposing company. Then receipt of the fundamental call for the year 2018 going from 930 euros to 1001 euros without any declarations of auto claims which represents an increase of 10 % !! When I ask for explanations I am taken from high by explaining that the prices increase each year!</v>
      </c>
    </row>
    <row r="207" ht="15.75" customHeight="1">
      <c r="A207" s="2">
        <v>5.0</v>
      </c>
      <c r="B207" s="2" t="s">
        <v>686</v>
      </c>
      <c r="C207" s="2" t="s">
        <v>687</v>
      </c>
      <c r="D207" s="2" t="s">
        <v>20</v>
      </c>
      <c r="E207" s="2" t="s">
        <v>21</v>
      </c>
      <c r="F207" s="2" t="s">
        <v>15</v>
      </c>
      <c r="G207" s="2" t="s">
        <v>425</v>
      </c>
      <c r="H207" s="2" t="s">
        <v>38</v>
      </c>
      <c r="I207" s="2" t="str">
        <f>IFERROR(__xludf.DUMMYFUNCTION("GOOGLETRANSLATE(C207,""fr"",""en"")"),"Simple and practical, I was able to subscribe quickly by phone to validate a quote made online. Customer service has been effective and correct, I will recommend")</f>
        <v>Simple and practical, I was able to subscribe quickly by phone to validate a quote made online. Customer service has been effective and correct, I will recommend</v>
      </c>
    </row>
    <row r="208" ht="15.75" customHeight="1">
      <c r="A208" s="2">
        <v>3.0</v>
      </c>
      <c r="B208" s="2" t="s">
        <v>688</v>
      </c>
      <c r="C208" s="2" t="s">
        <v>689</v>
      </c>
      <c r="D208" s="2" t="s">
        <v>434</v>
      </c>
      <c r="E208" s="2" t="s">
        <v>128</v>
      </c>
      <c r="F208" s="2" t="s">
        <v>15</v>
      </c>
      <c r="G208" s="2" t="s">
        <v>690</v>
      </c>
      <c r="H208" s="2" t="s">
        <v>418</v>
      </c>
      <c r="I208" s="2" t="str">
        <f>IFERROR(__xludf.DUMMYFUNCTION("GOOGLETRANSLATE(C208,""fr"",""en"")"),"I took comfort borrower insurance (insurance that covers all claims, illness, depression, etc.) at April to ensure a mortgage of € 70,000. I made up my file which was accepted without any problem. Unfortunately three years later, I had a severe depression"&amp;" that nailed me since March. I reported this to April. And there started a real combatant course. Transmission of sick leave, prescription, visits and against visit by the advice doctor. Transmission of the medical certificate and report by my psychiatris"&amp;"t, daily allowances etc ... to conclude, since March 10, 2017 each time April asks me documents and immediately I transmit it. To date, I have not received compensation.
I have great difficulties in paying the balance of my loan but he continues to play "&amp;"the watch. I suffer from severe nervous breakdown and I can't even follow the exchanges of all correspondence.")</f>
        <v>I took comfort borrower insurance (insurance that covers all claims, illness, depression, etc.) at April to ensure a mortgage of € 70,000. I made up my file which was accepted without any problem. Unfortunately three years later, I had a severe depression that nailed me since March. I reported this to April. And there started a real combatant course. Transmission of sick leave, prescription, visits and against visit by the advice doctor. Transmission of the medical certificate and report by my psychiatrist, daily allowances etc ... to conclude, since March 10, 2017 each time April asks me documents and immediately I transmit it. To date, I have not received compensation.
I have great difficulties in paying the balance of my loan but he continues to play the watch. I suffer from severe nervous breakdown and I can't even follow the exchanges of all correspondence.</v>
      </c>
    </row>
    <row r="209" ht="15.75" customHeight="1">
      <c r="A209" s="2">
        <v>3.0</v>
      </c>
      <c r="B209" s="2" t="s">
        <v>691</v>
      </c>
      <c r="C209" s="2" t="s">
        <v>692</v>
      </c>
      <c r="D209" s="2" t="s">
        <v>13</v>
      </c>
      <c r="E209" s="2" t="s">
        <v>14</v>
      </c>
      <c r="F209" s="2" t="s">
        <v>15</v>
      </c>
      <c r="G209" s="2" t="s">
        <v>693</v>
      </c>
      <c r="H209" s="2" t="s">
        <v>29</v>
      </c>
      <c r="I209" s="2" t="str">
        <f>IFERROR(__xludf.DUMMYFUNCTION("GOOGLETRANSLATE(C209,""fr"",""en"")"),"Satisfied with the interlocutor who is named Khalid she gave me the information I wanted and we validated together the termination for my previous insurer")</f>
        <v>Satisfied with the interlocutor who is named Khalid she gave me the information I wanted and we validated together the termination for my previous insurer</v>
      </c>
    </row>
    <row r="210" ht="15.75" customHeight="1">
      <c r="A210" s="2">
        <v>2.0</v>
      </c>
      <c r="B210" s="2" t="s">
        <v>694</v>
      </c>
      <c r="C210" s="2" t="s">
        <v>695</v>
      </c>
      <c r="D210" s="2" t="s">
        <v>139</v>
      </c>
      <c r="E210" s="2" t="s">
        <v>21</v>
      </c>
      <c r="F210" s="2" t="s">
        <v>15</v>
      </c>
      <c r="G210" s="2" t="s">
        <v>696</v>
      </c>
      <c r="H210" s="2" t="s">
        <v>276</v>
      </c>
      <c r="I210" s="2" t="str">
        <f>IFERROR(__xludf.DUMMYFUNCTION("GOOGLETRANSLATE(C210,""fr"",""en"")"),"Shameful when I see the pub on TV. 3 claims in 36 months I receive a letter from the agency asking me to make an appointment what I do and 3 days later before receiving me registered letter termination.
I wish to inform GMF customers that they should not"&amp;" have 3 claims in 36 months because the termination is there.
We do not take into account contracts (6) at home or seniority (40 years)
Goodbye the GMF!")</f>
        <v>Shameful when I see the pub on TV. 3 claims in 36 months I receive a letter from the agency asking me to make an appointment what I do and 3 days later before receiving me registered letter termination.
I wish to inform GMF customers that they should not have 3 claims in 36 months because the termination is there.
We do not take into account contracts (6) at home or seniority (40 years)
Goodbye the GMF!</v>
      </c>
    </row>
    <row r="211" ht="15.75" customHeight="1">
      <c r="A211" s="2">
        <v>2.0</v>
      </c>
      <c r="B211" s="2" t="s">
        <v>697</v>
      </c>
      <c r="C211" s="2" t="s">
        <v>698</v>
      </c>
      <c r="D211" s="2" t="s">
        <v>222</v>
      </c>
      <c r="E211" s="2" t="s">
        <v>21</v>
      </c>
      <c r="F211" s="2" t="s">
        <v>15</v>
      </c>
      <c r="G211" s="2" t="s">
        <v>699</v>
      </c>
      <c r="H211" s="2" t="s">
        <v>156</v>
      </c>
      <c r="I211" s="2" t="str">
        <f>IFERROR(__xludf.DUMMYFUNCTION("GOOGLETRANSLATE(C211,""fr"",""en"")"),"AXA has a deplorable, horrible incompetent after -sales service without any possibility of having something other than a telephone tray based abroad, when you manage to have it. If you have the choice to avoid absolutely.")</f>
        <v>AXA has a deplorable, horrible incompetent after -sales service without any possibility of having something other than a telephone tray based abroad, when you manage to have it. If you have the choice to avoid absolutely.</v>
      </c>
    </row>
    <row r="212" ht="15.75" customHeight="1">
      <c r="A212" s="2">
        <v>1.0</v>
      </c>
      <c r="B212" s="2" t="s">
        <v>700</v>
      </c>
      <c r="C212" s="2" t="s">
        <v>701</v>
      </c>
      <c r="D212" s="2" t="s">
        <v>106</v>
      </c>
      <c r="E212" s="2" t="s">
        <v>14</v>
      </c>
      <c r="F212" s="2" t="s">
        <v>15</v>
      </c>
      <c r="G212" s="2" t="s">
        <v>702</v>
      </c>
      <c r="H212" s="2" t="s">
        <v>418</v>
      </c>
      <c r="I212" s="2" t="str">
        <f>IFERROR(__xludf.DUMMYFUNCTION("GOOGLETRANSLATE(C212,""fr"",""en"")"),"Impossible to leave, send LRAR before the legal Delai, received by Néoliane on October 30 for an end on the 31st DEC 2017 and still not canceled, they harass me with mail and threat of bailiff ... bad faith to foolproof, I returned a copy of the whole but"&amp;" I did not ""re"" signed my mail that I had printed so they say that it is not admissible !!! I ask them to find the original that is signed him !!! And there no answer! To flee !!!!! To say that I stayed there 7 years and well if I had known I would be m"&amp;"uch earlier!")</f>
        <v>Impossible to leave, send LRAR before the legal Delai, received by Néoliane on October 30 for an end on the 31st DEC 2017 and still not canceled, they harass me with mail and threat of bailiff ... bad faith to foolproof, I returned a copy of the whole but I did not "re" signed my mail that I had printed so they say that it is not admissible !!! I ask them to find the original that is signed him !!! And there no answer! To flee !!!!! To say that I stayed there 7 years and well if I had known I would be much earlier!</v>
      </c>
    </row>
    <row r="213" ht="15.75" customHeight="1">
      <c r="A213" s="2">
        <v>5.0</v>
      </c>
      <c r="B213" s="2" t="s">
        <v>703</v>
      </c>
      <c r="C213" s="2" t="s">
        <v>704</v>
      </c>
      <c r="D213" s="2" t="s">
        <v>20</v>
      </c>
      <c r="E213" s="2" t="s">
        <v>21</v>
      </c>
      <c r="F213" s="2" t="s">
        <v>15</v>
      </c>
      <c r="G213" s="2" t="s">
        <v>705</v>
      </c>
      <c r="H213" s="2" t="s">
        <v>38</v>
      </c>
      <c r="I213" s="2" t="str">
        <f>IFERROR(__xludf.DUMMYFUNCTION("GOOGLETRANSLATE(C213,""fr"",""en"")")," Great satisfaction that I found in the person who advised me the olive assurance, I too find that the service is up to par, simple and effective, I advise it.")</f>
        <v> Great satisfaction that I found in the person who advised me the olive assurance, I too find that the service is up to par, simple and effective, I advise it.</v>
      </c>
    </row>
    <row r="214" ht="15.75" customHeight="1">
      <c r="A214" s="2">
        <v>1.0</v>
      </c>
      <c r="B214" s="2" t="s">
        <v>706</v>
      </c>
      <c r="C214" s="2" t="s">
        <v>707</v>
      </c>
      <c r="D214" s="2" t="s">
        <v>122</v>
      </c>
      <c r="E214" s="2" t="s">
        <v>21</v>
      </c>
      <c r="F214" s="2" t="s">
        <v>15</v>
      </c>
      <c r="G214" s="2" t="s">
        <v>708</v>
      </c>
      <c r="H214" s="2" t="s">
        <v>23</v>
      </c>
      <c r="I214" s="2" t="str">
        <f>IFERROR(__xludf.DUMMYFUNCTION("GOOGLETRANSLATE(C214,""fr"",""en"")"),"Very disapointed
They solve insurance without warning us, receive a declaration of a claim that increases prices without also warning us, and do not indicate the right bonus rate on the statements we receive! When we call them, the only thing they find"&amp;" to tell us is ""you will not find cheaper elsewhere"" is! I do not recommend everyone, if I had not called to ask a question I would have rolled without insurance without knowing it, it is unacceptable! We call other insurances which indicate to us recei"&amp;"ve dozens of calls per week because they wish to start from this same insurance, it is to be flee!")</f>
        <v>Very disapointed
They solve insurance without warning us, receive a declaration of a claim that increases prices without also warning us, and do not indicate the right bonus rate on the statements we receive! When we call them, the only thing they find to tell us is "you will not find cheaper elsewhere" is! I do not recommend everyone, if I had not called to ask a question I would have rolled without insurance without knowing it, it is unacceptable! We call other insurances which indicate to us receive dozens of calls per week because they wish to start from this same insurance, it is to be flee!</v>
      </c>
    </row>
    <row r="215" ht="15.75" customHeight="1">
      <c r="A215" s="2">
        <v>5.0</v>
      </c>
      <c r="B215" s="2" t="s">
        <v>709</v>
      </c>
      <c r="C215" s="2" t="s">
        <v>710</v>
      </c>
      <c r="D215" s="2" t="s">
        <v>13</v>
      </c>
      <c r="E215" s="2" t="s">
        <v>14</v>
      </c>
      <c r="F215" s="2" t="s">
        <v>15</v>
      </c>
      <c r="G215" s="2" t="s">
        <v>87</v>
      </c>
      <c r="H215" s="2" t="s">
        <v>87</v>
      </c>
      <c r="I215" s="2" t="str">
        <f>IFERROR(__xludf.DUMMYFUNCTION("GOOGLETRANSLATE(C215,""fr"",""en"")"),"Good value for money for this insurer.
Small problem mentioned with Emeline on the phone (minimal waiting time) and immediately resolved by this person.
For the moment, I recommend Santiane to possible members.")</f>
        <v>Good value for money for this insurer.
Small problem mentioned with Emeline on the phone (minimal waiting time) and immediately resolved by this person.
For the moment, I recommend Santiane to possible members.</v>
      </c>
    </row>
    <row r="216" ht="15.75" customHeight="1">
      <c r="A216" s="2">
        <v>1.0</v>
      </c>
      <c r="B216" s="2" t="s">
        <v>711</v>
      </c>
      <c r="C216" s="2" t="s">
        <v>712</v>
      </c>
      <c r="D216" s="2" t="s">
        <v>32</v>
      </c>
      <c r="E216" s="2" t="s">
        <v>21</v>
      </c>
      <c r="F216" s="2" t="s">
        <v>15</v>
      </c>
      <c r="G216" s="2" t="s">
        <v>713</v>
      </c>
      <c r="H216" s="2" t="s">
        <v>458</v>
      </c>
      <c r="I216" s="2" t="str">
        <f>IFERROR(__xludf.DUMMYFUNCTION("GOOGLETRANSLATE(C216,""fr"",""en"")"),"I almost strangled myself when I discovered my new deadline for 2021.
While I go from a bonus of 0.8 to 0.76 the amount of my subscription increases by 7 %, in fact it is 10.7 % increase if I correct the minoration that I should obtain via the 'Improve"&amp;"ment of my bonus.
Response from Direct Insurance: Yes but in fact it is linked to an increase in the loss in the Bouches du Rhône.
A shame. I am in the process of consulting via comparators to change insurance.")</f>
        <v>I almost strangled myself when I discovered my new deadline for 2021.
While I go from a bonus of 0.8 to 0.76 the amount of my subscription increases by 7 %, in fact it is 10.7 % increase if I correct the minoration that I should obtain via the 'Improvement of my bonus.
Response from Direct Insurance: Yes but in fact it is linked to an increase in the loss in the Bouches du Rhône.
A shame. I am in the process of consulting via comparators to change insurance.</v>
      </c>
    </row>
    <row r="217" ht="15.75" customHeight="1">
      <c r="A217" s="2">
        <v>3.0</v>
      </c>
      <c r="B217" s="2" t="s">
        <v>714</v>
      </c>
      <c r="C217" s="2" t="s">
        <v>715</v>
      </c>
      <c r="D217" s="2" t="s">
        <v>32</v>
      </c>
      <c r="E217" s="2" t="s">
        <v>21</v>
      </c>
      <c r="F217" s="2" t="s">
        <v>15</v>
      </c>
      <c r="G217" s="2" t="s">
        <v>631</v>
      </c>
      <c r="H217" s="2" t="s">
        <v>179</v>
      </c>
      <c r="I217" s="2" t="str">
        <f>IFERROR(__xludf.DUMMYFUNCTION("GOOGLETRANSLATE(C217,""fr"",""en"")"),"Hello for the moment I have nothing to report in terms of price or services. I would have liked to have a commercial gesture, thank you in advance if its arrival.")</f>
        <v>Hello for the moment I have nothing to report in terms of price or services. I would have liked to have a commercial gesture, thank you in advance if its arrival.</v>
      </c>
    </row>
    <row r="218" ht="15.75" customHeight="1">
      <c r="A218" s="2">
        <v>3.0</v>
      </c>
      <c r="B218" s="2" t="s">
        <v>716</v>
      </c>
      <c r="C218" s="2" t="s">
        <v>717</v>
      </c>
      <c r="D218" s="2" t="s">
        <v>106</v>
      </c>
      <c r="E218" s="2" t="s">
        <v>14</v>
      </c>
      <c r="F218" s="2" t="s">
        <v>15</v>
      </c>
      <c r="G218" s="2" t="s">
        <v>718</v>
      </c>
      <c r="H218" s="2" t="s">
        <v>77</v>
      </c>
      <c r="I218" s="2" t="str">
        <f>IFERROR(__xludf.DUMMYFUNCTION("GOOGLETRANSLATE(C218,""fr"",""en"")"),"For the moment every time I needed to contact you I had no problem and my requests have been taken into account.
On the other hand, very demanded by telephone calls to take new insurance with interlocutors that are too zealous to make you sign to everyth"&amp;"ing.
Too many commercial demarchages can encourage you to change your mutual")</f>
        <v>For the moment every time I needed to contact you I had no problem and my requests have been taken into account.
On the other hand, very demanded by telephone calls to take new insurance with interlocutors that are too zealous to make you sign to everything.
Too many commercial demarchages can encourage you to change your mutual</v>
      </c>
    </row>
    <row r="219" ht="15.75" customHeight="1">
      <c r="A219" s="2">
        <v>2.0</v>
      </c>
      <c r="B219" s="2" t="s">
        <v>719</v>
      </c>
      <c r="C219" s="2" t="s">
        <v>720</v>
      </c>
      <c r="D219" s="2" t="s">
        <v>113</v>
      </c>
      <c r="E219" s="2" t="s">
        <v>21</v>
      </c>
      <c r="F219" s="2" t="s">
        <v>15</v>
      </c>
      <c r="G219" s="2" t="s">
        <v>721</v>
      </c>
      <c r="H219" s="2" t="s">
        <v>48</v>
      </c>
      <c r="I219" s="2" t="str">
        <f>IFERROR(__xludf.DUMMYFUNCTION("GOOGLETRANSLATE(C219,""fr"",""en"")"),"I had several reimbursements with the MAIF (domestic accident, car hanging, damage involuntarily does not a neighbor, cycling flight ...). If this insurance is not perfect, it has still been very correct in the cases mentioned.
To tell you the truth, con"&amp;"cerning a domestic accident, I was asked to choose between the MAIF and the MGEN mutual: my answer: 'Everything rather than the MGEN!' And I do not regret it...
Perhaps one day I will have reproaches to make them, but I am satisfied at the moment (I have"&amp;" been there for 30 years)")</f>
        <v>I had several reimbursements with the MAIF (domestic accident, car hanging, damage involuntarily does not a neighbor, cycling flight ...). If this insurance is not perfect, it has still been very correct in the cases mentioned.
To tell you the truth, concerning a domestic accident, I was asked to choose between the MAIF and the MGEN mutual: my answer: 'Everything rather than the MGEN!' And I do not regret it...
Perhaps one day I will have reproaches to make them, but I am satisfied at the moment (I have been there for 30 years)</v>
      </c>
    </row>
    <row r="220" ht="15.75" customHeight="1">
      <c r="A220" s="2">
        <v>1.0</v>
      </c>
      <c r="B220" s="2" t="s">
        <v>722</v>
      </c>
      <c r="C220" s="2" t="s">
        <v>723</v>
      </c>
      <c r="D220" s="2" t="s">
        <v>222</v>
      </c>
      <c r="E220" s="2" t="s">
        <v>21</v>
      </c>
      <c r="F220" s="2" t="s">
        <v>15</v>
      </c>
      <c r="G220" s="2" t="s">
        <v>724</v>
      </c>
      <c r="H220" s="2" t="s">
        <v>163</v>
      </c>
      <c r="I220" s="2" t="str">
        <f>IFERROR(__xludf.DUMMYFUNCTION("GOOGLETRANSLATE(C220,""fr"",""en"")"),"Imposed increase of 200 euros on car insurance without the slightest reason (no responsible accident) or explanation. Requires despite paying one more month to be able to leave. Allows itself in addition to being unpleasant")</f>
        <v>Imposed increase of 200 euros on car insurance without the slightest reason (no responsible accident) or explanation. Requires despite paying one more month to be able to leave. Allows itself in addition to being unpleasant</v>
      </c>
    </row>
    <row r="221" ht="15.75" customHeight="1">
      <c r="A221" s="2">
        <v>5.0</v>
      </c>
      <c r="B221" s="2" t="s">
        <v>725</v>
      </c>
      <c r="C221" s="2" t="s">
        <v>726</v>
      </c>
      <c r="D221" s="2" t="s">
        <v>20</v>
      </c>
      <c r="E221" s="2" t="s">
        <v>21</v>
      </c>
      <c r="F221" s="2" t="s">
        <v>15</v>
      </c>
      <c r="G221" s="2" t="s">
        <v>727</v>
      </c>
      <c r="H221" s="2" t="s">
        <v>95</v>
      </c>
      <c r="I221" s="2" t="str">
        <f>IFERROR(__xludf.DUMMYFUNCTION("GOOGLETRANSLATE(C221,""fr"",""en"")"),"Perfect with unbeatable prices, very easy membership directly on your computer or tablet or phone ... I am really not disappointed the top !!!")</f>
        <v>Perfect with unbeatable prices, very easy membership directly on your computer or tablet or phone ... I am really not disappointed the top !!!</v>
      </c>
    </row>
    <row r="222" ht="15.75" customHeight="1">
      <c r="A222" s="2">
        <v>3.0</v>
      </c>
      <c r="B222" s="2" t="s">
        <v>728</v>
      </c>
      <c r="C222" s="2" t="s">
        <v>729</v>
      </c>
      <c r="D222" s="2" t="s">
        <v>32</v>
      </c>
      <c r="E222" s="2" t="s">
        <v>21</v>
      </c>
      <c r="F222" s="2" t="s">
        <v>15</v>
      </c>
      <c r="G222" s="2" t="s">
        <v>730</v>
      </c>
      <c r="H222" s="2" t="s">
        <v>38</v>
      </c>
      <c r="I222" s="2" t="str">
        <f>IFERROR(__xludf.DUMMYFUNCTION("GOOGLETRANSLATE(C222,""fr"",""en"")"),"Still too expensive for a student. Too bad everything is optional.
By cons it is quite easy to subscribe online but you have to reread the pre-filled parts.")</f>
        <v>Still too expensive for a student. Too bad everything is optional.
By cons it is quite easy to subscribe online but you have to reread the pre-filled parts.</v>
      </c>
    </row>
    <row r="223" ht="15.75" customHeight="1">
      <c r="A223" s="2">
        <v>2.0</v>
      </c>
      <c r="B223" s="2" t="s">
        <v>731</v>
      </c>
      <c r="C223" s="2" t="s">
        <v>732</v>
      </c>
      <c r="D223" s="2" t="s">
        <v>32</v>
      </c>
      <c r="E223" s="2" t="s">
        <v>21</v>
      </c>
      <c r="F223" s="2" t="s">
        <v>15</v>
      </c>
      <c r="G223" s="2" t="s">
        <v>733</v>
      </c>
      <c r="H223" s="2" t="s">
        <v>87</v>
      </c>
      <c r="I223" s="2" t="str">
        <f>IFERROR(__xludf.DUMMYFUNCTION("GOOGLETRANSLATE(C223,""fr"",""en"")"),"I do not understand why I have an 18% penalty when I have not been declared responsible for any traffic accidents since I was insured")</f>
        <v>I do not understand why I have an 18% penalty when I have not been declared responsible for any traffic accidents since I was insured</v>
      </c>
    </row>
    <row r="224" ht="15.75" customHeight="1">
      <c r="A224" s="2">
        <v>4.0</v>
      </c>
      <c r="B224" s="2" t="s">
        <v>734</v>
      </c>
      <c r="C224" s="2" t="s">
        <v>735</v>
      </c>
      <c r="D224" s="2" t="s">
        <v>32</v>
      </c>
      <c r="E224" s="2" t="s">
        <v>21</v>
      </c>
      <c r="F224" s="2" t="s">
        <v>15</v>
      </c>
      <c r="G224" s="2" t="s">
        <v>736</v>
      </c>
      <c r="H224" s="2" t="s">
        <v>87</v>
      </c>
      <c r="I224" s="2" t="str">
        <f>IFERROR(__xludf.DUMMYFUNCTION("GOOGLETRANSLATE(C224,""fr"",""en"")"),"I am rather satisfied overall. Prices for drivers with 50% bonuses for over 13 years and performing less than 10,000 km per year should not increase.")</f>
        <v>I am rather satisfied overall. Prices for drivers with 50% bonuses for over 13 years and performing less than 10,000 km per year should not increase.</v>
      </c>
    </row>
    <row r="225" ht="15.75" customHeight="1">
      <c r="A225" s="2">
        <v>1.0</v>
      </c>
      <c r="B225" s="2" t="s">
        <v>737</v>
      </c>
      <c r="C225" s="2" t="s">
        <v>738</v>
      </c>
      <c r="D225" s="2" t="s">
        <v>75</v>
      </c>
      <c r="E225" s="2" t="s">
        <v>14</v>
      </c>
      <c r="F225" s="2" t="s">
        <v>15</v>
      </c>
      <c r="G225" s="2" t="s">
        <v>343</v>
      </c>
      <c r="H225" s="2" t="s">
        <v>95</v>
      </c>
      <c r="I225" s="2" t="str">
        <f>IFERROR(__xludf.DUMMYFUNCTION("GOOGLETRANSLATE(C225,""fr"",""en"")"),"Do not respect their contract commitments even after more than ten years of membership, but never forget to receive their monthly contributions.
Poor..
I do not recommend this mutual.")</f>
        <v>Do not respect their contract commitments even after more than ten years of membership, but never forget to receive their monthly contributions.
Poor..
I do not recommend this mutual.</v>
      </c>
    </row>
    <row r="226" ht="15.75" customHeight="1">
      <c r="A226" s="2">
        <v>4.0</v>
      </c>
      <c r="B226" s="2" t="s">
        <v>739</v>
      </c>
      <c r="C226" s="2" t="s">
        <v>740</v>
      </c>
      <c r="D226" s="2" t="s">
        <v>32</v>
      </c>
      <c r="E226" s="2" t="s">
        <v>21</v>
      </c>
      <c r="F226" s="2" t="s">
        <v>15</v>
      </c>
      <c r="G226" s="2" t="s">
        <v>95</v>
      </c>
      <c r="H226" s="2" t="s">
        <v>95</v>
      </c>
      <c r="I226" s="2" t="str">
        <f>IFERROR(__xludf.DUMMYFUNCTION("GOOGLETRANSLATE(C226,""fr"",""en"")"),"Ras, I am satisfied with the service, I just hope to go into a non -apprentice driver mode by next year to be even more satisfied with prices.")</f>
        <v>Ras, I am satisfied with the service, I just hope to go into a non -apprentice driver mode by next year to be even more satisfied with prices.</v>
      </c>
    </row>
    <row r="227" ht="15.75" customHeight="1">
      <c r="A227" s="2">
        <v>4.0</v>
      </c>
      <c r="B227" s="2" t="s">
        <v>741</v>
      </c>
      <c r="C227" s="2" t="s">
        <v>742</v>
      </c>
      <c r="D227" s="2" t="s">
        <v>32</v>
      </c>
      <c r="E227" s="2" t="s">
        <v>21</v>
      </c>
      <c r="F227" s="2" t="s">
        <v>15</v>
      </c>
      <c r="G227" s="2" t="s">
        <v>69</v>
      </c>
      <c r="H227" s="2" t="s">
        <v>58</v>
      </c>
      <c r="I227" s="2" t="str">
        <f>IFERROR(__xludf.DUMMYFUNCTION("GOOGLETRANSLATE(C227,""fr"",""en"")"),"The prices are correct I am satisfied and I hope that I would be covered in the event of a responsible accident.
I change because my old insurance is too expensive
")</f>
        <v>The prices are correct I am satisfied and I hope that I would be covered in the event of a responsible accident.
I change because my old insurance is too expensive
</v>
      </c>
    </row>
    <row r="228" ht="15.75" customHeight="1">
      <c r="A228" s="2">
        <v>5.0</v>
      </c>
      <c r="B228" s="2" t="s">
        <v>743</v>
      </c>
      <c r="C228" s="2" t="s">
        <v>744</v>
      </c>
      <c r="D228" s="2" t="s">
        <v>20</v>
      </c>
      <c r="E228" s="2" t="s">
        <v>21</v>
      </c>
      <c r="F228" s="2" t="s">
        <v>15</v>
      </c>
      <c r="G228" s="2" t="s">
        <v>147</v>
      </c>
      <c r="H228" s="2" t="s">
        <v>87</v>
      </c>
      <c r="I228" s="2" t="str">
        <f>IFERROR(__xludf.DUMMYFUNCTION("GOOGLETRANSLATE(C228,""fr"",""en"")"),"Fast and clear, accessible price, good condition. Professional and attentive telephone reception, search for the right solution for a termination of the former insurer")</f>
        <v>Fast and clear, accessible price, good condition. Professional and attentive telephone reception, search for the right solution for a termination of the former insurer</v>
      </c>
    </row>
    <row r="229" ht="15.75" customHeight="1">
      <c r="A229" s="2">
        <v>5.0</v>
      </c>
      <c r="B229" s="2" t="s">
        <v>745</v>
      </c>
      <c r="C229" s="2" t="s">
        <v>746</v>
      </c>
      <c r="D229" s="2" t="s">
        <v>186</v>
      </c>
      <c r="E229" s="2" t="s">
        <v>21</v>
      </c>
      <c r="F229" s="2" t="s">
        <v>15</v>
      </c>
      <c r="G229" s="2" t="s">
        <v>747</v>
      </c>
      <c r="H229" s="2" t="s">
        <v>54</v>
      </c>
      <c r="I229" s="2" t="str">
        <f>IFERROR(__xludf.DUMMYFUNCTION("GOOGLETRANSLATE(C229,""fr"",""en"")"),"I am very happy with my insurance you were very quick to answer me and then you are very kind on the phone and you reimbursed me very quickly following the damage of my water leak.
Thanks again")</f>
        <v>I am very happy with my insurance you were very quick to answer me and then you are very kind on the phone and you reimbursed me very quickly following the damage of my water leak.
Thanks again</v>
      </c>
    </row>
    <row r="230" ht="15.75" customHeight="1">
      <c r="A230" s="2">
        <v>5.0</v>
      </c>
      <c r="B230" s="2" t="s">
        <v>748</v>
      </c>
      <c r="C230" s="2" t="s">
        <v>749</v>
      </c>
      <c r="D230" s="2" t="s">
        <v>20</v>
      </c>
      <c r="E230" s="2" t="s">
        <v>21</v>
      </c>
      <c r="F230" s="2" t="s">
        <v>15</v>
      </c>
      <c r="G230" s="2" t="s">
        <v>750</v>
      </c>
      <c r="H230" s="2" t="s">
        <v>188</v>
      </c>
      <c r="I230" s="2" t="str">
        <f>IFERROR(__xludf.DUMMYFUNCTION("GOOGLETRANSLATE(C230,""fr"",""en"")"),"I am very satisfied with the prices offered. The olive tree offers a wide range of options. The sending of the green card was very fast.")</f>
        <v>I am very satisfied with the prices offered. The olive tree offers a wide range of options. The sending of the green card was very fast.</v>
      </c>
    </row>
    <row r="231" ht="15.75" customHeight="1">
      <c r="A231" s="2">
        <v>1.0</v>
      </c>
      <c r="B231" s="2" t="s">
        <v>751</v>
      </c>
      <c r="C231" s="2" t="s">
        <v>752</v>
      </c>
      <c r="D231" s="2" t="s">
        <v>106</v>
      </c>
      <c r="E231" s="2" t="s">
        <v>14</v>
      </c>
      <c r="F231" s="2" t="s">
        <v>15</v>
      </c>
      <c r="G231" s="2" t="s">
        <v>753</v>
      </c>
      <c r="H231" s="2" t="s">
        <v>295</v>
      </c>
      <c r="I231" s="2" t="str">
        <f>IFERROR(__xludf.DUMMYFUNCTION("GOOGLETRANSLATE(C231,""fr"",""en"")"),"Too expensive for deplorable follow -up, their care system is not to the point. The management is far too long. They continue to take care of you without solving your problem by strolling from service to service ...")</f>
        <v>Too expensive for deplorable follow -up, their care system is not to the point. The management is far too long. They continue to take care of you without solving your problem by strolling from service to service ...</v>
      </c>
    </row>
    <row r="232" ht="15.75" customHeight="1">
      <c r="A232" s="2">
        <v>4.0</v>
      </c>
      <c r="B232" s="2" t="s">
        <v>754</v>
      </c>
      <c r="C232" s="2" t="s">
        <v>755</v>
      </c>
      <c r="D232" s="2" t="s">
        <v>20</v>
      </c>
      <c r="E232" s="2" t="s">
        <v>21</v>
      </c>
      <c r="F232" s="2" t="s">
        <v>15</v>
      </c>
      <c r="G232" s="2" t="s">
        <v>705</v>
      </c>
      <c r="H232" s="2" t="s">
        <v>38</v>
      </c>
      <c r="I232" s="2" t="str">
        <f>IFERROR(__xludf.DUMMYFUNCTION("GOOGLETRANSLATE(C232,""fr"",""en"")"),"Reactive telephone services. I am satisfied and the prices are reasonable, I will see if the services meet my expectations.
Cordially
Thierry Andrau")</f>
        <v>Reactive telephone services. I am satisfied and the prices are reasonable, I will see if the services meet my expectations.
Cordially
Thierry Andrau</v>
      </c>
    </row>
    <row r="233" ht="15.75" customHeight="1">
      <c r="A233" s="2">
        <v>1.0</v>
      </c>
      <c r="B233" s="2" t="s">
        <v>756</v>
      </c>
      <c r="C233" s="2" t="s">
        <v>757</v>
      </c>
      <c r="D233" s="2" t="s">
        <v>32</v>
      </c>
      <c r="E233" s="2" t="s">
        <v>21</v>
      </c>
      <c r="F233" s="2" t="s">
        <v>15</v>
      </c>
      <c r="G233" s="2" t="s">
        <v>758</v>
      </c>
      <c r="H233" s="2" t="s">
        <v>253</v>
      </c>
      <c r="I233" s="2" t="str">
        <f>IFERROR(__xludf.DUMMYFUNCTION("GOOGLETRANSLATE(C233,""fr"",""en"")"),"Two refusals to repay a tow truck because too far or not referenced. No pity in the event of an accident")</f>
        <v>Two refusals to repay a tow truck because too far or not referenced. No pity in the event of an accident</v>
      </c>
    </row>
    <row r="234" ht="15.75" customHeight="1">
      <c r="A234" s="2">
        <v>4.0</v>
      </c>
      <c r="B234" s="2" t="s">
        <v>759</v>
      </c>
      <c r="C234" s="2" t="s">
        <v>760</v>
      </c>
      <c r="D234" s="2" t="s">
        <v>37</v>
      </c>
      <c r="E234" s="2" t="s">
        <v>21</v>
      </c>
      <c r="F234" s="2" t="s">
        <v>15</v>
      </c>
      <c r="G234" s="2" t="s">
        <v>761</v>
      </c>
      <c r="H234" s="2" t="s">
        <v>195</v>
      </c>
      <c r="I234" s="2" t="str">
        <f>IFERROR(__xludf.DUMMYFUNCTION("GOOGLETRANSLATE(C234,""fr"",""en"")"),"I had an accident barely arriving at home no concern, do not even call anything !! they all settle !! I will ensure as soon as possible my other cars")</f>
        <v>I had an accident barely arriving at home no concern, do not even call anything !! they all settle !! I will ensure as soon as possible my other cars</v>
      </c>
    </row>
    <row r="235" ht="15.75" customHeight="1">
      <c r="A235" s="2">
        <v>3.0</v>
      </c>
      <c r="B235" s="2" t="s">
        <v>762</v>
      </c>
      <c r="C235" s="2" t="s">
        <v>763</v>
      </c>
      <c r="D235" s="2" t="s">
        <v>146</v>
      </c>
      <c r="E235" s="2" t="s">
        <v>52</v>
      </c>
      <c r="F235" s="2" t="s">
        <v>15</v>
      </c>
      <c r="G235" s="2" t="s">
        <v>166</v>
      </c>
      <c r="H235" s="2" t="s">
        <v>95</v>
      </c>
      <c r="I235" s="2" t="str">
        <f>IFERROR(__xludf.DUMMYFUNCTION("GOOGLETRANSLATE(C235,""fr"",""en"")"),"Simple site, but hyper expensive price for a 50
It is a shame not to trust young drivers, even if the prices are calculated in relation to the risks.")</f>
        <v>Simple site, but hyper expensive price for a 50
It is a shame not to trust young drivers, even if the prices are calculated in relation to the risks.</v>
      </c>
    </row>
    <row r="236" ht="15.75" customHeight="1">
      <c r="A236" s="2">
        <v>3.0</v>
      </c>
      <c r="B236" s="2" t="s">
        <v>764</v>
      </c>
      <c r="C236" s="2" t="s">
        <v>765</v>
      </c>
      <c r="D236" s="2" t="s">
        <v>32</v>
      </c>
      <c r="E236" s="2" t="s">
        <v>21</v>
      </c>
      <c r="F236" s="2" t="s">
        <v>15</v>
      </c>
      <c r="G236" s="2" t="s">
        <v>110</v>
      </c>
      <c r="H236" s="2" t="s">
        <v>110</v>
      </c>
      <c r="I236" s="2" t="str">
        <f>IFERROR(__xludf.DUMMYFUNCTION("GOOGLETRANSLATE(C236,""fr"",""en"")"),"There are some questions are not clear for me. If possible communicate live by phone. I do not know that the quote is corresponds to my future car.")</f>
        <v>There are some questions are not clear for me. If possible communicate live by phone. I do not know that the quote is corresponds to my future car.</v>
      </c>
    </row>
    <row r="237" ht="15.75" customHeight="1">
      <c r="A237" s="2">
        <v>5.0</v>
      </c>
      <c r="B237" s="2" t="s">
        <v>766</v>
      </c>
      <c r="C237" s="2" t="s">
        <v>767</v>
      </c>
      <c r="D237" s="2" t="s">
        <v>32</v>
      </c>
      <c r="E237" s="2" t="s">
        <v>21</v>
      </c>
      <c r="F237" s="2" t="s">
        <v>15</v>
      </c>
      <c r="G237" s="2" t="s">
        <v>479</v>
      </c>
      <c r="H237" s="2" t="s">
        <v>110</v>
      </c>
      <c r="I237" s="2" t="str">
        <f>IFERROR(__xludf.DUMMYFUNCTION("GOOGLETRANSLATE(C237,""fr"",""en"")"),"I am satisfied with the efficiency of the website of the speed of responses and also the price of the quote thank you cordially Mr. Zilal Azdine")</f>
        <v>I am satisfied with the efficiency of the website of the speed of responses and also the price of the quote thank you cordially Mr. Zilal Azdine</v>
      </c>
    </row>
    <row r="238" ht="15.75" customHeight="1">
      <c r="A238" s="2">
        <v>2.0</v>
      </c>
      <c r="B238" s="2" t="s">
        <v>768</v>
      </c>
      <c r="C238" s="2" t="s">
        <v>769</v>
      </c>
      <c r="D238" s="2" t="s">
        <v>32</v>
      </c>
      <c r="E238" s="2" t="s">
        <v>21</v>
      </c>
      <c r="F238" s="2" t="s">
        <v>15</v>
      </c>
      <c r="G238" s="2" t="s">
        <v>770</v>
      </c>
      <c r="H238" s="2" t="s">
        <v>179</v>
      </c>
      <c r="I238" s="2" t="str">
        <f>IFERROR(__xludf.DUMMYFUNCTION("GOOGLETRANSLATE(C238,""fr"",""en"")"),"At first, the prices were attractive but quickly, they climbed at high levels. I do not understand why Direct Insurance adopted this unhealthy strategy")</f>
        <v>At first, the prices were attractive but quickly, they climbed at high levels. I do not understand why Direct Insurance adopted this unhealthy strategy</v>
      </c>
    </row>
    <row r="239" ht="15.75" customHeight="1">
      <c r="A239" s="2">
        <v>4.0</v>
      </c>
      <c r="B239" s="2" t="s">
        <v>771</v>
      </c>
      <c r="C239" s="2" t="s">
        <v>772</v>
      </c>
      <c r="D239" s="2" t="s">
        <v>13</v>
      </c>
      <c r="E239" s="2" t="s">
        <v>14</v>
      </c>
      <c r="F239" s="2" t="s">
        <v>15</v>
      </c>
      <c r="G239" s="2" t="s">
        <v>773</v>
      </c>
      <c r="H239" s="2" t="s">
        <v>454</v>
      </c>
      <c r="I239" s="2" t="str">
        <f>IFERROR(__xludf.DUMMYFUNCTION("GOOGLETRANSLATE(C239,""fr"",""en"")"),"former customer who returns to you for still good and loyal services")</f>
        <v>former customer who returns to you for still good and loyal services</v>
      </c>
    </row>
    <row r="240" ht="15.75" customHeight="1">
      <c r="A240" s="2">
        <v>1.0</v>
      </c>
      <c r="B240" s="2" t="s">
        <v>774</v>
      </c>
      <c r="C240" s="2" t="s">
        <v>775</v>
      </c>
      <c r="D240" s="2" t="s">
        <v>186</v>
      </c>
      <c r="E240" s="2" t="s">
        <v>42</v>
      </c>
      <c r="F240" s="2" t="s">
        <v>15</v>
      </c>
      <c r="G240" s="2" t="s">
        <v>178</v>
      </c>
      <c r="H240" s="2" t="s">
        <v>179</v>
      </c>
      <c r="I240" s="2" t="str">
        <f>IFERROR(__xludf.DUMMYFUNCTION("GOOGLETRANSLATE(C240,""fr"",""en"")"),"I am of the rather opinion as most of the comments. We sell you a so -called ""a great product"" for 2018 that I have been trying to terminate my home insurance contract as ""non -occupying owner"", even with recommended they manage to lose the documents "&amp;".... !")</f>
        <v>I am of the rather opinion as most of the comments. We sell you a so -called "a great product" for 2018 that I have been trying to terminate my home insurance contract as "non -occupying owner", even with recommended they manage to lose the documents .... !</v>
      </c>
    </row>
    <row r="241" ht="15.75" customHeight="1">
      <c r="A241" s="2">
        <v>4.0</v>
      </c>
      <c r="B241" s="2" t="s">
        <v>776</v>
      </c>
      <c r="C241" s="2" t="s">
        <v>777</v>
      </c>
      <c r="D241" s="2" t="s">
        <v>20</v>
      </c>
      <c r="E241" s="2" t="s">
        <v>21</v>
      </c>
      <c r="F241" s="2" t="s">
        <v>15</v>
      </c>
      <c r="G241" s="2" t="s">
        <v>778</v>
      </c>
      <c r="H241" s="2" t="s">
        <v>23</v>
      </c>
      <c r="I241" s="2" t="str">
        <f>IFERROR(__xludf.DUMMYFUNCTION("GOOGLETRANSLATE(C241,""fr"",""en"")"),"Signed button not centered
I lost 5 min to manage to click on it because you had to click a little below the green logo with the pen.
Cordially")</f>
        <v>Signed button not centered
I lost 5 min to manage to click on it because you had to click a little below the green logo with the pen.
Cordially</v>
      </c>
    </row>
    <row r="242" ht="15.75" customHeight="1">
      <c r="A242" s="2">
        <v>3.0</v>
      </c>
      <c r="B242" s="2" t="s">
        <v>779</v>
      </c>
      <c r="C242" s="2" t="s">
        <v>780</v>
      </c>
      <c r="D242" s="2" t="s">
        <v>139</v>
      </c>
      <c r="E242" s="2" t="s">
        <v>21</v>
      </c>
      <c r="F242" s="2" t="s">
        <v>15</v>
      </c>
      <c r="G242" s="2" t="s">
        <v>566</v>
      </c>
      <c r="H242" s="2" t="s">
        <v>38</v>
      </c>
      <c r="I242" s="2" t="str">
        <f>IFERROR(__xludf.DUMMYFUNCTION("GOOGLETRANSLATE(C242,""fr"",""en"")"),"I am satisfied with the answers given to my questions, despite some errors which cost me quite expensive when I had provided the documents and which could have been corrected because I wished to verify my file.
I find that the prices are raised despite a"&amp;"ll the contracts I have.")</f>
        <v>I am satisfied with the answers given to my questions, despite some errors which cost me quite expensive when I had provided the documents and which could have been corrected because I wished to verify my file.
I find that the prices are raised despite all the contracts I have.</v>
      </c>
    </row>
    <row r="243" ht="15.75" customHeight="1">
      <c r="A243" s="2">
        <v>2.0</v>
      </c>
      <c r="B243" s="2" t="s">
        <v>781</v>
      </c>
      <c r="C243" s="2" t="s">
        <v>782</v>
      </c>
      <c r="D243" s="2" t="s">
        <v>106</v>
      </c>
      <c r="E243" s="2" t="s">
        <v>14</v>
      </c>
      <c r="F243" s="2" t="s">
        <v>15</v>
      </c>
      <c r="G243" s="2" t="s">
        <v>783</v>
      </c>
      <c r="H243" s="2" t="s">
        <v>784</v>
      </c>
      <c r="I243" s="2" t="str">
        <f>IFERROR(__xludf.DUMMYFUNCTION("GOOGLETRANSLATE(C243,""fr"",""en"")"),"Why we do not see any refund. Unfortunately, sometimes in particular when one is not affiliated with the S.S. Téléransimmission cannot be done and then we are never reimbursed.")</f>
        <v>Why we do not see any refund. Unfortunately, sometimes in particular when one is not affiliated with the S.S. Téléransimmission cannot be done and then we are never reimbursed.</v>
      </c>
    </row>
    <row r="244" ht="15.75" customHeight="1">
      <c r="A244" s="2">
        <v>5.0</v>
      </c>
      <c r="B244" s="2" t="s">
        <v>785</v>
      </c>
      <c r="C244" s="2" t="s">
        <v>786</v>
      </c>
      <c r="D244" s="2" t="s">
        <v>20</v>
      </c>
      <c r="E244" s="2" t="s">
        <v>21</v>
      </c>
      <c r="F244" s="2" t="s">
        <v>15</v>
      </c>
      <c r="G244" s="2" t="s">
        <v>733</v>
      </c>
      <c r="H244" s="2" t="s">
        <v>87</v>
      </c>
      <c r="I244" s="2" t="str">
        <f>IFERROR(__xludf.DUMMYFUNCTION("GOOGLETRANSLATE(C244,""fr"",""en"")"),"I am super satisfied with prices and service ... I want to bring to you other customers ..... thank you to your whole team for the processing of my file ... See you soon")</f>
        <v>I am super satisfied with prices and service ... I want to bring to you other customers ..... thank you to your whole team for the processing of my file ... See you soon</v>
      </c>
    </row>
    <row r="245" ht="15.75" customHeight="1">
      <c r="A245" s="2">
        <v>4.0</v>
      </c>
      <c r="B245" s="2" t="s">
        <v>787</v>
      </c>
      <c r="C245" s="2" t="s">
        <v>788</v>
      </c>
      <c r="D245" s="2" t="s">
        <v>20</v>
      </c>
      <c r="E245" s="2" t="s">
        <v>21</v>
      </c>
      <c r="F245" s="2" t="s">
        <v>15</v>
      </c>
      <c r="G245" s="2" t="s">
        <v>202</v>
      </c>
      <c r="H245" s="2" t="s">
        <v>179</v>
      </c>
      <c r="I245" s="2" t="str">
        <f>IFERROR(__xludf.DUMMYFUNCTION("GOOGLETRANSLATE(C245,""fr"",""en"")"),"I am satisfied with the sales department I highly recommend this fast and efficient online insurance ... very fast attachment and related to a collaborator quickly
")</f>
        <v>I am satisfied with the sales department I highly recommend this fast and efficient online insurance ... very fast attachment and related to a collaborator quickly
</v>
      </c>
    </row>
    <row r="246" ht="15.75" customHeight="1">
      <c r="A246" s="2">
        <v>3.0</v>
      </c>
      <c r="B246" s="2" t="s">
        <v>789</v>
      </c>
      <c r="C246" s="2" t="s">
        <v>790</v>
      </c>
      <c r="D246" s="2" t="s">
        <v>139</v>
      </c>
      <c r="E246" s="2" t="s">
        <v>21</v>
      </c>
      <c r="F246" s="2" t="s">
        <v>15</v>
      </c>
      <c r="G246" s="2" t="s">
        <v>791</v>
      </c>
      <c r="H246" s="2" t="s">
        <v>99</v>
      </c>
      <c r="I246" s="2" t="str">
        <f>IFERROR(__xludf.DUMMYFUNCTION("GOOGLETRANSLATE(C246,""fr"",""en"")"),"Having all my auto/housing contracts at GMF I wanted to take out a new car insurance. These will not ensure me because ""little sportswoman, it takes 5 years of minimum permit"", at 120hp ...
Prefer other cheaper insurance for the same guarantees.")</f>
        <v>Having all my auto/housing contracts at GMF I wanted to take out a new car insurance. These will not ensure me because "little sportswoman, it takes 5 years of minimum permit", at 120hp ...
Prefer other cheaper insurance for the same guarantees.</v>
      </c>
    </row>
    <row r="247" ht="15.75" customHeight="1">
      <c r="A247" s="2">
        <v>3.0</v>
      </c>
      <c r="B247" s="2" t="s">
        <v>792</v>
      </c>
      <c r="C247" s="2" t="s">
        <v>793</v>
      </c>
      <c r="D247" s="2" t="s">
        <v>93</v>
      </c>
      <c r="E247" s="2" t="s">
        <v>21</v>
      </c>
      <c r="F247" s="2" t="s">
        <v>15</v>
      </c>
      <c r="G247" s="2" t="s">
        <v>794</v>
      </c>
      <c r="H247" s="2" t="s">
        <v>385</v>
      </c>
      <c r="I247" s="2" t="str">
        <f>IFERROR(__xludf.DUMMYFUNCTION("GOOGLETRANSLATE(C247,""fr"",""en"")"),"A disaster ! Insurance to flee at all costs. More than 2 months that I try to terminate and each time they find a pretext so as not to follow up on my request for termination. My new insurance sent them a letter of termination that they refused, I then ma"&amp;"de a letter of termination and after all this, termination always refused !! All pretexts are good to continue to make you pay monthly payments. It's a shame !")</f>
        <v>A disaster ! Insurance to flee at all costs. More than 2 months that I try to terminate and each time they find a pretext so as not to follow up on my request for termination. My new insurance sent them a letter of termination that they refused, I then made a letter of termination and after all this, termination always refused !! All pretexts are good to continue to make you pay monthly payments. It's a shame !</v>
      </c>
    </row>
    <row r="248" ht="15.75" customHeight="1">
      <c r="A248" s="2">
        <v>3.0</v>
      </c>
      <c r="B248" s="2" t="s">
        <v>795</v>
      </c>
      <c r="C248" s="2" t="s">
        <v>796</v>
      </c>
      <c r="D248" s="2" t="s">
        <v>106</v>
      </c>
      <c r="E248" s="2" t="s">
        <v>14</v>
      </c>
      <c r="F248" s="2" t="s">
        <v>15</v>
      </c>
      <c r="G248" s="2" t="s">
        <v>797</v>
      </c>
      <c r="H248" s="2" t="s">
        <v>152</v>
      </c>
      <c r="I248" s="2" t="str">
        <f>IFERROR(__xludf.DUMMYFUNCTION("GOOGLETRANSLATE(C248,""fr"",""en"")"),"I am a member of the 2015 and I am satisfied with the guarantee The customer service is fairly fast and the answers are quite clear when we do not always")</f>
        <v>I am a member of the 2015 and I am satisfied with the guarantee The customer service is fairly fast and the answers are quite clear when we do not always</v>
      </c>
    </row>
    <row r="249" ht="15.75" customHeight="1">
      <c r="A249" s="2">
        <v>4.0</v>
      </c>
      <c r="B249" s="2" t="s">
        <v>798</v>
      </c>
      <c r="C249" s="2" t="s">
        <v>799</v>
      </c>
      <c r="D249" s="2" t="s">
        <v>146</v>
      </c>
      <c r="E249" s="2" t="s">
        <v>52</v>
      </c>
      <c r="F249" s="2" t="s">
        <v>15</v>
      </c>
      <c r="G249" s="2" t="s">
        <v>800</v>
      </c>
      <c r="H249" s="2" t="s">
        <v>95</v>
      </c>
      <c r="I249" s="2" t="str">
        <f>IFERROR(__xludf.DUMMYFUNCTION("GOOGLETRANSLATE(C249,""fr"",""en"")"),"Super prices ... very happy, very simple, fun, I hope that behind all that I am super well covered, well followed and no surprise ...
To advice...")</f>
        <v>Super prices ... very happy, very simple, fun, I hope that behind all that I am super well covered, well followed and no surprise ...
To advice...</v>
      </c>
    </row>
    <row r="250" ht="15.75" customHeight="1">
      <c r="A250" s="2">
        <v>1.0</v>
      </c>
      <c r="B250" s="2" t="s">
        <v>801</v>
      </c>
      <c r="C250" s="2" t="s">
        <v>802</v>
      </c>
      <c r="D250" s="2" t="s">
        <v>150</v>
      </c>
      <c r="E250" s="2" t="s">
        <v>42</v>
      </c>
      <c r="F250" s="2" t="s">
        <v>15</v>
      </c>
      <c r="G250" s="2" t="s">
        <v>803</v>
      </c>
      <c r="H250" s="2" t="s">
        <v>804</v>
      </c>
      <c r="I250" s="2" t="str">
        <f>IFERROR(__xludf.DUMMYFUNCTION("GOOGLETRANSLATE(C250,""fr"",""en"")"),"Insured at the Macif for several years now and we have been robbed. They took more than 6 months to answer us that we will not be reimbursed for all our stolen items because a clause in the contract mentions that in the event of inhabitation of our home o"&amp;"f more than 60 days, there is no 'Compensation?! But what incompetence on the part of the claim! Managers never recall, you have to insist heavily to have an answer! They even mandated an expert to be heard that there was a clause ...
A word of advice, b"&amp;"e very careful with the clauses in the contracts because at the subscription, we do not mention them!")</f>
        <v>Insured at the Macif for several years now and we have been robbed. They took more than 6 months to answer us that we will not be reimbursed for all our stolen items because a clause in the contract mentions that in the event of inhabitation of our home of more than 60 days, there is no 'Compensation?! But what incompetence on the part of the claim! Managers never recall, you have to insist heavily to have an answer! They even mandated an expert to be heard that there was a clause ...
A word of advice, be very careful with the clauses in the contracts because at the subscription, we do not mention them!</v>
      </c>
    </row>
    <row r="251" ht="15.75" customHeight="1">
      <c r="A251" s="2">
        <v>1.0</v>
      </c>
      <c r="B251" s="2" t="s">
        <v>805</v>
      </c>
      <c r="C251" s="2" t="s">
        <v>806</v>
      </c>
      <c r="D251" s="2" t="s">
        <v>807</v>
      </c>
      <c r="E251" s="2" t="s">
        <v>544</v>
      </c>
      <c r="F251" s="2" t="s">
        <v>15</v>
      </c>
      <c r="G251" s="2" t="s">
        <v>730</v>
      </c>
      <c r="H251" s="2" t="s">
        <v>38</v>
      </c>
      <c r="I251" s="2" t="str">
        <f>IFERROR(__xludf.DUMMYFUNCTION("GOOGLETRANSLATE(C251,""fr"",""en"")"),"Pffff completely outdated I send the documents requested and there is always something missing from the file, not want to pay what is due and the folder this walk in hand and me with it !!!! they pass it on the baby !! Maybe wait for the opinion of DECES "&amp;"??? I have nothing to do with me they sent me a runner to tell me that they were taking my disability into account and that they would give me an annuity to the year departure date 02/12/2019 but nothing has been given since ??? Oppose incomplete file !!!"&amp;" Alor does not send to Courier unnecessarily you devoted them or not that's it.")</f>
        <v>Pffff completely outdated I send the documents requested and there is always something missing from the file, not want to pay what is due and the folder this walk in hand and me with it !!!! they pass it on the baby !! Maybe wait for the opinion of DECES ??? I have nothing to do with me they sent me a runner to tell me that they were taking my disability into account and that they would give me an annuity to the year departure date 02/12/2019 but nothing has been given since ??? Oppose incomplete file !!! Alor does not send to Courier unnecessarily you devoted them or not that's it.</v>
      </c>
    </row>
    <row r="252" ht="15.75" customHeight="1">
      <c r="A252" s="2">
        <v>5.0</v>
      </c>
      <c r="B252" s="2" t="s">
        <v>808</v>
      </c>
      <c r="C252" s="2" t="s">
        <v>809</v>
      </c>
      <c r="D252" s="2" t="s">
        <v>434</v>
      </c>
      <c r="E252" s="2" t="s">
        <v>14</v>
      </c>
      <c r="F252" s="2" t="s">
        <v>15</v>
      </c>
      <c r="G252" s="2" t="s">
        <v>810</v>
      </c>
      <c r="H252" s="2" t="s">
        <v>458</v>
      </c>
      <c r="I252" s="2" t="str">
        <f>IFERROR(__xludf.DUMMYFUNCTION("GOOGLETRANSLATE(C252,""fr"",""en"")"),"Very satisfied answer well. No waiting on the phone. Simplified registration on the net and direct. Document and very satisfactory response I advise everyone")</f>
        <v>Very satisfied answer well. No waiting on the phone. Simplified registration on the net and direct. Document and very satisfactory response I advise everyone</v>
      </c>
    </row>
    <row r="253" ht="15.75" customHeight="1">
      <c r="A253" s="2">
        <v>3.0</v>
      </c>
      <c r="B253" s="2" t="s">
        <v>811</v>
      </c>
      <c r="C253" s="2" t="s">
        <v>812</v>
      </c>
      <c r="D253" s="2" t="s">
        <v>13</v>
      </c>
      <c r="E253" s="2" t="s">
        <v>14</v>
      </c>
      <c r="F253" s="2" t="s">
        <v>15</v>
      </c>
      <c r="G253" s="2" t="s">
        <v>813</v>
      </c>
      <c r="H253" s="2" t="s">
        <v>29</v>
      </c>
      <c r="I253" s="2" t="str">
        <f>IFERROR(__xludf.DUMMYFUNCTION("GOOGLETRANSLATE(C253,""fr"",""en"")"),"Alison called me because my request by email was blurred. It was precise, clear, very pleasant and really attentive. I hope that his collaborators (trices) will be as precious. Thank you Alison and see you soon I hope.")</f>
        <v>Alison called me because my request by email was blurred. It was precise, clear, very pleasant and really attentive. I hope that his collaborators (trices) will be as precious. Thank you Alison and see you soon I hope.</v>
      </c>
    </row>
    <row r="254" ht="15.75" customHeight="1">
      <c r="A254" s="2">
        <v>1.0</v>
      </c>
      <c r="B254" s="2" t="s">
        <v>814</v>
      </c>
      <c r="C254" s="2" t="s">
        <v>815</v>
      </c>
      <c r="D254" s="2" t="s">
        <v>32</v>
      </c>
      <c r="E254" s="2" t="s">
        <v>21</v>
      </c>
      <c r="F254" s="2" t="s">
        <v>15</v>
      </c>
      <c r="G254" s="2" t="s">
        <v>816</v>
      </c>
      <c r="H254" s="2" t="s">
        <v>458</v>
      </c>
      <c r="I254" s="2" t="str">
        <f>IFERROR(__xludf.DUMMYFUNCTION("GOOGLETRANSLATE(C254,""fr"",""en"")"),"A horror! Grand harm took me to go to their homes! They despise their customers as it is not allowed! Invoice of the case fees at all costs and forgets to specify certain terms which makes your automatic car contract! Even with the serenity pack! I'm goin"&amp;"g to get out of their home quickly! Supposedly elected customer service of the year 2020 when they are relocated and despises you!
Be careful too! If they are cheaper for a vehicle they are not for everyone! Never again I set foot with them!
")</f>
        <v>A horror! Grand harm took me to go to their homes! They despise their customers as it is not allowed! Invoice of the case fees at all costs and forgets to specify certain terms which makes your automatic car contract! Even with the serenity pack! I'm going to get out of their home quickly! Supposedly elected customer service of the year 2020 when they are relocated and despises you!
Be careful too! If they are cheaper for a vehicle they are not for everyone! Never again I set foot with them!
</v>
      </c>
    </row>
    <row r="255" ht="15.75" customHeight="1">
      <c r="A255" s="2">
        <v>1.0</v>
      </c>
      <c r="B255" s="2" t="s">
        <v>817</v>
      </c>
      <c r="C255" s="2" t="s">
        <v>818</v>
      </c>
      <c r="D255" s="2" t="s">
        <v>819</v>
      </c>
      <c r="E255" s="2" t="s">
        <v>42</v>
      </c>
      <c r="F255" s="2" t="s">
        <v>15</v>
      </c>
      <c r="G255" s="2" t="s">
        <v>256</v>
      </c>
      <c r="H255" s="2" t="s">
        <v>23</v>
      </c>
      <c r="I255" s="2" t="str">
        <f>IFERROR(__xludf.DUMMYFUNCTION("GOOGLETRANSLATE(C255,""fr"",""en"")"),"Dear insurance for the few guarantees offered.
Electric damage is excluded from their basic insurance while they guarantee the 'climatic events'. A thunderstorm is a climatic event that can have repercussions on electrical installations. In fact, this in"&amp;"surer plays on words and clauses to avoid paying when the time comes.")</f>
        <v>Dear insurance for the few guarantees offered.
Electric damage is excluded from their basic insurance while they guarantee the 'climatic events'. A thunderstorm is a climatic event that can have repercussions on electrical installations. In fact, this insurer plays on words and clauses to avoid paying when the time comes.</v>
      </c>
    </row>
    <row r="256" ht="15.75" customHeight="1">
      <c r="A256" s="2">
        <v>5.0</v>
      </c>
      <c r="B256" s="2" t="s">
        <v>820</v>
      </c>
      <c r="C256" s="2" t="s">
        <v>821</v>
      </c>
      <c r="D256" s="2" t="s">
        <v>20</v>
      </c>
      <c r="E256" s="2" t="s">
        <v>21</v>
      </c>
      <c r="F256" s="2" t="s">
        <v>15</v>
      </c>
      <c r="G256" s="2" t="s">
        <v>822</v>
      </c>
      <c r="H256" s="2" t="s">
        <v>54</v>
      </c>
      <c r="I256" s="2" t="str">
        <f>IFERROR(__xludf.DUMMYFUNCTION("GOOGLETRANSLATE(C256,""fr"",""en"")"),"Satisfaction and good report of the level of services and price. I have not found cheaper with such levels of guarantees that are important to me.")</f>
        <v>Satisfaction and good report of the level of services and price. I have not found cheaper with such levels of guarantees that are important to me.</v>
      </c>
    </row>
    <row r="257" ht="15.75" customHeight="1">
      <c r="A257" s="2">
        <v>4.0</v>
      </c>
      <c r="B257" s="2" t="s">
        <v>823</v>
      </c>
      <c r="C257" s="2" t="s">
        <v>824</v>
      </c>
      <c r="D257" s="2" t="s">
        <v>32</v>
      </c>
      <c r="E257" s="2" t="s">
        <v>21</v>
      </c>
      <c r="F257" s="2" t="s">
        <v>15</v>
      </c>
      <c r="G257" s="2" t="s">
        <v>603</v>
      </c>
      <c r="H257" s="2" t="s">
        <v>54</v>
      </c>
      <c r="I257" s="2" t="str">
        <f>IFERROR(__xludf.DUMMYFUNCTION("GOOGLETRANSLATE(C257,""fr"",""en"")"),"I am satisfied it is fast and well done the prices are sincerely correct I will speak to other people see you soon for another insurance thank you")</f>
        <v>I am satisfied it is fast and well done the prices are sincerely correct I will speak to other people see you soon for another insurance thank you</v>
      </c>
    </row>
    <row r="258" ht="15.75" customHeight="1">
      <c r="A258" s="2">
        <v>4.0</v>
      </c>
      <c r="B258" s="2" t="s">
        <v>825</v>
      </c>
      <c r="C258" s="2" t="s">
        <v>826</v>
      </c>
      <c r="D258" s="2" t="s">
        <v>20</v>
      </c>
      <c r="E258" s="2" t="s">
        <v>21</v>
      </c>
      <c r="F258" s="2" t="s">
        <v>15</v>
      </c>
      <c r="G258" s="2" t="s">
        <v>827</v>
      </c>
      <c r="H258" s="2" t="s">
        <v>54</v>
      </c>
      <c r="I258" s="2" t="str">
        <f>IFERROR(__xludf.DUMMYFUNCTION("GOOGLETRANSLATE(C258,""fr"",""en"")"),"Delighted with reception and service.
Friendly and professional advisor.
We will see in time and I remain fully confident by the services offered.
Competitive prices")</f>
        <v>Delighted with reception and service.
Friendly and professional advisor.
We will see in time and I remain fully confident by the services offered.
Competitive prices</v>
      </c>
    </row>
    <row r="259" ht="15.75" customHeight="1">
      <c r="A259" s="2">
        <v>5.0</v>
      </c>
      <c r="B259" s="2" t="s">
        <v>828</v>
      </c>
      <c r="C259" s="2" t="s">
        <v>829</v>
      </c>
      <c r="D259" s="2" t="s">
        <v>20</v>
      </c>
      <c r="E259" s="2" t="s">
        <v>21</v>
      </c>
      <c r="F259" s="2" t="s">
        <v>15</v>
      </c>
      <c r="G259" s="2" t="s">
        <v>409</v>
      </c>
      <c r="H259" s="2" t="s">
        <v>54</v>
      </c>
      <c r="I259" s="2" t="str">
        <f>IFERROR(__xludf.DUMMYFUNCTION("GOOGLETRANSLATE(C259,""fr"",""en"")"),"Practical and fast I am satisfied with your listening and not a lot of waiting on the phone The advisables are very pleasant, thank you and the Easy documents.")</f>
        <v>Practical and fast I am satisfied with your listening and not a lot of waiting on the phone The advisables are very pleasant, thank you and the Easy documents.</v>
      </c>
    </row>
    <row r="260" ht="15.75" customHeight="1">
      <c r="A260" s="2">
        <v>4.0</v>
      </c>
      <c r="B260" s="2" t="s">
        <v>830</v>
      </c>
      <c r="C260" s="2" t="s">
        <v>831</v>
      </c>
      <c r="D260" s="2" t="s">
        <v>106</v>
      </c>
      <c r="E260" s="2" t="s">
        <v>14</v>
      </c>
      <c r="F260" s="2" t="s">
        <v>15</v>
      </c>
      <c r="G260" s="2" t="s">
        <v>832</v>
      </c>
      <c r="H260" s="2" t="s">
        <v>17</v>
      </c>
      <c r="I260" s="2" t="str">
        <f>IFERROR(__xludf.DUMMYFUNCTION("GOOGLETRANSLATE(C260,""fr"",""en"")"),"Welcome and easy to understand advice. Tariff good compared to competition.")</f>
        <v>Welcome and easy to understand advice. Tariff good compared to competition.</v>
      </c>
    </row>
    <row r="261" ht="15.75" customHeight="1">
      <c r="A261" s="2">
        <v>3.0</v>
      </c>
      <c r="B261" s="2" t="s">
        <v>833</v>
      </c>
      <c r="C261" s="2" t="s">
        <v>834</v>
      </c>
      <c r="D261" s="2" t="s">
        <v>127</v>
      </c>
      <c r="E261" s="2" t="s">
        <v>128</v>
      </c>
      <c r="F261" s="2" t="s">
        <v>15</v>
      </c>
      <c r="G261" s="2" t="s">
        <v>835</v>
      </c>
      <c r="H261" s="2" t="s">
        <v>38</v>
      </c>
      <c r="I261" s="2" t="str">
        <f>IFERROR(__xludf.DUMMYFUNCTION("GOOGLETRANSLATE(C261,""fr"",""en"")"),"Very good support for the Zen'Up team. I am satisfied. I was recalled by the advisor to unlock or continue the process. The only note concerns the lack of ergonomics on the form to be completed.")</f>
        <v>Very good support for the Zen'Up team. I am satisfied. I was recalled by the advisor to unlock or continue the process. The only note concerns the lack of ergonomics on the form to be completed.</v>
      </c>
    </row>
    <row r="262" ht="15.75" customHeight="1">
      <c r="A262" s="2">
        <v>4.0</v>
      </c>
      <c r="B262" s="2" t="s">
        <v>836</v>
      </c>
      <c r="C262" s="2" t="s">
        <v>837</v>
      </c>
      <c r="D262" s="2" t="s">
        <v>32</v>
      </c>
      <c r="E262" s="2" t="s">
        <v>21</v>
      </c>
      <c r="F262" s="2" t="s">
        <v>15</v>
      </c>
      <c r="G262" s="2" t="s">
        <v>838</v>
      </c>
      <c r="H262" s="2" t="s">
        <v>179</v>
      </c>
      <c r="I262" s="2" t="str">
        <f>IFERROR(__xludf.DUMMYFUNCTION("GOOGLETRANSLATE(C262,""fr"",""en"")"),"I am satisfied for the moment
satisfied customer relationship
Correct price but we are still trying to save.
efficiency, we will see the day when I would need your services")</f>
        <v>I am satisfied for the moment
satisfied customer relationship
Correct price but we are still trying to save.
efficiency, we will see the day when I would need your services</v>
      </c>
    </row>
    <row r="263" ht="15.75" customHeight="1">
      <c r="A263" s="2">
        <v>1.0</v>
      </c>
      <c r="B263" s="2" t="s">
        <v>839</v>
      </c>
      <c r="C263" s="2" t="s">
        <v>840</v>
      </c>
      <c r="D263" s="2" t="s">
        <v>222</v>
      </c>
      <c r="E263" s="2" t="s">
        <v>42</v>
      </c>
      <c r="F263" s="2" t="s">
        <v>15</v>
      </c>
      <c r="G263" s="2" t="s">
        <v>841</v>
      </c>
      <c r="H263" s="2" t="s">
        <v>842</v>
      </c>
      <c r="I263" s="2" t="str">
        <f>IFERROR(__xludf.DUMMYFUNCTION("GOOGLETRANSLATE(C263,""fr"",""en"")"),"Home insurance: the agency of bad faith finds a thousand pretexts so as not to reimburse the too much perceived contribution: the case has been going on for more than a year ... pitiful, no commercial sense, to flee")</f>
        <v>Home insurance: the agency of bad faith finds a thousand pretexts so as not to reimburse the too much perceived contribution: the case has been going on for more than a year ... pitiful, no commercial sense, to flee</v>
      </c>
    </row>
    <row r="264" ht="15.75" customHeight="1">
      <c r="A264" s="2">
        <v>5.0</v>
      </c>
      <c r="B264" s="2" t="s">
        <v>843</v>
      </c>
      <c r="C264" s="2" t="s">
        <v>844</v>
      </c>
      <c r="D264" s="2" t="s">
        <v>20</v>
      </c>
      <c r="E264" s="2" t="s">
        <v>21</v>
      </c>
      <c r="F264" s="2" t="s">
        <v>15</v>
      </c>
      <c r="G264" s="2" t="s">
        <v>412</v>
      </c>
      <c r="H264" s="2" t="s">
        <v>23</v>
      </c>
      <c r="I264" s="2" t="str">
        <f>IFERROR(__xludf.DUMMYFUNCTION("GOOGLETRANSLATE(C264,""fr"",""en"")"),"Faithful and satisfied. Very competitive rates. An always reachable team and effective service.
Green card sent quickly.
I have been insured since 2016
")</f>
        <v>Faithful and satisfied. Very competitive rates. An always reachable team and effective service.
Green card sent quickly.
I have been insured since 2016
</v>
      </c>
    </row>
    <row r="265" ht="15.75" customHeight="1">
      <c r="A265" s="2">
        <v>5.0</v>
      </c>
      <c r="B265" s="2" t="s">
        <v>845</v>
      </c>
      <c r="C265" s="2" t="s">
        <v>846</v>
      </c>
      <c r="D265" s="2" t="s">
        <v>20</v>
      </c>
      <c r="E265" s="2" t="s">
        <v>21</v>
      </c>
      <c r="F265" s="2" t="s">
        <v>15</v>
      </c>
      <c r="G265" s="2" t="s">
        <v>847</v>
      </c>
      <c r="H265" s="2" t="s">
        <v>54</v>
      </c>
      <c r="I265" s="2" t="str">
        <f>IFERROR(__xludf.DUMMYFUNCTION("GOOGLETRANSLATE(C265,""fr"",""en"")"),"After several research, your insurance remains the most competitive even if the prices remain relatively high for young drivers. I am rather satisfied.")</f>
        <v>After several research, your insurance remains the most competitive even if the prices remain relatively high for young drivers. I am rather satisfied.</v>
      </c>
    </row>
    <row r="266" ht="15.75" customHeight="1">
      <c r="A266" s="2">
        <v>2.0</v>
      </c>
      <c r="B266" s="2" t="s">
        <v>848</v>
      </c>
      <c r="C266" s="2" t="s">
        <v>849</v>
      </c>
      <c r="D266" s="2" t="s">
        <v>469</v>
      </c>
      <c r="E266" s="2" t="s">
        <v>14</v>
      </c>
      <c r="F266" s="2" t="s">
        <v>15</v>
      </c>
      <c r="G266" s="2" t="s">
        <v>850</v>
      </c>
      <c r="H266" s="2" t="s">
        <v>385</v>
      </c>
      <c r="I266" s="2" t="str">
        <f>IFERROR(__xludf.DUMMYFUNCTION("GOOGLETRANSLATE(C266,""fr"",""en"")"),"Overnight, it is impossible to connect to the insured space: more recognized identifier/password combination. I am therefore the steps to reset the password, and I go to a message that I cannot be identified. I then fill in a 3rd form to reactivate my acc"&amp;"ount, and I arrive on a page ""an error has occurred"". Amazing that a business mutual insurance company has such a bad website. And what about the mobile application, nonexistent in 2020!")</f>
        <v>Overnight, it is impossible to connect to the insured space: more recognized identifier/password combination. I am therefore the steps to reset the password, and I go to a message that I cannot be identified. I then fill in a 3rd form to reactivate my account, and I arrive on a page "an error has occurred". Amazing that a business mutual insurance company has such a bad website. And what about the mobile application, nonexistent in 2020!</v>
      </c>
    </row>
    <row r="267" ht="15.75" customHeight="1">
      <c r="A267" s="2">
        <v>2.0</v>
      </c>
      <c r="B267" s="2" t="s">
        <v>851</v>
      </c>
      <c r="C267" s="2" t="s">
        <v>852</v>
      </c>
      <c r="D267" s="2" t="s">
        <v>150</v>
      </c>
      <c r="E267" s="2" t="s">
        <v>42</v>
      </c>
      <c r="F267" s="2" t="s">
        <v>15</v>
      </c>
      <c r="G267" s="2" t="s">
        <v>853</v>
      </c>
      <c r="H267" s="2" t="s">
        <v>385</v>
      </c>
      <c r="I267" s="2" t="str">
        <f>IFERROR(__xludf.DUMMYFUNCTION("GOOGLETRANSLATE(C267,""fr"",""en"")"),"Catastrophic experience. I ask for a quote for rental accommodation. I am made a competitive quote. At the first call I am told that we cannot send it to me by email but that I will receive it in the customer area. I'm waiting ... nothing. I remind you, n"&amp;"o available, after I do not know how many calls and waiting I have finally someone who tells me that one cannot receive a quote either by email or in the customer area but that She will try to give me a screenshot and send it to me by email. It doesn't wo"&amp;"rk (weird) and there it hangs up, nobody reminds me. I remind you and after x calls and wait I come across someone trying to see with its manager, makes me wait 15/20 min and tell me that I have to go to the agency. Of course I am comparing 10 insurance a"&amp;"nd I will recover the quotes in agency. Otherwise I had to say OK, engaged for a year without seeing a single written line. A shame. I spent more than 2 hours there for nothing")</f>
        <v>Catastrophic experience. I ask for a quote for rental accommodation. I am made a competitive quote. At the first call I am told that we cannot send it to me by email but that I will receive it in the customer area. I'm waiting ... nothing. I remind you, no available, after I do not know how many calls and waiting I have finally someone who tells me that one cannot receive a quote either by email or in the customer area but that She will try to give me a screenshot and send it to me by email. It doesn't work (weird) and there it hangs up, nobody reminds me. I remind you and after x calls and wait I come across someone trying to see with its manager, makes me wait 15/20 min and tell me that I have to go to the agency. Of course I am comparing 10 insurance and I will recover the quotes in agency. Otherwise I had to say OK, engaged for a year without seeing a single written line. A shame. I spent more than 2 hours there for nothing</v>
      </c>
    </row>
    <row r="268" ht="15.75" customHeight="1">
      <c r="A268" s="2">
        <v>3.0</v>
      </c>
      <c r="B268" s="2" t="s">
        <v>854</v>
      </c>
      <c r="C268" s="2" t="s">
        <v>855</v>
      </c>
      <c r="D268" s="2" t="s">
        <v>139</v>
      </c>
      <c r="E268" s="2" t="s">
        <v>21</v>
      </c>
      <c r="F268" s="2" t="s">
        <v>15</v>
      </c>
      <c r="G268" s="2" t="s">
        <v>856</v>
      </c>
      <c r="H268" s="2" t="s">
        <v>38</v>
      </c>
      <c r="I268" s="2" t="str">
        <f>IFERROR(__xludf.DUMMYFUNCTION("GOOGLETRANSLATE(C268,""fr"",""en"")"),"I am generally satisfied with insurance services. However, I would like to support my insurance with preferential or decreasing prices on long -standing subscriptions.
I had asked for investment advice, no proposal has since suited I have not made any re"&amp;"quest.")</f>
        <v>I am generally satisfied with insurance services. However, I would like to support my insurance with preferential or decreasing prices on long -standing subscriptions.
I had asked for investment advice, no proposal has since suited I have not made any request.</v>
      </c>
    </row>
    <row r="269" ht="15.75" customHeight="1">
      <c r="A269" s="2">
        <v>1.0</v>
      </c>
      <c r="B269" s="2" t="s">
        <v>857</v>
      </c>
      <c r="C269" s="2" t="s">
        <v>858</v>
      </c>
      <c r="D269" s="2" t="s">
        <v>251</v>
      </c>
      <c r="E269" s="2" t="s">
        <v>14</v>
      </c>
      <c r="F269" s="2" t="s">
        <v>15</v>
      </c>
      <c r="G269" s="2" t="s">
        <v>859</v>
      </c>
      <c r="H269" s="2" t="s">
        <v>860</v>
      </c>
      <c r="I269" s="2" t="str">
        <f>IFERROR(__xludf.DUMMYFUNCTION("GOOGLETRANSLATE(C269,""fr"",""en"")"),"Even with a big vision problem does not reimburse before 12 months while health insurance it does!
")</f>
        <v>Even with a big vision problem does not reimburse before 12 months while health insurance it does!
</v>
      </c>
    </row>
    <row r="270" ht="15.75" customHeight="1">
      <c r="A270" s="2">
        <v>5.0</v>
      </c>
      <c r="B270" s="2" t="s">
        <v>861</v>
      </c>
      <c r="C270" s="2" t="s">
        <v>862</v>
      </c>
      <c r="D270" s="2" t="s">
        <v>32</v>
      </c>
      <c r="E270" s="2" t="s">
        <v>21</v>
      </c>
      <c r="F270" s="2" t="s">
        <v>15</v>
      </c>
      <c r="G270" s="2" t="s">
        <v>214</v>
      </c>
      <c r="H270" s="2" t="s">
        <v>58</v>
      </c>
      <c r="I270" s="2" t="str">
        <f>IFERROR(__xludf.DUMMYFUNCTION("GOOGLETRANSLATE(C270,""fr"",""en"")"),"I am satisfied with the service ... prices suit me ...
Cheaper than competitors
I strongly recommend
Other cars will be insured at home")</f>
        <v>I am satisfied with the service ... prices suit me ...
Cheaper than competitors
I strongly recommend
Other cars will be insured at home</v>
      </c>
    </row>
    <row r="271" ht="15.75" customHeight="1">
      <c r="A271" s="2">
        <v>1.0</v>
      </c>
      <c r="B271" s="2" t="s">
        <v>863</v>
      </c>
      <c r="C271" s="2" t="s">
        <v>864</v>
      </c>
      <c r="D271" s="2" t="s">
        <v>20</v>
      </c>
      <c r="E271" s="2" t="s">
        <v>21</v>
      </c>
      <c r="F271" s="2" t="s">
        <v>15</v>
      </c>
      <c r="G271" s="2" t="s">
        <v>343</v>
      </c>
      <c r="H271" s="2" t="s">
        <v>95</v>
      </c>
      <c r="I271" s="2" t="str">
        <f>IFERROR(__xludf.DUMMYFUNCTION("GOOGLETRANSLATE(C271,""fr"",""en"")"),"Insurance that seems perfect in every way (availability of advisers, low price, simplicity of subscription ...) until the day when something happens to you ... A lack of total transparency with general conditions not provided during The subscription (it's"&amp;" up to you to consult them on their site and above all do not miss it because the real important information is all in it), salespeople who only seek to sell even to lie to you (say that a listed loss The stolen wheels would have been reimbursed at home o"&amp;"n the day of subscription when this is precisely part of the exclusions). And the day you end up with a monumental credit on your back because the insurance does not cover the stolen body of your new car 3 months ago (and you accept your fate and resigned"&amp;", wait patiently for 1 year Allows you to go to insurance worthy of the name), the olive tree buries you a little more by terminating your contract due to too frequent disaster (1 and where I paid everything ???). History to be sure that you were babzing "&amp;"a little more to reassure you ...
Really flee ... The low prices are not without consequences, I learned it to my dependents ...")</f>
        <v>Insurance that seems perfect in every way (availability of advisers, low price, simplicity of subscription ...) until the day when something happens to you ... A lack of total transparency with general conditions not provided during The subscription (it's up to you to consult them on their site and above all do not miss it because the real important information is all in it), salespeople who only seek to sell even to lie to you (say that a listed loss The stolen wheels would have been reimbursed at home on the day of subscription when this is precisely part of the exclusions). And the day you end up with a monumental credit on your back because the insurance does not cover the stolen body of your new car 3 months ago (and you accept your fate and resigned, wait patiently for 1 year Allows you to go to insurance worthy of the name), the olive tree buries you a little more by terminating your contract due to too frequent disaster (1 and where I paid everything ???). History to be sure that you were babzing a little more to reassure you ...
Really flee ... The low prices are not without consequences, I learned it to my dependents ...</v>
      </c>
    </row>
    <row r="272" ht="15.75" customHeight="1">
      <c r="A272" s="2">
        <v>3.0</v>
      </c>
      <c r="B272" s="2" t="s">
        <v>865</v>
      </c>
      <c r="C272" s="2" t="s">
        <v>866</v>
      </c>
      <c r="D272" s="2" t="s">
        <v>32</v>
      </c>
      <c r="E272" s="2" t="s">
        <v>21</v>
      </c>
      <c r="F272" s="2" t="s">
        <v>15</v>
      </c>
      <c r="G272" s="2" t="s">
        <v>867</v>
      </c>
      <c r="H272" s="2" t="s">
        <v>179</v>
      </c>
      <c r="I272" s="2" t="str">
        <f>IFERROR(__xludf.DUMMYFUNCTION("GOOGLETRANSLATE(C272,""fr"",""en"")"),"I am satisfied with the online service; The price suits me; I have other vehicles insure; I would like to have a promotion code because in total I have 3 cars; Soon 4. Thank you in advance")</f>
        <v>I am satisfied with the online service; The price suits me; I have other vehicles insure; I would like to have a promotion code because in total I have 3 cars; Soon 4. Thank you in advance</v>
      </c>
    </row>
    <row r="273" ht="15.75" customHeight="1">
      <c r="A273" s="2">
        <v>1.0</v>
      </c>
      <c r="B273" s="2" t="s">
        <v>868</v>
      </c>
      <c r="C273" s="2" t="s">
        <v>869</v>
      </c>
      <c r="D273" s="2" t="s">
        <v>41</v>
      </c>
      <c r="E273" s="2" t="s">
        <v>42</v>
      </c>
      <c r="F273" s="2" t="s">
        <v>15</v>
      </c>
      <c r="G273" s="2" t="s">
        <v>773</v>
      </c>
      <c r="H273" s="2" t="s">
        <v>454</v>
      </c>
      <c r="I273" s="2" t="str">
        <f>IFERROR(__xludf.DUMMYFUNCTION("GOOGLETRANSLATE(C273,""fr"",""en"")"),"Considering the deadline and the amount of the refund, I will go to see elsewhere (I have been at the Maaf for more than 50 years)")</f>
        <v>Considering the deadline and the amount of the refund, I will go to see elsewhere (I have been at the Maaf for more than 50 years)</v>
      </c>
    </row>
    <row r="274" ht="15.75" customHeight="1">
      <c r="A274" s="2">
        <v>1.0</v>
      </c>
      <c r="B274" s="2" t="s">
        <v>870</v>
      </c>
      <c r="C274" s="2" t="s">
        <v>871</v>
      </c>
      <c r="D274" s="2" t="s">
        <v>102</v>
      </c>
      <c r="E274" s="2" t="s">
        <v>42</v>
      </c>
      <c r="F274" s="2" t="s">
        <v>15</v>
      </c>
      <c r="G274" s="2" t="s">
        <v>872</v>
      </c>
      <c r="H274" s="2" t="s">
        <v>422</v>
      </c>
      <c r="I274" s="2" t="str">
        <f>IFERROR(__xludf.DUMMYFUNCTION("GOOGLETRANSLATE(C274,""fr"",""en"")"),"unreachable on the phone")</f>
        <v>unreachable on the phone</v>
      </c>
    </row>
    <row r="275" ht="15.75" customHeight="1">
      <c r="A275" s="2">
        <v>2.0</v>
      </c>
      <c r="B275" s="2" t="s">
        <v>873</v>
      </c>
      <c r="C275" s="2" t="s">
        <v>874</v>
      </c>
      <c r="D275" s="2" t="s">
        <v>32</v>
      </c>
      <c r="E275" s="2" t="s">
        <v>21</v>
      </c>
      <c r="F275" s="2" t="s">
        <v>15</v>
      </c>
      <c r="G275" s="2" t="s">
        <v>875</v>
      </c>
      <c r="H275" s="2" t="s">
        <v>876</v>
      </c>
      <c r="I275" s="2" t="str">
        <f>IFERROR(__xludf.DUMMYFUNCTION("GOOGLETRANSLATE(C275,""fr"",""en"")"),"My rugged car for a week, they are not screwed to find a garage to repair the car! Being insured in any risk, I am not even entitled to a car loan in the meantime! Basically if for 1 month he can't find a garage, we are 1 month without a car !! A deplorab"&amp;"le customer experience! From my pocket, I pay taxi and uber to move, it does not even offer compensation !!!")</f>
        <v>My rugged car for a week, they are not screwed to find a garage to repair the car! Being insured in any risk, I am not even entitled to a car loan in the meantime! Basically if for 1 month he can't find a garage, we are 1 month without a car !! A deplorable customer experience! From my pocket, I pay taxi and uber to move, it does not even offer compensation !!!</v>
      </c>
    </row>
    <row r="276" ht="15.75" customHeight="1">
      <c r="A276" s="2">
        <v>5.0</v>
      </c>
      <c r="B276" s="2" t="s">
        <v>877</v>
      </c>
      <c r="C276" s="2" t="s">
        <v>878</v>
      </c>
      <c r="D276" s="2" t="s">
        <v>146</v>
      </c>
      <c r="E276" s="2" t="s">
        <v>52</v>
      </c>
      <c r="F276" s="2" t="s">
        <v>15</v>
      </c>
      <c r="G276" s="2" t="s">
        <v>879</v>
      </c>
      <c r="H276" s="2" t="s">
        <v>58</v>
      </c>
      <c r="I276" s="2" t="str">
        <f>IFERROR(__xludf.DUMMYFUNCTION("GOOGLETRANSLATE(C276,""fr"",""en"")"),"So far everything is very good. The prices are correct, even competitive. Recording is easy. All that remains is to see if it lasts over time and that we are well compensated in the event of a disaster, but I have confidence.")</f>
        <v>So far everything is very good. The prices are correct, even competitive. Recording is easy. All that remains is to see if it lasts over time and that we are well compensated in the event of a disaster, but I have confidence.</v>
      </c>
    </row>
    <row r="277" ht="15.75" customHeight="1">
      <c r="A277" s="2">
        <v>5.0</v>
      </c>
      <c r="B277" s="2" t="s">
        <v>880</v>
      </c>
      <c r="C277" s="2" t="s">
        <v>881</v>
      </c>
      <c r="D277" s="2" t="s">
        <v>51</v>
      </c>
      <c r="E277" s="2" t="s">
        <v>52</v>
      </c>
      <c r="F277" s="2" t="s">
        <v>15</v>
      </c>
      <c r="G277" s="2" t="s">
        <v>69</v>
      </c>
      <c r="H277" s="2" t="s">
        <v>58</v>
      </c>
      <c r="I277" s="2" t="str">
        <f>IFERROR(__xludf.DUMMYFUNCTION("GOOGLETRANSLATE(C277,""fr"",""en"")"),"I am satisfied with the service, especially for classic motorcycles, accessible prices, and facilitates its contract on the Internet, the telephone service also very well.")</f>
        <v>I am satisfied with the service, especially for classic motorcycles, accessible prices, and facilitates its contract on the Internet, the telephone service also very well.</v>
      </c>
    </row>
    <row r="278" ht="15.75" customHeight="1">
      <c r="A278" s="2">
        <v>1.0</v>
      </c>
      <c r="B278" s="2" t="s">
        <v>882</v>
      </c>
      <c r="C278" s="2" t="s">
        <v>883</v>
      </c>
      <c r="D278" s="2" t="s">
        <v>32</v>
      </c>
      <c r="E278" s="2" t="s">
        <v>21</v>
      </c>
      <c r="F278" s="2" t="s">
        <v>15</v>
      </c>
      <c r="G278" s="2" t="s">
        <v>884</v>
      </c>
      <c r="H278" s="2" t="s">
        <v>504</v>
      </c>
      <c r="I278" s="2" t="str">
        <f>IFERROR(__xludf.DUMMYFUNCTION("GOOGLETRANSLATE(C278,""fr"",""en"")"),"If you don't need anything then you can go there if you are looking for insurance that ensures good advice go get elsewhere")</f>
        <v>If you don't need anything then you can go there if you are looking for insurance that ensures good advice go get elsewhere</v>
      </c>
    </row>
    <row r="279" ht="15.75" customHeight="1">
      <c r="A279" s="2">
        <v>4.0</v>
      </c>
      <c r="B279" s="2" t="s">
        <v>885</v>
      </c>
      <c r="C279" s="2" t="s">
        <v>886</v>
      </c>
      <c r="D279" s="2" t="s">
        <v>32</v>
      </c>
      <c r="E279" s="2" t="s">
        <v>21</v>
      </c>
      <c r="F279" s="2" t="s">
        <v>15</v>
      </c>
      <c r="G279" s="2" t="s">
        <v>747</v>
      </c>
      <c r="H279" s="2" t="s">
        <v>54</v>
      </c>
      <c r="I279" s="2" t="str">
        <f>IFERROR(__xludf.DUMMYFUNCTION("GOOGLETRANSLATE(C279,""fr"",""en"")"),"Very well and fast I recommend it to everyone, I come back to them because it is not expensive and above all effective in every way.
Thank you again and say to you next time for a motorcycle purchase and ensure my motorcycle at home")</f>
        <v>Very well and fast I recommend it to everyone, I come back to them because it is not expensive and above all effective in every way.
Thank you again and say to you next time for a motorcycle purchase and ensure my motorcycle at home</v>
      </c>
    </row>
    <row r="280" ht="15.75" customHeight="1">
      <c r="A280" s="2">
        <v>3.0</v>
      </c>
      <c r="B280" s="2" t="s">
        <v>887</v>
      </c>
      <c r="C280" s="2" t="s">
        <v>888</v>
      </c>
      <c r="D280" s="2" t="s">
        <v>20</v>
      </c>
      <c r="E280" s="2" t="s">
        <v>21</v>
      </c>
      <c r="F280" s="2" t="s">
        <v>15</v>
      </c>
      <c r="G280" s="2" t="s">
        <v>889</v>
      </c>
      <c r="H280" s="2" t="s">
        <v>38</v>
      </c>
      <c r="I280" s="2" t="str">
        <f>IFERROR(__xludf.DUMMYFUNCTION("GOOGLETRANSLATE(C280,""fr"",""en"")"),"I am satisfied for the moment of the service so far and we will see later because I have still not received my final green card. Thank you for everything")</f>
        <v>I am satisfied for the moment of the service so far and we will see later because I have still not received my final green card. Thank you for everything</v>
      </c>
    </row>
    <row r="281" ht="15.75" customHeight="1">
      <c r="A281" s="2">
        <v>3.0</v>
      </c>
      <c r="B281" s="2" t="s">
        <v>890</v>
      </c>
      <c r="C281" s="2" t="s">
        <v>891</v>
      </c>
      <c r="D281" s="2" t="s">
        <v>75</v>
      </c>
      <c r="E281" s="2" t="s">
        <v>14</v>
      </c>
      <c r="F281" s="2" t="s">
        <v>15</v>
      </c>
      <c r="G281" s="2" t="s">
        <v>279</v>
      </c>
      <c r="H281" s="2" t="s">
        <v>199</v>
      </c>
      <c r="I281" s="2" t="str">
        <f>IFERROR(__xludf.DUMMYFUNCTION("GOOGLETRANSLATE(C281,""fr"",""en"")"),"It is very difficult to reach the MGP electronically despite being in 2021!
We have an answer several weeks later, if we have one.
The website is not a model in terms of presentation, use and details.
The mobile version of the MGP site lacks details an"&amp;"d should be reviewed in my opinion.")</f>
        <v>It is very difficult to reach the MGP electronically despite being in 2021!
We have an answer several weeks later, if we have one.
The website is not a model in terms of presentation, use and details.
The mobile version of the MGP site lacks details and should be reviewed in my opinion.</v>
      </c>
    </row>
    <row r="282" ht="15.75" customHeight="1">
      <c r="A282" s="2">
        <v>4.0</v>
      </c>
      <c r="B282" s="2" t="s">
        <v>892</v>
      </c>
      <c r="C282" s="2" t="s">
        <v>893</v>
      </c>
      <c r="D282" s="2" t="s">
        <v>13</v>
      </c>
      <c r="E282" s="2" t="s">
        <v>14</v>
      </c>
      <c r="F282" s="2" t="s">
        <v>15</v>
      </c>
      <c r="G282" s="2" t="s">
        <v>894</v>
      </c>
      <c r="H282" s="2" t="s">
        <v>17</v>
      </c>
      <c r="I282" s="2" t="str">
        <f>IFERROR(__xludf.DUMMYFUNCTION("GOOGLETRANSLATE(C282,""fr"",""en"")"),"After a faster than expected termination of my old mutual insurance company, I had Alison on the phone which immediately solved my problem by progressing our date of membership. Reactivity and nice contact, nothing to say")</f>
        <v>After a faster than expected termination of my old mutual insurance company, I had Alison on the phone which immediately solved my problem by progressing our date of membership. Reactivity and nice contact, nothing to say</v>
      </c>
    </row>
    <row r="283" ht="15.75" customHeight="1">
      <c r="A283" s="2">
        <v>2.0</v>
      </c>
      <c r="B283" s="2" t="s">
        <v>895</v>
      </c>
      <c r="C283" s="2" t="s">
        <v>896</v>
      </c>
      <c r="D283" s="2" t="s">
        <v>20</v>
      </c>
      <c r="E283" s="2" t="s">
        <v>21</v>
      </c>
      <c r="F283" s="2" t="s">
        <v>15</v>
      </c>
      <c r="G283" s="2" t="s">
        <v>897</v>
      </c>
      <c r="H283" s="2" t="s">
        <v>163</v>
      </c>
      <c r="I283" s="2" t="str">
        <f>IFERROR(__xludf.DUMMYFUNCTION("GOOGLETRANSLATE(C283,""fr"",""en"")"),"Guaranteed quality for common things, breakdown, puncture, ridiculous loan car
I contacted by email the olive assurance for some explanation without ever having received a response. In short, it suggests beautiful adventures in the event of a glitch.")</f>
        <v>Guaranteed quality for common things, breakdown, puncture, ridiculous loan car
I contacted by email the olive assurance for some explanation without ever having received a response. In short, it suggests beautiful adventures in the event of a glitch.</v>
      </c>
    </row>
    <row r="284" ht="15.75" customHeight="1">
      <c r="A284" s="2">
        <v>1.0</v>
      </c>
      <c r="B284" s="2" t="s">
        <v>898</v>
      </c>
      <c r="C284" s="2" t="s">
        <v>899</v>
      </c>
      <c r="D284" s="2" t="s">
        <v>20</v>
      </c>
      <c r="E284" s="2" t="s">
        <v>21</v>
      </c>
      <c r="F284" s="2" t="s">
        <v>15</v>
      </c>
      <c r="G284" s="2" t="s">
        <v>900</v>
      </c>
      <c r="H284" s="2" t="s">
        <v>179</v>
      </c>
      <c r="I284" s="2" t="str">
        <f>IFERROR(__xludf.DUMMYFUNCTION("GOOGLETRANSLATE(C284,""fr"",""en"")"),"I paid for my contract for the year dear Lolivier Insurance, after 6 me loss of permit. Its making a self that I await the reimbursement of the half of the contract I am told that it is awaiting validation. Insurance to flee ...")</f>
        <v>I paid for my contract for the year dear Lolivier Insurance, after 6 me loss of permit. Its making a self that I await the reimbursement of the half of the contract I am told that it is awaiting validation. Insurance to flee ...</v>
      </c>
    </row>
    <row r="285" ht="15.75" customHeight="1">
      <c r="A285" s="2">
        <v>1.0</v>
      </c>
      <c r="B285" s="2" t="s">
        <v>901</v>
      </c>
      <c r="C285" s="2" t="s">
        <v>902</v>
      </c>
      <c r="D285" s="2" t="s">
        <v>314</v>
      </c>
      <c r="E285" s="2" t="s">
        <v>21</v>
      </c>
      <c r="F285" s="2" t="s">
        <v>15</v>
      </c>
      <c r="G285" s="2" t="s">
        <v>903</v>
      </c>
      <c r="H285" s="2" t="s">
        <v>152</v>
      </c>
      <c r="I285" s="2" t="str">
        <f>IFERROR(__xludf.DUMMYFUNCTION("GOOGLETRANSLATE(C285,""fr"",""en"")"),"Former customer 244222
hello, 
I contact you following the formal notice that I received yesterday from the sum of 199.80 euros while my contract has been terminated since 12/02/2019 I owe you nothing at all on the other hand I ask you to close This for"&amp;"mal notice because it was I who will file a complaint against you assume your mistakes.")</f>
        <v>Former customer 244222
hello, 
I contact you following the formal notice that I received yesterday from the sum of 199.80 euros while my contract has been terminated since 12/02/2019 I owe you nothing at all on the other hand I ask you to close This formal notice because it was I who will file a complaint against you assume your mistakes.</v>
      </c>
    </row>
    <row r="286" ht="15.75" customHeight="1">
      <c r="A286" s="2">
        <v>5.0</v>
      </c>
      <c r="B286" s="2" t="s">
        <v>904</v>
      </c>
      <c r="C286" s="2" t="s">
        <v>905</v>
      </c>
      <c r="D286" s="2" t="s">
        <v>32</v>
      </c>
      <c r="E286" s="2" t="s">
        <v>21</v>
      </c>
      <c r="F286" s="2" t="s">
        <v>15</v>
      </c>
      <c r="G286" s="2" t="s">
        <v>906</v>
      </c>
      <c r="H286" s="2" t="s">
        <v>48</v>
      </c>
      <c r="I286" s="2" t="str">
        <f>IFERROR(__xludf.DUMMYFUNCTION("GOOGLETRANSLATE(C286,""fr"",""en"")"),"Very satisfactory, I assure all my vehicles at home, the prices are reasonable, very good telephone reception, simple quote on my personal space, I recommend to those around me")</f>
        <v>Very satisfactory, I assure all my vehicles at home, the prices are reasonable, very good telephone reception, simple quote on my personal space, I recommend to those around me</v>
      </c>
    </row>
    <row r="287" ht="15.75" customHeight="1">
      <c r="A287" s="2">
        <v>2.0</v>
      </c>
      <c r="B287" s="2" t="s">
        <v>907</v>
      </c>
      <c r="C287" s="2" t="s">
        <v>908</v>
      </c>
      <c r="D287" s="2" t="s">
        <v>146</v>
      </c>
      <c r="E287" s="2" t="s">
        <v>52</v>
      </c>
      <c r="F287" s="2" t="s">
        <v>15</v>
      </c>
      <c r="G287" s="2" t="s">
        <v>399</v>
      </c>
      <c r="H287" s="2" t="s">
        <v>38</v>
      </c>
      <c r="I287" s="2" t="str">
        <f>IFERROR(__xludf.DUMMYFUNCTION("GOOGLETRANSLATE(C287,""fr"",""en"")"),"Easy to registration, attractive price I recognize. But in the event of a very bad care. No official file manager. My file was transferred from email to unanswered email. It is up to the insured to go fishing for information. We are never kept informed of"&amp;" the follow -up. Send 2 to 3 times the same supporting documents by email because lost along the way or not added to my file. So that my file goes faster I have of myself getting closer to justice to provide documents to insurance that had not bored to go"&amp;". Radied insurance even before my file is closed. Obliged to be forcing so that it is taken over. Refund of the vehicle at a derisory price compared to the real value. More than 6 months before having a reimbursement start. Recognized not 100% responsible"&amp;" and I am still waiting for the reimbursement of my franchise. Bodily harm minimized see nonexistent. I strongly advise against this assurance if unfortunately you arrive a disaster.")</f>
        <v>Easy to registration, attractive price I recognize. But in the event of a very bad care. No official file manager. My file was transferred from email to unanswered email. It is up to the insured to go fishing for information. We are never kept informed of the follow -up. Send 2 to 3 times the same supporting documents by email because lost along the way or not added to my file. So that my file goes faster I have of myself getting closer to justice to provide documents to insurance that had not bored to go. Radied insurance even before my file is closed. Obliged to be forcing so that it is taken over. Refund of the vehicle at a derisory price compared to the real value. More than 6 months before having a reimbursement start. Recognized not 100% responsible and I am still waiting for the reimbursement of my franchise. Bodily harm minimized see nonexistent. I strongly advise against this assurance if unfortunately you arrive a disaster.</v>
      </c>
    </row>
    <row r="288" ht="15.75" customHeight="1">
      <c r="A288" s="2">
        <v>4.0</v>
      </c>
      <c r="B288" s="2" t="s">
        <v>909</v>
      </c>
      <c r="C288" s="2" t="s">
        <v>910</v>
      </c>
      <c r="D288" s="2" t="s">
        <v>314</v>
      </c>
      <c r="E288" s="2" t="s">
        <v>21</v>
      </c>
      <c r="F288" s="2" t="s">
        <v>15</v>
      </c>
      <c r="G288" s="2" t="s">
        <v>911</v>
      </c>
      <c r="H288" s="2" t="s">
        <v>447</v>
      </c>
      <c r="I288" s="2" t="str">
        <f>IFERROR(__xludf.DUMMYFUNCTION("GOOGLETRANSLATE(C288,""fr"",""en"")"),"Customer: 225373 I am amazed at the number of complaints on this insurance, for the moment I have only positive, the subscription was without problem, green card received within the deadlines, respond to claims by email, I had a Non -responsible accident,"&amp;" they took my complaint quickly, sinister customer service responds and advice. I am very satisfied for the moment")</f>
        <v>Customer: 225373 I am amazed at the number of complaints on this insurance, for the moment I have only positive, the subscription was without problem, green card received within the deadlines, respond to claims by email, I had a Non -responsible accident, they took my complaint quickly, sinister customer service responds and advice. I am very satisfied for the moment</v>
      </c>
    </row>
    <row r="289" ht="15.75" customHeight="1">
      <c r="A289" s="2">
        <v>4.0</v>
      </c>
      <c r="B289" s="2" t="s">
        <v>912</v>
      </c>
      <c r="C289" s="2" t="s">
        <v>913</v>
      </c>
      <c r="D289" s="2" t="s">
        <v>32</v>
      </c>
      <c r="E289" s="2" t="s">
        <v>21</v>
      </c>
      <c r="F289" s="2" t="s">
        <v>15</v>
      </c>
      <c r="G289" s="2" t="s">
        <v>291</v>
      </c>
      <c r="H289" s="2" t="s">
        <v>54</v>
      </c>
      <c r="I289" s="2" t="str">
        <f>IFERROR(__xludf.DUMMYFUNCTION("GOOGLETRANSLATE(C289,""fr"",""en"")"),"Prices suit me. Practical and easy to access. The information requested is well informed. Kind and courteous. Quick contact. During this during, the only downside noticed today is that 150 characters must be written in the opinion given in order to be abl"&amp;"e to validate it.")</f>
        <v>Prices suit me. Practical and easy to access. The information requested is well informed. Kind and courteous. Quick contact. During this during, the only downside noticed today is that 150 characters must be written in the opinion given in order to be able to validate it.</v>
      </c>
    </row>
    <row r="290" ht="15.75" customHeight="1">
      <c r="A290" s="2">
        <v>4.0</v>
      </c>
      <c r="B290" s="2" t="s">
        <v>914</v>
      </c>
      <c r="C290" s="2" t="s">
        <v>915</v>
      </c>
      <c r="D290" s="2" t="s">
        <v>186</v>
      </c>
      <c r="E290" s="2" t="s">
        <v>42</v>
      </c>
      <c r="F290" s="2" t="s">
        <v>15</v>
      </c>
      <c r="G290" s="2" t="s">
        <v>195</v>
      </c>
      <c r="H290" s="2" t="s">
        <v>195</v>
      </c>
      <c r="I290" s="2" t="str">
        <f>IFERROR(__xludf.DUMMYFUNCTION("GOOGLETRANSLATE(C290,""fr"",""en"")"),"I did not have any concern with the Pacifica during claims. They have a network of providers during damage so I never opt for compensation and money but always for the Pacifica to take care of the work according to His quote so that they cannot say that t"&amp;"he quotes of the craftsmen are too expensive.")</f>
        <v>I did not have any concern with the Pacifica during claims. They have a network of providers during damage so I never opt for compensation and money but always for the Pacifica to take care of the work according to His quote so that they cannot say that the quotes of the craftsmen are too expensive.</v>
      </c>
    </row>
    <row r="291" ht="15.75" customHeight="1">
      <c r="A291" s="2">
        <v>2.0</v>
      </c>
      <c r="B291" s="2" t="s">
        <v>916</v>
      </c>
      <c r="C291" s="2" t="s">
        <v>917</v>
      </c>
      <c r="D291" s="2" t="s">
        <v>150</v>
      </c>
      <c r="E291" s="2" t="s">
        <v>21</v>
      </c>
      <c r="F291" s="2" t="s">
        <v>15</v>
      </c>
      <c r="G291" s="2" t="s">
        <v>918</v>
      </c>
      <c r="H291" s="2" t="s">
        <v>331</v>
      </c>
      <c r="I291" s="2" t="str">
        <f>IFERROR(__xludf.DUMMYFUNCTION("GOOGLETRANSLATE(C291,""fr"",""en"")"),"Insurance Company which does not fulfill its obligations towards its customers, in particular for the monitoring of a claims file if minimal, it is, especially when you are not responsible. Sinister of the month of February 2019 (mini storm which caused t"&amp;"he fall of a neighbor's tree on my mesh fence). To date on 10.09.2020 still not repaired no follow -up while the owner of the tree has benefited from the skills of his insurer very quickly. I will terminate all my insurance with this company (2 vehicles a"&amp;"nd housing).")</f>
        <v>Insurance Company which does not fulfill its obligations towards its customers, in particular for the monitoring of a claims file if minimal, it is, especially when you are not responsible. Sinister of the month of February 2019 (mini storm which caused the fall of a neighbor's tree on my mesh fence). To date on 10.09.2020 still not repaired no follow -up while the owner of the tree has benefited from the skills of his insurer very quickly. I will terminate all my insurance with this company (2 vehicles and housing).</v>
      </c>
    </row>
    <row r="292" ht="15.75" customHeight="1">
      <c r="A292" s="2">
        <v>2.0</v>
      </c>
      <c r="B292" s="2" t="s">
        <v>919</v>
      </c>
      <c r="C292" s="2" t="s">
        <v>920</v>
      </c>
      <c r="D292" s="2" t="s">
        <v>32</v>
      </c>
      <c r="E292" s="2" t="s">
        <v>21</v>
      </c>
      <c r="F292" s="2" t="s">
        <v>15</v>
      </c>
      <c r="G292" s="2" t="s">
        <v>921</v>
      </c>
      <c r="H292" s="2" t="s">
        <v>136</v>
      </c>
      <c r="I292" s="2" t="str">
        <f>IFERROR(__xludf.DUMMYFUNCTION("GOOGLETRANSLATE(C292,""fr"",""en"")"),"Abusive termination I owe them 940 euros for 1 month of service:
I was looking for a way to terminate after the birthday because they did not let me pay per month and their prices were no longer competitive. So I got to the telephone service which remain"&amp;"ed very vague, according to them on the phone they can do nothing at their level. Then I turned to the medium by email who advised me to call them. Finally I sent a registered letter which explained to me that I had to be insured with another insurance an"&amp;"d that the transition was 1 month.
The time to have this information the deadline has taken the result: I owe them the entire sum (940 euros) of the following year while being terminated and blacklisted. As a driver terminated for payment default is cons"&amp;"idered a serious fault and which leads to an increase in insurance prices proportional to the power of the car. In addition, I tried to pay the day before the deadline for the evening for safety but the payment did not go unlikely that my account has the "&amp;"amount necessary I still do not know the reasons for this payment failure.
 Currently I have a 10 -day delay to pay them otherwise I will have to do business with a collection company that will take additional costs I imagine .. I do not have the time or"&amp;" the means to have a Avocado This is very hard for me who is only a young student to see the fruit of his work volatilizing. I will be forced to drive without insurance. The least human insurance that is")</f>
        <v>Abusive termination I owe them 940 euros for 1 month of service:
I was looking for a way to terminate after the birthday because they did not let me pay per month and their prices were no longer competitive. So I got to the telephone service which remained very vague, according to them on the phone they can do nothing at their level. Then I turned to the medium by email who advised me to call them. Finally I sent a registered letter which explained to me that I had to be insured with another insurance and that the transition was 1 month.
The time to have this information the deadline has taken the result: I owe them the entire sum (940 euros) of the following year while being terminated and blacklisted. As a driver terminated for payment default is considered a serious fault and which leads to an increase in insurance prices proportional to the power of the car. In addition, I tried to pay the day before the deadline for the evening for safety but the payment did not go unlikely that my account has the amount necessary I still do not know the reasons for this payment failure.
 Currently I have a 10 -day delay to pay them otherwise I will have to do business with a collection company that will take additional costs I imagine .. I do not have the time or the means to have a Avocado This is very hard for me who is only a young student to see the fruit of his work volatilizing. I will be forced to drive without insurance. The least human insurance that is</v>
      </c>
    </row>
    <row r="293" ht="15.75" customHeight="1">
      <c r="A293" s="2">
        <v>3.0</v>
      </c>
      <c r="B293" s="2" t="s">
        <v>922</v>
      </c>
      <c r="C293" s="2" t="s">
        <v>923</v>
      </c>
      <c r="D293" s="2" t="s">
        <v>20</v>
      </c>
      <c r="E293" s="2" t="s">
        <v>21</v>
      </c>
      <c r="F293" s="2" t="s">
        <v>15</v>
      </c>
      <c r="G293" s="2" t="s">
        <v>856</v>
      </c>
      <c r="H293" s="2" t="s">
        <v>38</v>
      </c>
      <c r="I293" s="2" t="str">
        <f>IFERROR(__xludf.DUMMYFUNCTION("GOOGLETRANSLATE(C293,""fr"",""en"")"),"Hello
The prices suit me, it should be simple and practical.
I hope it will be so simple in the event of a disaster.
Please receive me among you.
Cordially
")</f>
        <v>Hello
The prices suit me, it should be simple and practical.
I hope it will be so simple in the event of a disaster.
Please receive me among you.
Cordially
</v>
      </c>
    </row>
    <row r="294" ht="15.75" customHeight="1">
      <c r="A294" s="2">
        <v>1.0</v>
      </c>
      <c r="B294" s="2" t="s">
        <v>924</v>
      </c>
      <c r="C294" s="2" t="s">
        <v>925</v>
      </c>
      <c r="D294" s="2" t="s">
        <v>926</v>
      </c>
      <c r="E294" s="2" t="s">
        <v>52</v>
      </c>
      <c r="F294" s="2" t="s">
        <v>15</v>
      </c>
      <c r="G294" s="2" t="s">
        <v>927</v>
      </c>
      <c r="H294" s="2" t="s">
        <v>685</v>
      </c>
      <c r="I294" s="2" t="str">
        <f>IFERROR(__xludf.DUMMYFUNCTION("GOOGLETRANSLATE(C294,""fr"",""en"")"),"Difficult to reach the service for a simple subscription (many reminders to obtain my certificate and be able to pay) and impossible for a disaster which I have been waiting for compensation for 2 months")</f>
        <v>Difficult to reach the service for a simple subscription (many reminders to obtain my certificate and be able to pay) and impossible for a disaster which I have been waiting for compensation for 2 months</v>
      </c>
    </row>
    <row r="295" ht="15.75" customHeight="1">
      <c r="A295" s="2">
        <v>4.0</v>
      </c>
      <c r="B295" s="2" t="s">
        <v>928</v>
      </c>
      <c r="C295" s="2" t="s">
        <v>929</v>
      </c>
      <c r="D295" s="2" t="s">
        <v>146</v>
      </c>
      <c r="E295" s="2" t="s">
        <v>52</v>
      </c>
      <c r="F295" s="2" t="s">
        <v>15</v>
      </c>
      <c r="G295" s="2" t="s">
        <v>930</v>
      </c>
      <c r="H295" s="2" t="s">
        <v>87</v>
      </c>
      <c r="I295" s="2" t="str">
        <f>IFERROR(__xludf.DUMMYFUNCTION("GOOGLETRANSLATE(C295,""fr"",""en"")"),"Good protections for prices, quotes are clear, advisor available for us. I hope not to need you but I hope that otherwise you will be there")</f>
        <v>Good protections for prices, quotes are clear, advisor available for us. I hope not to need you but I hope that otherwise you will be there</v>
      </c>
    </row>
    <row r="296" ht="15.75" customHeight="1">
      <c r="A296" s="2">
        <v>1.0</v>
      </c>
      <c r="B296" s="2" t="s">
        <v>931</v>
      </c>
      <c r="C296" s="2" t="s">
        <v>932</v>
      </c>
      <c r="D296" s="2" t="s">
        <v>186</v>
      </c>
      <c r="E296" s="2" t="s">
        <v>21</v>
      </c>
      <c r="F296" s="2" t="s">
        <v>15</v>
      </c>
      <c r="G296" s="2" t="s">
        <v>415</v>
      </c>
      <c r="H296" s="2" t="s">
        <v>188</v>
      </c>
      <c r="I296" s="2" t="str">
        <f>IFERROR(__xludf.DUMMYFUNCTION("GOOGLETRANSLATE(C296,""fr"",""en"")"),"An unforgettable nightmare that I met with Pacifica Auto Insurance when I had a car accident.
Employees not pleasant at all.
Phony information.
I especially do not recommend this insurance.")</f>
        <v>An unforgettable nightmare that I met with Pacifica Auto Insurance when I had a car accident.
Employees not pleasant at all.
Phony information.
I especially do not recommend this insurance.</v>
      </c>
    </row>
    <row r="297" ht="15.75" customHeight="1">
      <c r="A297" s="2">
        <v>1.0</v>
      </c>
      <c r="B297" s="2" t="s">
        <v>933</v>
      </c>
      <c r="C297" s="2" t="s">
        <v>934</v>
      </c>
      <c r="D297" s="2" t="s">
        <v>113</v>
      </c>
      <c r="E297" s="2" t="s">
        <v>21</v>
      </c>
      <c r="F297" s="2" t="s">
        <v>15</v>
      </c>
      <c r="G297" s="2" t="s">
        <v>935</v>
      </c>
      <c r="H297" s="2" t="s">
        <v>936</v>
      </c>
      <c r="I297" s="2" t="str">
        <f>IFERROR(__xludf.DUMMYFUNCTION("GOOGLETRANSLATE(C297,""fr"",""en"")"),"Disappointed by MAIF, I subscribe to the biggest insurance offer on the phone by going to get my new vehicle ... the advisor assures me that I will have a replacement vehicle without more precision ... 3 months later I broke with this car and I learn that"&amp;" this loan vehicle is only valid for accident or flight and not in the event of a breakdown ... 3 weeks to make more than 200km per day, the Maif recognizes no twisted. A team of incompetent, I get caught up in the nose by advisor ... Change of insurance "&amp;"for me ...")</f>
        <v>Disappointed by MAIF, I subscribe to the biggest insurance offer on the phone by going to get my new vehicle ... the advisor assures me that I will have a replacement vehicle without more precision ... 3 months later I broke with this car and I learn that this loan vehicle is only valid for accident or flight and not in the event of a breakdown ... 3 weeks to make more than 200km per day, the Maif recognizes no twisted. A team of incompetent, I get caught up in the nose by advisor ... Change of insurance for me ...</v>
      </c>
    </row>
    <row r="298" ht="15.75" customHeight="1">
      <c r="A298" s="2">
        <v>4.0</v>
      </c>
      <c r="B298" s="2" t="s">
        <v>937</v>
      </c>
      <c r="C298" s="2" t="s">
        <v>938</v>
      </c>
      <c r="D298" s="2" t="s">
        <v>32</v>
      </c>
      <c r="E298" s="2" t="s">
        <v>21</v>
      </c>
      <c r="F298" s="2" t="s">
        <v>15</v>
      </c>
      <c r="G298" s="2" t="s">
        <v>939</v>
      </c>
      <c r="H298" s="2" t="s">
        <v>38</v>
      </c>
      <c r="I298" s="2" t="str">
        <f>IFERROR(__xludf.DUMMYFUNCTION("GOOGLETRANSLATE(C298,""fr"",""en"")"),"I am satisfied. Perfect no practical worries. But to put an annoying opinion anyway. I do not know the product well to describe it.")</f>
        <v>I am satisfied. Perfect no practical worries. But to put an annoying opinion anyway. I do not know the product well to describe it.</v>
      </c>
    </row>
    <row r="299" ht="15.75" customHeight="1">
      <c r="A299" s="2">
        <v>2.0</v>
      </c>
      <c r="B299" s="2" t="s">
        <v>940</v>
      </c>
      <c r="C299" s="2" t="s">
        <v>941</v>
      </c>
      <c r="D299" s="2" t="s">
        <v>469</v>
      </c>
      <c r="E299" s="2" t="s">
        <v>14</v>
      </c>
      <c r="F299" s="2" t="s">
        <v>15</v>
      </c>
      <c r="G299" s="2" t="s">
        <v>942</v>
      </c>
      <c r="H299" s="2" t="s">
        <v>253</v>
      </c>
      <c r="I299" s="2" t="str">
        <f>IFERROR(__xludf.DUMMYFUNCTION("GOOGLETRANSLATE(C299,""fr"",""en"")"),"To flee absolutely it is a business mutual so I unfortunately cannot change it. Incompetent customer service that tells you each time the same thing, we relaunch the management service. It takes several weeks to see several months for a refund with an inv"&amp;"oice. You have to wait an average of 3 weeks for an email, a quote or a call. We were AG2R for many years and there is nothing comparable.")</f>
        <v>To flee absolutely it is a business mutual so I unfortunately cannot change it. Incompetent customer service that tells you each time the same thing, we relaunch the management service. It takes several weeks to see several months for a refund with an invoice. You have to wait an average of 3 weeks for an email, a quote or a call. We were AG2R for many years and there is nothing comparable.</v>
      </c>
    </row>
    <row r="300" ht="15.75" customHeight="1">
      <c r="A300" s="2">
        <v>2.0</v>
      </c>
      <c r="B300" s="2" t="s">
        <v>943</v>
      </c>
      <c r="C300" s="2" t="s">
        <v>944</v>
      </c>
      <c r="D300" s="2" t="s">
        <v>41</v>
      </c>
      <c r="E300" s="2" t="s">
        <v>42</v>
      </c>
      <c r="F300" s="2" t="s">
        <v>15</v>
      </c>
      <c r="G300" s="2" t="s">
        <v>945</v>
      </c>
      <c r="H300" s="2" t="s">
        <v>385</v>
      </c>
      <c r="I300" s="2" t="str">
        <f>IFERROR(__xludf.DUMMYFUNCTION("GOOGLETRANSLATE(C300,""fr"",""en"")"),"Customer since 2013, a flight with break -in not compensated in 2018, 1 district of waters in 09/2019 still not compensated 6 months later (expert report rendered in 01/2020).")</f>
        <v>Customer since 2013, a flight with break -in not compensated in 2018, 1 district of waters in 09/2019 still not compensated 6 months later (expert report rendered in 01/2020).</v>
      </c>
    </row>
    <row r="301" ht="15.75" customHeight="1">
      <c r="A301" s="2">
        <v>4.0</v>
      </c>
      <c r="B301" s="2" t="s">
        <v>946</v>
      </c>
      <c r="C301" s="2" t="s">
        <v>947</v>
      </c>
      <c r="D301" s="2" t="s">
        <v>32</v>
      </c>
      <c r="E301" s="2" t="s">
        <v>21</v>
      </c>
      <c r="F301" s="2" t="s">
        <v>15</v>
      </c>
      <c r="G301" s="2" t="s">
        <v>639</v>
      </c>
      <c r="H301" s="2" t="s">
        <v>54</v>
      </c>
      <c r="I301" s="2" t="str">
        <f>IFERROR(__xludf.DUMMYFUNCTION("GOOGLETRANSLATE(C301,""fr"",""en"")"),"Hello prices are very interesting correspond very simple to use cordially can we modify the insurance if it does not correspond to what I want thank you")</f>
        <v>Hello prices are very interesting correspond very simple to use cordially can we modify the insurance if it does not correspond to what I want thank you</v>
      </c>
    </row>
    <row r="302" ht="15.75" customHeight="1">
      <c r="A302" s="2">
        <v>3.0</v>
      </c>
      <c r="B302" s="2" t="s">
        <v>948</v>
      </c>
      <c r="C302" s="2" t="s">
        <v>949</v>
      </c>
      <c r="D302" s="2" t="s">
        <v>186</v>
      </c>
      <c r="E302" s="2" t="s">
        <v>42</v>
      </c>
      <c r="F302" s="2" t="s">
        <v>15</v>
      </c>
      <c r="G302" s="2" t="s">
        <v>950</v>
      </c>
      <c r="H302" s="2" t="s">
        <v>860</v>
      </c>
      <c r="I302" s="2" t="str">
        <f>IFERROR(__xludf.DUMMYFUNCTION("GOOGLETRANSLATE(C302,""fr"",""en"")"),"The human quality* and professional* of the craftsman who carried out the last works was particularly appreciable. I invite Pacifica to often use this company and if necessary that it knows my esteem. In a very small space to be renovated following water "&amp;"damage, he has shown courage and selflessness. So thank you for thanks him from me.")</f>
        <v>The human quality* and professional* of the craftsman who carried out the last works was particularly appreciable. I invite Pacifica to often use this company and if necessary that it knows my esteem. In a very small space to be renovated following water damage, he has shown courage and selflessness. So thank you for thanks him from me.</v>
      </c>
    </row>
    <row r="303" ht="15.75" customHeight="1">
      <c r="A303" s="2">
        <v>1.0</v>
      </c>
      <c r="B303" s="2" t="s">
        <v>951</v>
      </c>
      <c r="C303" s="2" t="s">
        <v>952</v>
      </c>
      <c r="D303" s="2" t="s">
        <v>80</v>
      </c>
      <c r="E303" s="2" t="s">
        <v>14</v>
      </c>
      <c r="F303" s="2" t="s">
        <v>15</v>
      </c>
      <c r="G303" s="2" t="s">
        <v>953</v>
      </c>
      <c r="H303" s="2" t="s">
        <v>458</v>
      </c>
      <c r="I303" s="2" t="str">
        <f>IFERROR(__xludf.DUMMYFUNCTION("GOOGLETRANSLATE(C303,""fr"",""en"")"),"To be recommended for pensions with an ALD. No reimbursement of the mutual. Too much political activism well on the left! A contribution far too expensive for non -reimbursed charges. In particular the mains 2 care still rejected!")</f>
        <v>To be recommended for pensions with an ALD. No reimbursement of the mutual. Too much political activism well on the left! A contribution far too expensive for non -reimbursed charges. In particular the mains 2 care still rejected!</v>
      </c>
    </row>
    <row r="304" ht="15.75" customHeight="1">
      <c r="A304" s="2">
        <v>1.0</v>
      </c>
      <c r="B304" s="2" t="s">
        <v>954</v>
      </c>
      <c r="C304" s="2" t="s">
        <v>955</v>
      </c>
      <c r="D304" s="2" t="s">
        <v>113</v>
      </c>
      <c r="E304" s="2" t="s">
        <v>42</v>
      </c>
      <c r="F304" s="2" t="s">
        <v>15</v>
      </c>
      <c r="G304" s="2" t="s">
        <v>956</v>
      </c>
      <c r="H304" s="2" t="s">
        <v>95</v>
      </c>
      <c r="I304" s="2" t="str">
        <f>IFERROR(__xludf.DUMMYFUNCTION("GOOGLETRANSLATE(C304,""fr"",""en"")"),"Insured damage to the goods. Dry natural disaster decree. After the expert of the expert no compensation! Which is quite abnormal! Nothing to make the deaf dialogue heard. After more than 50 years of contributions!")</f>
        <v>Insured damage to the goods. Dry natural disaster decree. After the expert of the expert no compensation! Which is quite abnormal! Nothing to make the deaf dialogue heard. After more than 50 years of contributions!</v>
      </c>
    </row>
    <row r="305" ht="15.75" customHeight="1">
      <c r="A305" s="2">
        <v>1.0</v>
      </c>
      <c r="B305" s="2" t="s">
        <v>957</v>
      </c>
      <c r="C305" s="2" t="s">
        <v>958</v>
      </c>
      <c r="D305" s="2" t="s">
        <v>51</v>
      </c>
      <c r="E305" s="2" t="s">
        <v>52</v>
      </c>
      <c r="F305" s="2" t="s">
        <v>15</v>
      </c>
      <c r="G305" s="2" t="s">
        <v>346</v>
      </c>
      <c r="H305" s="2" t="s">
        <v>58</v>
      </c>
      <c r="I305" s="2" t="str">
        <f>IFERROR(__xludf.DUMMYFUNCTION("GOOGLETRANSLATE(C305,""fr"",""en"")"),"No price discounts despite my excellent driving for years, I dared to hope for a commercial reduction for my perfect driving since the start of the insurance of the scooter I am dedicated and if I can change my insurance for cheaper I would do it immediat"&amp;"ely.")</f>
        <v>No price discounts despite my excellent driving for years, I dared to hope for a commercial reduction for my perfect driving since the start of the insurance of the scooter I am dedicated and if I can change my insurance for cheaper I would do it immediately.</v>
      </c>
    </row>
    <row r="306" ht="15.75" customHeight="1">
      <c r="A306" s="2">
        <v>5.0</v>
      </c>
      <c r="B306" s="2" t="s">
        <v>959</v>
      </c>
      <c r="C306" s="2" t="s">
        <v>960</v>
      </c>
      <c r="D306" s="2" t="s">
        <v>32</v>
      </c>
      <c r="E306" s="2" t="s">
        <v>21</v>
      </c>
      <c r="F306" s="2" t="s">
        <v>15</v>
      </c>
      <c r="G306" s="2" t="s">
        <v>961</v>
      </c>
      <c r="H306" s="2" t="s">
        <v>48</v>
      </c>
      <c r="I306" s="2" t="str">
        <f>IFERROR(__xludf.DUMMYFUNCTION("GOOGLETRANSLATE(C306,""fr"",""en"")"),"I am happy with the service offered by Direct Assurrance but as I had no claim to declare it is difficult to decide. But for the really effective attention.")</f>
        <v>I am happy with the service offered by Direct Assurrance but as I had no claim to declare it is difficult to decide. But for the really effective attention.</v>
      </c>
    </row>
    <row r="307" ht="15.75" customHeight="1">
      <c r="A307" s="2">
        <v>1.0</v>
      </c>
      <c r="B307" s="2" t="s">
        <v>962</v>
      </c>
      <c r="C307" s="2" t="s">
        <v>963</v>
      </c>
      <c r="D307" s="2" t="s">
        <v>32</v>
      </c>
      <c r="E307" s="2" t="s">
        <v>21</v>
      </c>
      <c r="F307" s="2" t="s">
        <v>15</v>
      </c>
      <c r="G307" s="2" t="s">
        <v>964</v>
      </c>
      <c r="H307" s="2" t="s">
        <v>804</v>
      </c>
      <c r="I307" s="2" t="str">
        <f>IFERROR(__xludf.DUMMYFUNCTION("GOOGLETRANSLATE(C307,""fr"",""en"")"),"Loan flying to my brother in the red light of a bus that turns the Frute Direct Insurance answers 100 for cents normally it is at least at least 50 50 50 more, he claims me 1500 euro of franchise for 1500 steering wheel loan are there crazy I wonder if we"&amp;" can negotiate the franchise loan of steering wheel ???")</f>
        <v>Loan flying to my brother in the red light of a bus that turns the Frute Direct Insurance answers 100 for cents normally it is at least at least 50 50 50 more, he claims me 1500 euro of franchise for 1500 steering wheel loan are there crazy I wonder if we can negotiate the franchise loan of steering wheel ???</v>
      </c>
    </row>
    <row r="308" ht="15.75" customHeight="1">
      <c r="A308" s="2">
        <v>5.0</v>
      </c>
      <c r="B308" s="2" t="s">
        <v>965</v>
      </c>
      <c r="C308" s="2" t="s">
        <v>966</v>
      </c>
      <c r="D308" s="2" t="s">
        <v>20</v>
      </c>
      <c r="E308" s="2" t="s">
        <v>21</v>
      </c>
      <c r="F308" s="2" t="s">
        <v>15</v>
      </c>
      <c r="G308" s="2" t="s">
        <v>930</v>
      </c>
      <c r="H308" s="2" t="s">
        <v>87</v>
      </c>
      <c r="I308" s="2" t="str">
        <f>IFERROR(__xludf.DUMMYFUNCTION("GOOGLETRANSLATE(C308,""fr"",""en"")"),"Best price for young license, fast and efficient, I think I go to family members and even friends at home because you are the most interesting on the car insurance market.
")</f>
        <v>Best price for young license, fast and efficient, I think I go to family members and even friends at home because you are the most interesting on the car insurance market.
</v>
      </c>
    </row>
    <row r="309" ht="15.75" customHeight="1">
      <c r="A309" s="2">
        <v>3.0</v>
      </c>
      <c r="B309" s="2" t="s">
        <v>967</v>
      </c>
      <c r="C309" s="2" t="s">
        <v>968</v>
      </c>
      <c r="D309" s="2" t="s">
        <v>20</v>
      </c>
      <c r="E309" s="2" t="s">
        <v>21</v>
      </c>
      <c r="F309" s="2" t="s">
        <v>15</v>
      </c>
      <c r="G309" s="2" t="s">
        <v>969</v>
      </c>
      <c r="H309" s="2" t="s">
        <v>58</v>
      </c>
      <c r="I309" s="2" t="str">
        <f>IFERROR(__xludf.DUMMYFUNCTION("GOOGLETRANSLATE(C309,""fr"",""en"")"),"Speed ​​of subscription and comparison on the Internet kindness of the operator. Hoping that monitoring is in the same efficiency and attractive price.")</f>
        <v>Speed ​​of subscription and comparison on the Internet kindness of the operator. Hoping that monitoring is in the same efficiency and attractive price.</v>
      </c>
    </row>
    <row r="310" ht="15.75" customHeight="1">
      <c r="A310" s="2">
        <v>4.0</v>
      </c>
      <c r="B310" s="2" t="s">
        <v>970</v>
      </c>
      <c r="C310" s="2" t="s">
        <v>971</v>
      </c>
      <c r="D310" s="2" t="s">
        <v>106</v>
      </c>
      <c r="E310" s="2" t="s">
        <v>14</v>
      </c>
      <c r="F310" s="2" t="s">
        <v>15</v>
      </c>
      <c r="G310" s="2" t="s">
        <v>972</v>
      </c>
      <c r="H310" s="2" t="s">
        <v>87</v>
      </c>
      <c r="I310" s="2" t="str">
        <f>IFERROR(__xludf.DUMMYFUNCTION("GOOGLETRANSLATE(C310,""fr"",""en"")"),"Hello I had lea today on the phone she was perfectly professional she took the time to explain everything to me I thank her very much cordially")</f>
        <v>Hello I had lea today on the phone she was perfectly professional she took the time to explain everything to me I thank her very much cordially</v>
      </c>
    </row>
    <row r="311" ht="15.75" customHeight="1">
      <c r="A311" s="2">
        <v>1.0</v>
      </c>
      <c r="B311" s="2" t="s">
        <v>973</v>
      </c>
      <c r="C311" s="2" t="s">
        <v>974</v>
      </c>
      <c r="D311" s="2" t="s">
        <v>26</v>
      </c>
      <c r="E311" s="2" t="s">
        <v>27</v>
      </c>
      <c r="F311" s="2" t="s">
        <v>15</v>
      </c>
      <c r="G311" s="2" t="s">
        <v>199</v>
      </c>
      <c r="H311" s="2" t="s">
        <v>199</v>
      </c>
      <c r="I311" s="2" t="str">
        <f>IFERROR(__xludf.DUMMYFUNCTION("GOOGLETRANSLATE(C311,""fr"",""en"")"),"I have two life insurance AFER one since 03/23/1993 the other since 2/03/2004
It was at the time very good life insurance.
Now we can't say the same.
I asked for the form for the acquisition of my two life insurance.
I was called to find me reasons to"&amp;" stay what I don't want.
They had to call me this day at 11:30 am, it is 12:30 p.m. still nothing.
I received the annual statement of one of my life insurance but which one?
For the 2nd I am still waiting.
I wanted to connect to the site I am signal t"&amp;"hat my identifiers are not good etc
It's clear I want forms for the buyout of my life insurance
")</f>
        <v>I have two life insurance AFER one since 03/23/1993 the other since 2/03/2004
It was at the time very good life insurance.
Now we can't say the same.
I asked for the form for the acquisition of my two life insurance.
I was called to find me reasons to stay what I don't want.
They had to call me this day at 11:30 am, it is 12:30 p.m. still nothing.
I received the annual statement of one of my life insurance but which one?
For the 2nd I am still waiting.
I wanted to connect to the site I am signal that my identifiers are not good etc
It's clear I want forms for the buyout of my life insurance
</v>
      </c>
    </row>
    <row r="312" ht="15.75" customHeight="1">
      <c r="A312" s="2">
        <v>2.0</v>
      </c>
      <c r="B312" s="2" t="s">
        <v>975</v>
      </c>
      <c r="C312" s="2" t="s">
        <v>976</v>
      </c>
      <c r="D312" s="2" t="s">
        <v>51</v>
      </c>
      <c r="E312" s="2" t="s">
        <v>52</v>
      </c>
      <c r="F312" s="2" t="s">
        <v>15</v>
      </c>
      <c r="G312" s="2" t="s">
        <v>977</v>
      </c>
      <c r="H312" s="2" t="s">
        <v>525</v>
      </c>
      <c r="I312" s="2" t="str">
        <f>IFERROR(__xludf.DUMMYFUNCTION("GOOGLETRANSLATE(C312,""fr"",""en"")"),"I am assured at AMV recently, I had a claim since April we are soon in July and it is still far from being finished. I was struck by the right for them they immediately concluded that I was wrong because it was a priority on the right they sent a letter t"&amp;"o me to say that I would have no compensation because of my Responsibility for the accident (I am assured to the third party) the advisor even wanted to close the file I refused the town hall indicated that it was not a priority on the right and that I wa"&amp;"s therefore not twisted for any excuse for Recognize their mistakes. I send the invoices of my helmet and my damaged gloves following the accident we can tell me that there is not my name on the receipt it is necessary to do strong when my pair of gloves "&amp;"is not worth that 50th and that it is not even had to pay more they are completely holes. Then following my non -responsibility I therefore ask that my vehicle is completely repaired I do not ask for money I just want to have the same motorcycle which was"&amp;" in my possession before the accident is to say new since I had bought at the end of 2018. The repairs have a cost of 9900th and the value of my vehicle 9600th when I bought it 6 months ago at 14000th and that it did not even have 3000km. Frankly very dec"&amp;"u I hope that it will work out as soon as possible me who planned also to insure my car here I will reflect now")</f>
        <v>I am assured at AMV recently, I had a claim since April we are soon in July and it is still far from being finished. I was struck by the right for them they immediately concluded that I was wrong because it was a priority on the right they sent a letter to me to say that I would have no compensation because of my Responsibility for the accident (I am assured to the third party) the advisor even wanted to close the file I refused the town hall indicated that it was not a priority on the right and that I was therefore not twisted for any excuse for Recognize their mistakes. I send the invoices of my helmet and my damaged gloves following the accident we can tell me that there is not my name on the receipt it is necessary to do strong when my pair of gloves is not worth that 50th and that it is not even had to pay more they are completely holes. Then following my non -responsibility I therefore ask that my vehicle is completely repaired I do not ask for money I just want to have the same motorcycle which was in my possession before the accident is to say new since I had bought at the end of 2018. The repairs have a cost of 9900th and the value of my vehicle 9600th when I bought it 6 months ago at 14000th and that it did not even have 3000km. Frankly very decu I hope that it will work out as soon as possible me who planned also to insure my car here I will reflect now</v>
      </c>
    </row>
    <row r="313" ht="15.75" customHeight="1">
      <c r="A313" s="2">
        <v>5.0</v>
      </c>
      <c r="B313" s="2" t="s">
        <v>978</v>
      </c>
      <c r="C313" s="2" t="s">
        <v>979</v>
      </c>
      <c r="D313" s="2" t="s">
        <v>146</v>
      </c>
      <c r="E313" s="2" t="s">
        <v>52</v>
      </c>
      <c r="F313" s="2" t="s">
        <v>15</v>
      </c>
      <c r="G313" s="2" t="s">
        <v>440</v>
      </c>
      <c r="H313" s="2" t="s">
        <v>38</v>
      </c>
      <c r="I313" s="2" t="str">
        <f>IFERROR(__xludf.DUMMYFUNCTION("GOOGLETRANSLATE(C313,""fr"",""en"")"),"I am satisfied with the service offered.
Good value for money.
I advise my friends and family to take out this insurance.
Good value for money")</f>
        <v>I am satisfied with the service offered.
Good value for money.
I advise my friends and family to take out this insurance.
Good value for money</v>
      </c>
    </row>
    <row r="314" ht="15.75" customHeight="1">
      <c r="A314" s="2">
        <v>5.0</v>
      </c>
      <c r="B314" s="2" t="s">
        <v>980</v>
      </c>
      <c r="C314" s="2" t="s">
        <v>981</v>
      </c>
      <c r="D314" s="2" t="s">
        <v>32</v>
      </c>
      <c r="E314" s="2" t="s">
        <v>21</v>
      </c>
      <c r="F314" s="2" t="s">
        <v>15</v>
      </c>
      <c r="G314" s="2" t="s">
        <v>639</v>
      </c>
      <c r="H314" s="2" t="s">
        <v>54</v>
      </c>
      <c r="I314" s="2" t="str">
        <f>IFERROR(__xludf.DUMMYFUNCTION("GOOGLETRANSLATE(C314,""fr"",""en"")"),"Price services for the number of kilometers traveled
Speed ​​of subscription
Compared on a comparator site the lynx
Minimum sufficient for the use of the vehicle")</f>
        <v>Price services for the number of kilometers traveled
Speed ​​of subscription
Compared on a comparator site the lynx
Minimum sufficient for the use of the vehicle</v>
      </c>
    </row>
    <row r="315" ht="15.75" customHeight="1">
      <c r="A315" s="2">
        <v>2.0</v>
      </c>
      <c r="B315" s="2" t="s">
        <v>982</v>
      </c>
      <c r="C315" s="2" t="s">
        <v>983</v>
      </c>
      <c r="D315" s="2" t="s">
        <v>543</v>
      </c>
      <c r="E315" s="2" t="s">
        <v>14</v>
      </c>
      <c r="F315" s="2" t="s">
        <v>15</v>
      </c>
      <c r="G315" s="2" t="s">
        <v>479</v>
      </c>
      <c r="H315" s="2" t="s">
        <v>110</v>
      </c>
      <c r="I315" s="2" t="str">
        <f>IFERROR(__xludf.DUMMYFUNCTION("GOOGLETRANSLATE(C315,""fr"",""en"")"),"AG2R refused to take care of my sick leave for child care under the age of 16 following the CIVD19, and that despite several revival on my part. Even in such a situation, they take advantage of this health crisis so as not to pay, not possible.")</f>
        <v>AG2R refused to take care of my sick leave for child care under the age of 16 following the CIVD19, and that despite several revival on my part. Even in such a situation, they take advantage of this health crisis so as not to pay, not possible.</v>
      </c>
    </row>
    <row r="316" ht="15.75" customHeight="1">
      <c r="A316" s="2">
        <v>2.0</v>
      </c>
      <c r="B316" s="2" t="s">
        <v>984</v>
      </c>
      <c r="C316" s="2" t="s">
        <v>985</v>
      </c>
      <c r="D316" s="2" t="s">
        <v>287</v>
      </c>
      <c r="E316" s="2" t="s">
        <v>283</v>
      </c>
      <c r="F316" s="2" t="s">
        <v>15</v>
      </c>
      <c r="G316" s="2" t="s">
        <v>187</v>
      </c>
      <c r="H316" s="2" t="s">
        <v>188</v>
      </c>
      <c r="I316" s="2" t="str">
        <f>IFERROR(__xludf.DUMMYFUNCTION("GOOGLETRANSLATE(C316,""fr"",""en"")"),"very decreed by this insurance. REFUMPTION more than zero reimbursement. I have a puppy which needs 2 vaccines at one month interval and well the first as well was reimbursed except qye on this invoice there was a dewormer that did not not been reimbursed"&amp;" because it had been put on the same order as the vaccines. When in the second vaccines no refund because according to them I have won the package. Taken the biggest blanket and fortunately. Here I am insuming them since October 1 and I have to wait a yea"&amp;"r to terminate something that I will not fail to do. So be careful ladies, gentlemen if you want to insure your animals do not Don't come to them")</f>
        <v>very decreed by this insurance. REFUMPTION more than zero reimbursement. I have a puppy which needs 2 vaccines at one month interval and well the first as well was reimbursed except qye on this invoice there was a dewormer that did not not been reimbursed because it had been put on the same order as the vaccines. When in the second vaccines no refund because according to them I have won the package. Taken the biggest blanket and fortunately. Here I am insuming them since October 1 and I have to wait a year to terminate something that I will not fail to do. So be careful ladies, gentlemen if you want to insure your animals do not Don't come to them</v>
      </c>
    </row>
    <row r="317" ht="15.75" customHeight="1">
      <c r="A317" s="2">
        <v>1.0</v>
      </c>
      <c r="B317" s="2" t="s">
        <v>986</v>
      </c>
      <c r="C317" s="2" t="s">
        <v>987</v>
      </c>
      <c r="D317" s="2" t="s">
        <v>113</v>
      </c>
      <c r="E317" s="2" t="s">
        <v>42</v>
      </c>
      <c r="F317" s="2" t="s">
        <v>15</v>
      </c>
      <c r="G317" s="2" t="s">
        <v>988</v>
      </c>
      <c r="H317" s="2" t="s">
        <v>29</v>
      </c>
      <c r="I317" s="2" t="str">
        <f>IFERROR(__xludf.DUMMYFUNCTION("GOOGLETRANSLATE(C317,""fr"",""en"")"),"After a hail loss affecting the roof and the glazing, the disaster is given when only the glazing is repaired. However, during our phone calls, they said they were aware of the sinister roof. Extremely difficult to contact: no answers to emails and times "&amp;"of eternal expectations on the phone")</f>
        <v>After a hail loss affecting the roof and the glazing, the disaster is given when only the glazing is repaired. However, during our phone calls, they said they were aware of the sinister roof. Extremely difficult to contact: no answers to emails and times of eternal expectations on the phone</v>
      </c>
    </row>
    <row r="318" ht="15.75" customHeight="1">
      <c r="A318" s="2">
        <v>4.0</v>
      </c>
      <c r="B318" s="2" t="s">
        <v>989</v>
      </c>
      <c r="C318" s="2" t="s">
        <v>990</v>
      </c>
      <c r="D318" s="2" t="s">
        <v>32</v>
      </c>
      <c r="E318" s="2" t="s">
        <v>21</v>
      </c>
      <c r="F318" s="2" t="s">
        <v>15</v>
      </c>
      <c r="G318" s="2" t="s">
        <v>179</v>
      </c>
      <c r="H318" s="2" t="s">
        <v>179</v>
      </c>
      <c r="I318" s="2" t="str">
        <f>IFERROR(__xludf.DUMMYFUNCTION("GOOGLETRANSLATE(C318,""fr"",""en"")"),"Satisfied with the service that direct insurance gives me especially with their Youdrive option which saves on your insurance by adapting your driving.")</f>
        <v>Satisfied with the service that direct insurance gives me especially with their Youdrive option which saves on your insurance by adapting your driving.</v>
      </c>
    </row>
    <row r="319" ht="15.75" customHeight="1">
      <c r="A319" s="2">
        <v>5.0</v>
      </c>
      <c r="B319" s="2" t="s">
        <v>991</v>
      </c>
      <c r="C319" s="2" t="s">
        <v>992</v>
      </c>
      <c r="D319" s="2" t="s">
        <v>13</v>
      </c>
      <c r="E319" s="2" t="s">
        <v>14</v>
      </c>
      <c r="F319" s="2" t="s">
        <v>15</v>
      </c>
      <c r="G319" s="2" t="s">
        <v>993</v>
      </c>
      <c r="H319" s="2" t="s">
        <v>188</v>
      </c>
      <c r="I319" s="2" t="str">
        <f>IFERROR(__xludf.DUMMYFUNCTION("GOOGLETRANSLATE(C319,""fr"",""en"")"),"I was very satisfied to have had Nadège on the phone")</f>
        <v>I was very satisfied to have had Nadège on the phone</v>
      </c>
    </row>
    <row r="320" ht="15.75" customHeight="1">
      <c r="A320" s="2">
        <v>2.0</v>
      </c>
      <c r="B320" s="2" t="s">
        <v>994</v>
      </c>
      <c r="C320" s="2" t="s">
        <v>995</v>
      </c>
      <c r="D320" s="2" t="s">
        <v>32</v>
      </c>
      <c r="E320" s="2" t="s">
        <v>21</v>
      </c>
      <c r="F320" s="2" t="s">
        <v>15</v>
      </c>
      <c r="G320" s="2" t="s">
        <v>214</v>
      </c>
      <c r="H320" s="2" t="s">
        <v>58</v>
      </c>
      <c r="I320" s="2" t="str">
        <f>IFERROR(__xludf.DUMMYFUNCTION("GOOGLETRANSLATE(C320,""fr"",""en"")"),"I am satisfied but the price and a little high for this kind of vehicle knowing the current bonus that we have, we will surely make a quote for a young license")</f>
        <v>I am satisfied but the price and a little high for this kind of vehicle knowing the current bonus that we have, we will surely make a quote for a young license</v>
      </c>
    </row>
    <row r="321" ht="15.75" customHeight="1">
      <c r="A321" s="2">
        <v>1.0</v>
      </c>
      <c r="B321" s="2" t="s">
        <v>996</v>
      </c>
      <c r="C321" s="2" t="s">
        <v>997</v>
      </c>
      <c r="D321" s="2" t="s">
        <v>139</v>
      </c>
      <c r="E321" s="2" t="s">
        <v>21</v>
      </c>
      <c r="F321" s="2" t="s">
        <v>15</v>
      </c>
      <c r="G321" s="2" t="s">
        <v>998</v>
      </c>
      <c r="H321" s="2" t="s">
        <v>552</v>
      </c>
      <c r="I321" s="2" t="str">
        <f>IFERROR(__xludf.DUMMYFUNCTION("GOOGLETRANSLATE(C321,""fr"",""en"")"),"To flee! I broke down on a Sunday and the response of the TV advisor was to say to me but Madam is Sunday, we must wait. If you do not want to wait come home you live in 6kms from the garage! When I told him to be 6 months pregnant and accompanied by my t"&amp;"wo young boys! In the end 3 hours of waiting on a sidewalk to hold a deaf speech with a remote television, not attentive which hung me over to the nose !!! July 28 from 9 a.m. to 3 p.m. !!! I even cried with fatigue! The mechanics of the garage were not c"&amp;"oming back! In short I pass the rest because I am tired. I go back to the Macif (in wanting to advertise).")</f>
        <v>To flee! I broke down on a Sunday and the response of the TV advisor was to say to me but Madam is Sunday, we must wait. If you do not want to wait come home you live in 6kms from the garage! When I told him to be 6 months pregnant and accompanied by my two young boys! In the end 3 hours of waiting on a sidewalk to hold a deaf speech with a remote television, not attentive which hung me over to the nose !!! July 28 from 9 a.m. to 3 p.m. !!! I even cried with fatigue! The mechanics of the garage were not coming back! In short I pass the rest because I am tired. I go back to the Macif (in wanting to advertise).</v>
      </c>
    </row>
    <row r="322" ht="15.75" customHeight="1">
      <c r="A322" s="2">
        <v>1.0</v>
      </c>
      <c r="B322" s="2" t="s">
        <v>999</v>
      </c>
      <c r="C322" s="2" t="s">
        <v>1000</v>
      </c>
      <c r="D322" s="2" t="s">
        <v>113</v>
      </c>
      <c r="E322" s="2" t="s">
        <v>42</v>
      </c>
      <c r="F322" s="2" t="s">
        <v>15</v>
      </c>
      <c r="G322" s="2" t="s">
        <v>1001</v>
      </c>
      <c r="H322" s="2" t="s">
        <v>458</v>
      </c>
      <c r="I322" s="2" t="str">
        <f>IFERROR(__xludf.DUMMYFUNCTION("GOOGLETRANSLATE(C322,""fr"",""en"")"),"A fire destroyed part of my house a fortnight ago. And I did not expect the double penalty of being then trampled by the Maif who has done nothing since, except to dispatch two minor quotes on the sum of damage, still not received elsewhere. In fact contr"&amp;"ary to what their CEO says, the loss managers have no room for maneuver, seem to overload work and are permanently irritable. I had already changed the loss manager and the second has not given me a sign of life for four days. Everything is outsourced. Th"&amp;"ey have no experts and you spend your time talking to private box experts who must call on other experts. Everyone claims to wait everyone and nothing moves. But the worst is the violence of exchanges with the loss managers. Making my share of my reprobat"&amp;"ion of this operation, one answers me that she no longer wants to hear me ""spitting my venom"". Making my share of my dismay in the shock where I find myself after four of the firefighters' night intervention, I hear myself on the second call that ""the "&amp;"maif has already spent too much time taking care of me then that she just made an appointment with an expert "". There is no empathy, no support, the only thing we understand is that it is for the MAIF to pay as little as possible and as late as possible."&amp;" Insurance does not even offer competent or reactive trades. We have to do everything on his side. I am laid out by such mediocrity of operation.")</f>
        <v>A fire destroyed part of my house a fortnight ago. And I did not expect the double penalty of being then trampled by the Maif who has done nothing since, except to dispatch two minor quotes on the sum of damage, still not received elsewhere. In fact contrary to what their CEO says, the loss managers have no room for maneuver, seem to overload work and are permanently irritable. I had already changed the loss manager and the second has not given me a sign of life for four days. Everything is outsourced. They have no experts and you spend your time talking to private box experts who must call on other experts. Everyone claims to wait everyone and nothing moves. But the worst is the violence of exchanges with the loss managers. Making my share of my reprobation of this operation, one answers me that she no longer wants to hear me "spitting my venom". Making my share of my dismay in the shock where I find myself after four of the firefighters' night intervention, I hear myself on the second call that "the maif has already spent too much time taking care of me then that she just made an appointment with an expert ". There is no empathy, no support, the only thing we understand is that it is for the MAIF to pay as little as possible and as late as possible. Insurance does not even offer competent or reactive trades. We have to do everything on his side. I am laid out by such mediocrity of operation.</v>
      </c>
    </row>
    <row r="323" ht="15.75" customHeight="1">
      <c r="A323" s="2">
        <v>1.0</v>
      </c>
      <c r="B323" s="2" t="s">
        <v>1002</v>
      </c>
      <c r="C323" s="2" t="s">
        <v>1003</v>
      </c>
      <c r="D323" s="2" t="s">
        <v>222</v>
      </c>
      <c r="E323" s="2" t="s">
        <v>21</v>
      </c>
      <c r="F323" s="2" t="s">
        <v>15</v>
      </c>
      <c r="G323" s="2" t="s">
        <v>1004</v>
      </c>
      <c r="H323" s="2" t="s">
        <v>295</v>
      </c>
      <c r="I323" s="2" t="str">
        <f>IFERROR(__xludf.DUMMYFUNCTION("GOOGLETRANSLATE(C323,""fr"",""en"")"),"Very disappointed by AXA RESILE MY CONTRACT in December 2018 asks me to pay the subscriptions for 2019. I am harassed by recovery letters despite my many telephone calls. This situation is unacceptable, so I informed them that I will not pay these subscri"&amp;"ptions, for a vehicle that I no longer have (certificate of transfer sent)")</f>
        <v>Very disappointed by AXA RESILE MY CONTRACT in December 2018 asks me to pay the subscriptions for 2019. I am harassed by recovery letters despite my many telephone calls. This situation is unacceptable, so I informed them that I will not pay these subscriptions, for a vehicle that I no longer have (certificate of transfer sent)</v>
      </c>
    </row>
    <row r="324" ht="15.75" customHeight="1">
      <c r="A324" s="2">
        <v>5.0</v>
      </c>
      <c r="B324" s="2" t="s">
        <v>1005</v>
      </c>
      <c r="C324" s="2" t="s">
        <v>1006</v>
      </c>
      <c r="D324" s="2" t="s">
        <v>32</v>
      </c>
      <c r="E324" s="2" t="s">
        <v>21</v>
      </c>
      <c r="F324" s="2" t="s">
        <v>15</v>
      </c>
      <c r="G324" s="2" t="s">
        <v>1007</v>
      </c>
      <c r="H324" s="2" t="s">
        <v>38</v>
      </c>
      <c r="I324" s="2" t="str">
        <f>IFERROR(__xludf.DUMMYFUNCTION("GOOGLETRANSLATE(C324,""fr"",""en"")"),"I am very satisfied with this operation, the price suits me.
Sent by a former member, I am delighted.
Thank you for your efficiency and speed.")</f>
        <v>I am very satisfied with this operation, the price suits me.
Sent by a former member, I am delighted.
Thank you for your efficiency and speed.</v>
      </c>
    </row>
    <row r="325" ht="15.75" customHeight="1">
      <c r="A325" s="2">
        <v>1.0</v>
      </c>
      <c r="B325" s="2" t="s">
        <v>1008</v>
      </c>
      <c r="C325" s="2" t="s">
        <v>1009</v>
      </c>
      <c r="D325" s="2" t="s">
        <v>434</v>
      </c>
      <c r="E325" s="2" t="s">
        <v>14</v>
      </c>
      <c r="F325" s="2" t="s">
        <v>15</v>
      </c>
      <c r="G325" s="2" t="s">
        <v>1010</v>
      </c>
      <c r="H325" s="2" t="s">
        <v>319</v>
      </c>
      <c r="I325" s="2" t="str">
        <f>IFERROR(__xludf.DUMMYFUNCTION("GOOGLETRANSLATE(C325,""fr"",""en"")"),"To avoid! It's been 5 months since I terminated but they don't do what is necessary. They even sent me a new card. I am blocked in my reimbursements with my new mutual. I looked for a mediator but April did not adhere to a mutualist group suddenly it will"&amp;" be justice! A advice run away!")</f>
        <v>To avoid! It's been 5 months since I terminated but they don't do what is necessary. They even sent me a new card. I am blocked in my reimbursements with my new mutual. I looked for a mediator but April did not adhere to a mutualist group suddenly it will be justice! A advice run away!</v>
      </c>
    </row>
    <row r="326" ht="15.75" customHeight="1">
      <c r="A326" s="2">
        <v>3.0</v>
      </c>
      <c r="B326" s="2" t="s">
        <v>1011</v>
      </c>
      <c r="C326" s="2" t="s">
        <v>1012</v>
      </c>
      <c r="D326" s="2" t="s">
        <v>32</v>
      </c>
      <c r="E326" s="2" t="s">
        <v>21</v>
      </c>
      <c r="F326" s="2" t="s">
        <v>15</v>
      </c>
      <c r="G326" s="2" t="s">
        <v>461</v>
      </c>
      <c r="H326" s="2" t="s">
        <v>54</v>
      </c>
      <c r="I326" s="2" t="str">
        <f>IFERROR(__xludf.DUMMYFUNCTION("GOOGLETRANSLATE(C326,""fr"",""en"")"),"I have no particular opinion. This is the cheapest insurance found among a wide choice. I hope the service will be effective over time")</f>
        <v>I have no particular opinion. This is the cheapest insurance found among a wide choice. I hope the service will be effective over time</v>
      </c>
    </row>
    <row r="327" ht="15.75" customHeight="1">
      <c r="A327" s="2">
        <v>2.0</v>
      </c>
      <c r="B327" s="2" t="s">
        <v>1013</v>
      </c>
      <c r="C327" s="2" t="s">
        <v>1014</v>
      </c>
      <c r="D327" s="2" t="s">
        <v>150</v>
      </c>
      <c r="E327" s="2" t="s">
        <v>21</v>
      </c>
      <c r="F327" s="2" t="s">
        <v>15</v>
      </c>
      <c r="G327" s="2" t="s">
        <v>1015</v>
      </c>
      <c r="H327" s="2" t="s">
        <v>136</v>
      </c>
      <c r="I327" s="2" t="str">
        <f>IFERROR(__xludf.DUMMYFUNCTION("GOOGLETRANSLATE(C327,""fr"",""en"")"),"After more than 20 insurance following a disaster excluding responsibility. 2 months and still no reimbursement of the vehicle. The reason: the expert does not comply with the procedure and for the expert the Macif does not comply with the procedure. I am"&amp;" taken hostage in their quarrel despite calls for displacements at the bodybuilder who lost my gray card. At the expert who does not want to recover any of the documents on my part and the Macif who does not want to pay as long as the expert does not reco"&amp;"ver the documents .... and turn and turn ...")</f>
        <v>After more than 20 insurance following a disaster excluding responsibility. 2 months and still no reimbursement of the vehicle. The reason: the expert does not comply with the procedure and for the expert the Macif does not comply with the procedure. I am taken hostage in their quarrel despite calls for displacements at the bodybuilder who lost my gray card. At the expert who does not want to recover any of the documents on my part and the Macif who does not want to pay as long as the expert does not recover the documents .... and turn and turn ...</v>
      </c>
    </row>
    <row r="328" ht="15.75" customHeight="1">
      <c r="A328" s="2">
        <v>4.0</v>
      </c>
      <c r="B328" s="2" t="s">
        <v>1016</v>
      </c>
      <c r="C328" s="2" t="s">
        <v>1017</v>
      </c>
      <c r="D328" s="2" t="s">
        <v>32</v>
      </c>
      <c r="E328" s="2" t="s">
        <v>21</v>
      </c>
      <c r="F328" s="2" t="s">
        <v>15</v>
      </c>
      <c r="G328" s="2" t="s">
        <v>1018</v>
      </c>
      <c r="H328" s="2" t="s">
        <v>48</v>
      </c>
      <c r="I328" s="2" t="str">
        <f>IFERROR(__xludf.DUMMYFUNCTION("GOOGLETRANSLATE(C328,""fr"",""en"")"),"I am satisfied with the insurance it is true very well thought, I highly recommend this insurance to everyone who wants advantageous prices")</f>
        <v>I am satisfied with the insurance it is true very well thought, I highly recommend this insurance to everyone who wants advantageous prices</v>
      </c>
    </row>
    <row r="329" ht="15.75" customHeight="1">
      <c r="A329" s="2">
        <v>4.0</v>
      </c>
      <c r="B329" s="2" t="s">
        <v>1019</v>
      </c>
      <c r="C329" s="2" t="s">
        <v>1020</v>
      </c>
      <c r="D329" s="2" t="s">
        <v>20</v>
      </c>
      <c r="E329" s="2" t="s">
        <v>21</v>
      </c>
      <c r="F329" s="2" t="s">
        <v>15</v>
      </c>
      <c r="G329" s="2" t="s">
        <v>1021</v>
      </c>
      <c r="H329" s="2" t="s">
        <v>54</v>
      </c>
      <c r="I329" s="2" t="str">
        <f>IFERROR(__xludf.DUMMYFUNCTION("GOOGLETRANSLATE(C329,""fr"",""en"")"),"Satisfied and well informed, well advised. Good management and processing of the rapid, practical and effective backrest when you are in a hurry")</f>
        <v>Satisfied and well informed, well advised. Good management and processing of the rapid, practical and effective backrest when you are in a hurry</v>
      </c>
    </row>
    <row r="330" ht="15.75" customHeight="1">
      <c r="A330" s="2">
        <v>2.0</v>
      </c>
      <c r="B330" s="2" t="s">
        <v>1022</v>
      </c>
      <c r="C330" s="2" t="s">
        <v>1023</v>
      </c>
      <c r="D330" s="2" t="s">
        <v>314</v>
      </c>
      <c r="E330" s="2" t="s">
        <v>21</v>
      </c>
      <c r="F330" s="2" t="s">
        <v>15</v>
      </c>
      <c r="G330" s="2" t="s">
        <v>1024</v>
      </c>
      <c r="H330" s="2" t="s">
        <v>183</v>
      </c>
      <c r="I330" s="2" t="str">
        <f>IFERROR(__xludf.DUMMYFUNCTION("GOOGLETRANSLATE(C330,""fr"",""en"")"),"To flee absolutely!
Since September I have been fighting to receive the green sticker! I have a Provisory paper (Blan) and I stamped it to receive the sticker. I went to the police station to find out if this paper was legal; Their response was clear is "&amp;"a provisory paper dated seven and therefore already too old, and that my insurance had to give a green? I am verbalization without that! 25 euros without green sticker. Their white paper is not enough. And despite all the reminders still no sticker! This "&amp;"insurance makes us pay the calls, tells us that she sent the paper but nothing and it has been going on for seven! I will terminate the contract ... I don't see anything else to do
")</f>
        <v>To flee absolutely!
Since September I have been fighting to receive the green sticker! I have a Provisory paper (Blan) and I stamped it to receive the sticker. I went to the police station to find out if this paper was legal; Their response was clear is a provisory paper dated seven and therefore already too old, and that my insurance had to give a green? I am verbalization without that! 25 euros without green sticker. Their white paper is not enough. And despite all the reminders still no sticker! This insurance makes us pay the calls, tells us that she sent the paper but nothing and it has been going on for seven! I will terminate the contract ... I don't see anything else to do
</v>
      </c>
    </row>
    <row r="331" ht="15.75" customHeight="1">
      <c r="A331" s="2">
        <v>3.0</v>
      </c>
      <c r="B331" s="2" t="s">
        <v>1025</v>
      </c>
      <c r="C331" s="2" t="s">
        <v>1026</v>
      </c>
      <c r="D331" s="2" t="s">
        <v>41</v>
      </c>
      <c r="E331" s="2" t="s">
        <v>21</v>
      </c>
      <c r="F331" s="2" t="s">
        <v>15</v>
      </c>
      <c r="G331" s="2" t="s">
        <v>1027</v>
      </c>
      <c r="H331" s="2" t="s">
        <v>58</v>
      </c>
      <c r="I331" s="2" t="str">
        <f>IFERROR(__xludf.DUMMYFUNCTION("GOOGLETRANSLATE(C331,""fr"",""en"")"),"Very welcome by advisers on site
Price level good but without+.
""correct"" franchise level compared to the competitors
""Retro"" Vandalized Rapide reimbursement - the deductible of course !!
For the moment satisfied- but price to negotiate before the"&amp;" deadline ??")</f>
        <v>Very welcome by advisers on site
Price level good but without+.
"correct" franchise level compared to the competitors
"Retro" Vandalized Rapide reimbursement - the deductible of course !!
For the moment satisfied- but price to negotiate before the deadline ??</v>
      </c>
    </row>
    <row r="332" ht="15.75" customHeight="1">
      <c r="A332" s="2">
        <v>2.0</v>
      </c>
      <c r="B332" s="2" t="s">
        <v>1028</v>
      </c>
      <c r="C332" s="2" t="s">
        <v>1029</v>
      </c>
      <c r="D332" s="2" t="s">
        <v>20</v>
      </c>
      <c r="E332" s="2" t="s">
        <v>21</v>
      </c>
      <c r="F332" s="2" t="s">
        <v>15</v>
      </c>
      <c r="G332" s="2" t="s">
        <v>119</v>
      </c>
      <c r="H332" s="2" t="s">
        <v>87</v>
      </c>
      <c r="I332" s="2" t="str">
        <f>IFERROR(__xludf.DUMMYFUNCTION("GOOGLETRANSLATE(C332,""fr"",""en"")"),"I find that the price is a bit high and the company does not take into account my seniority abroad, I have already provided a document of my business insurance but you ask me for another one month! While the previous date of less than a month when I signe"&amp;"d up with you")</f>
        <v>I find that the price is a bit high and the company does not take into account my seniority abroad, I have already provided a document of my business insurance but you ask me for another one month! While the previous date of less than a month when I signed up with you</v>
      </c>
    </row>
    <row r="333" ht="15.75" customHeight="1">
      <c r="A333" s="2">
        <v>5.0</v>
      </c>
      <c r="B333" s="2" t="s">
        <v>1030</v>
      </c>
      <c r="C333" s="2" t="s">
        <v>1031</v>
      </c>
      <c r="D333" s="2" t="s">
        <v>32</v>
      </c>
      <c r="E333" s="2" t="s">
        <v>21</v>
      </c>
      <c r="F333" s="2" t="s">
        <v>15</v>
      </c>
      <c r="G333" s="2" t="s">
        <v>143</v>
      </c>
      <c r="H333" s="2" t="s">
        <v>54</v>
      </c>
      <c r="I333" s="2" t="str">
        <f>IFERROR(__xludf.DUMMYFUNCTION("GOOGLETRANSLATE(C333,""fr"",""en"")"),"I am satisfied with the price defying all competition, as well as the service and the ease of subscription which is really very well organized for the future insured")</f>
        <v>I am satisfied with the price defying all competition, as well as the service and the ease of subscription which is really very well organized for the future insured</v>
      </c>
    </row>
    <row r="334" ht="15.75" customHeight="1">
      <c r="A334" s="2">
        <v>1.0</v>
      </c>
      <c r="B334" s="2" t="s">
        <v>1032</v>
      </c>
      <c r="C334" s="2" t="s">
        <v>1033</v>
      </c>
      <c r="D334" s="2" t="s">
        <v>1034</v>
      </c>
      <c r="E334" s="2" t="s">
        <v>544</v>
      </c>
      <c r="F334" s="2" t="s">
        <v>15</v>
      </c>
      <c r="G334" s="2" t="s">
        <v>1035</v>
      </c>
      <c r="H334" s="2" t="s">
        <v>224</v>
      </c>
      <c r="I334" s="2" t="str">
        <f>IFERROR(__xludf.DUMMYFUNCTION("GOOGLETRANSLATE(C334,""fr"",""en"")"),"Upon stopping since January 2017, I still wait for the payment of my compensation despite a complete file, the personal involvement of my employer to try to gain their case ...
Too much is too much ... in August it is with a lawyer that I would appear my"&amp;" rights and that I would exceed my rights!
Prepare to pay your contributions for no guarantees !!!
")</f>
        <v>Upon stopping since January 2017, I still wait for the payment of my compensation despite a complete file, the personal involvement of my employer to try to gain their case ...
Too much is too much ... in August it is with a lawyer that I would appear my rights and that I would exceed my rights!
Prepare to pay your contributions for no guarantees !!!
</v>
      </c>
    </row>
    <row r="335" ht="15.75" customHeight="1">
      <c r="A335" s="2">
        <v>4.0</v>
      </c>
      <c r="B335" s="2" t="s">
        <v>1036</v>
      </c>
      <c r="C335" s="2" t="s">
        <v>1037</v>
      </c>
      <c r="D335" s="2" t="s">
        <v>20</v>
      </c>
      <c r="E335" s="2" t="s">
        <v>21</v>
      </c>
      <c r="F335" s="2" t="s">
        <v>15</v>
      </c>
      <c r="G335" s="2" t="s">
        <v>1021</v>
      </c>
      <c r="H335" s="2" t="s">
        <v>54</v>
      </c>
      <c r="I335" s="2" t="str">
        <f>IFERROR(__xludf.DUMMYFUNCTION("GOOGLETRANSLATE(C335,""fr"",""en"")"),"I am satisfied with the price and the quality of your service. I would recommend that to my loved one as well as my work colleague good day thank you")</f>
        <v>I am satisfied with the price and the quality of your service. I would recommend that to my loved one as well as my work colleague good day thank you</v>
      </c>
    </row>
    <row r="336" ht="15.75" customHeight="1">
      <c r="A336" s="2">
        <v>4.0</v>
      </c>
      <c r="B336" s="2" t="s">
        <v>1038</v>
      </c>
      <c r="C336" s="2" t="s">
        <v>1039</v>
      </c>
      <c r="D336" s="2" t="s">
        <v>75</v>
      </c>
      <c r="E336" s="2" t="s">
        <v>14</v>
      </c>
      <c r="F336" s="2" t="s">
        <v>15</v>
      </c>
      <c r="G336" s="2" t="s">
        <v>1040</v>
      </c>
      <c r="H336" s="2" t="s">
        <v>199</v>
      </c>
      <c r="I336" s="2" t="str">
        <f>IFERROR(__xludf.DUMMYFUNCTION("GOOGLETRANSLATE(C336,""fr"",""en"")"),"For years I have been at this mutual and I have never had any problems. Availability and listening. Quality of advisers. Several choices of services according to its budget.")</f>
        <v>For years I have been at this mutual and I have never had any problems. Availability and listening. Quality of advisers. Several choices of services according to its budget.</v>
      </c>
    </row>
    <row r="337" ht="15.75" customHeight="1">
      <c r="A337" s="2">
        <v>1.0</v>
      </c>
      <c r="B337" s="2" t="s">
        <v>1041</v>
      </c>
      <c r="C337" s="2" t="s">
        <v>1042</v>
      </c>
      <c r="D337" s="2" t="s">
        <v>75</v>
      </c>
      <c r="E337" s="2" t="s">
        <v>544</v>
      </c>
      <c r="F337" s="2" t="s">
        <v>15</v>
      </c>
      <c r="G337" s="2" t="s">
        <v>246</v>
      </c>
      <c r="H337" s="2" t="s">
        <v>58</v>
      </c>
      <c r="I337" s="2" t="str">
        <f>IFERROR(__xludf.DUMMYFUNCTION("GOOGLETRANSLATE(C337,""fr"",""en"")"),"I end up with a big pathology and therefore I found myself in CLD. I have resumed therapeutic half-time since June. I have resorted to loss of salary for 1 year and it is very complicated to have settled. I have to return documents several times. In the m"&amp;"eantime I find myself in a very complicated financial situation without counting my illness")</f>
        <v>I end up with a big pathology and therefore I found myself in CLD. I have resumed therapeutic half-time since June. I have resorted to loss of salary for 1 year and it is very complicated to have settled. I have to return documents several times. In the meantime I find myself in a very complicated financial situation without counting my illness</v>
      </c>
    </row>
    <row r="338" ht="15.75" customHeight="1">
      <c r="A338" s="2">
        <v>5.0</v>
      </c>
      <c r="B338" s="2" t="s">
        <v>1043</v>
      </c>
      <c r="C338" s="2" t="s">
        <v>1044</v>
      </c>
      <c r="D338" s="2" t="s">
        <v>127</v>
      </c>
      <c r="E338" s="2" t="s">
        <v>128</v>
      </c>
      <c r="F338" s="2" t="s">
        <v>15</v>
      </c>
      <c r="G338" s="2" t="s">
        <v>664</v>
      </c>
      <c r="H338" s="2" t="s">
        <v>48</v>
      </c>
      <c r="I338" s="2" t="str">
        <f>IFERROR(__xludf.DUMMYFUNCTION("GOOGLETRANSLATE(C338,""fr"",""en"")"),"Fast and functional I recommend this credit insurance when it is for a rental property
The price is correct and the interlocutors sympathetic
To see in the future")</f>
        <v>Fast and functional I recommend this credit insurance when it is for a rental property
The price is correct and the interlocutors sympathetic
To see in the future</v>
      </c>
    </row>
    <row r="339" ht="15.75" customHeight="1">
      <c r="A339" s="2">
        <v>5.0</v>
      </c>
      <c r="B339" s="2" t="s">
        <v>1045</v>
      </c>
      <c r="C339" s="2" t="s">
        <v>1046</v>
      </c>
      <c r="D339" s="2" t="s">
        <v>32</v>
      </c>
      <c r="E339" s="2" t="s">
        <v>21</v>
      </c>
      <c r="F339" s="2" t="s">
        <v>15</v>
      </c>
      <c r="G339" s="2" t="s">
        <v>733</v>
      </c>
      <c r="H339" s="2" t="s">
        <v>87</v>
      </c>
      <c r="I339" s="2" t="str">
        <f>IFERROR(__xludf.DUMMYFUNCTION("GOOGLETRANSLATE(C339,""fr"",""en"")"),"The gentleman I had on the phone explained everything to me and answered all my questions! Thanks again ! I recommend this service to everyone because the availability and the waiting time was really very short")</f>
        <v>The gentleman I had on the phone explained everything to me and answered all my questions! Thanks again ! I recommend this service to everyone because the availability and the waiting time was really very short</v>
      </c>
    </row>
    <row r="340" ht="15.75" customHeight="1">
      <c r="A340" s="2">
        <v>5.0</v>
      </c>
      <c r="B340" s="2" t="s">
        <v>1047</v>
      </c>
      <c r="C340" s="2" t="s">
        <v>1048</v>
      </c>
      <c r="D340" s="2" t="s">
        <v>20</v>
      </c>
      <c r="E340" s="2" t="s">
        <v>21</v>
      </c>
      <c r="F340" s="2" t="s">
        <v>15</v>
      </c>
      <c r="G340" s="2" t="s">
        <v>1049</v>
      </c>
      <c r="H340" s="2" t="s">
        <v>458</v>
      </c>
      <c r="I340" s="2" t="str">
        <f>IFERROR(__xludf.DUMMYFUNCTION("GOOGLETRANSLATE(C340,""fr"",""en"")"),"I was robbed of my vehicle, they have always been attentive and good advice.
Supported and repaired vehicle
Pros with competitive prices ...")</f>
        <v>I was robbed of my vehicle, they have always been attentive and good advice.
Supported and repaired vehicle
Pros with competitive prices ...</v>
      </c>
    </row>
    <row r="341" ht="15.75" customHeight="1">
      <c r="A341" s="2">
        <v>5.0</v>
      </c>
      <c r="B341" s="2" t="s">
        <v>1050</v>
      </c>
      <c r="C341" s="2" t="s">
        <v>1051</v>
      </c>
      <c r="D341" s="2" t="s">
        <v>13</v>
      </c>
      <c r="E341" s="2" t="s">
        <v>14</v>
      </c>
      <c r="F341" s="2" t="s">
        <v>15</v>
      </c>
      <c r="G341" s="2" t="s">
        <v>1052</v>
      </c>
      <c r="H341" s="2" t="s">
        <v>87</v>
      </c>
      <c r="I341" s="2" t="str">
        <f>IFERROR(__xludf.DUMMYFUNCTION("GOOGLETRANSLATE(C341,""fr"",""en"")"),"The telephone reception of this day was very satisfactory. I had the answer and the expected service.
Friendly welcome, good understanding, speed of service.
Thanks.")</f>
        <v>The telephone reception of this day was very satisfactory. I had the answer and the expected service.
Friendly welcome, good understanding, speed of service.
Thanks.</v>
      </c>
    </row>
    <row r="342" ht="15.75" customHeight="1">
      <c r="A342" s="2">
        <v>2.0</v>
      </c>
      <c r="B342" s="2" t="s">
        <v>1053</v>
      </c>
      <c r="C342" s="2" t="s">
        <v>1054</v>
      </c>
      <c r="D342" s="2" t="s">
        <v>106</v>
      </c>
      <c r="E342" s="2" t="s">
        <v>14</v>
      </c>
      <c r="F342" s="2" t="s">
        <v>15</v>
      </c>
      <c r="G342" s="2" t="s">
        <v>1055</v>
      </c>
      <c r="H342" s="2" t="s">
        <v>306</v>
      </c>
      <c r="I342" s="2" t="str">
        <f>IFERROR(__xludf.DUMMYFUNCTION("GOOGLETRANSLATE(C342,""fr"",""en"")"),"May 2012 satisfied ................................................... .......")</f>
        <v>May 2012 satisfied ................................................... .......</v>
      </c>
    </row>
    <row r="343" ht="15.75" customHeight="1">
      <c r="A343" s="2">
        <v>2.0</v>
      </c>
      <c r="B343" s="2" t="s">
        <v>1056</v>
      </c>
      <c r="C343" s="2" t="s">
        <v>1057</v>
      </c>
      <c r="D343" s="2" t="s">
        <v>32</v>
      </c>
      <c r="E343" s="2" t="s">
        <v>21</v>
      </c>
      <c r="F343" s="2" t="s">
        <v>15</v>
      </c>
      <c r="G343" s="2" t="s">
        <v>906</v>
      </c>
      <c r="H343" s="2" t="s">
        <v>48</v>
      </c>
      <c r="I343" s="2" t="str">
        <f>IFERROR(__xludf.DUMMYFUNCTION("GOOGLETRANSLATE(C343,""fr"",""en"")"),"It has been several years since I have been with you without accident I have had no reduction on my insurance;
I think my loyalty and my conduct will be rewarded.")</f>
        <v>It has been several years since I have been with you without accident I have had no reduction on my insurance;
I think my loyalty and my conduct will be rewarded.</v>
      </c>
    </row>
    <row r="344" ht="15.75" customHeight="1">
      <c r="A344" s="2">
        <v>1.0</v>
      </c>
      <c r="B344" s="2" t="s">
        <v>1058</v>
      </c>
      <c r="C344" s="2" t="s">
        <v>1059</v>
      </c>
      <c r="D344" s="2" t="s">
        <v>41</v>
      </c>
      <c r="E344" s="2" t="s">
        <v>21</v>
      </c>
      <c r="F344" s="2" t="s">
        <v>15</v>
      </c>
      <c r="G344" s="2" t="s">
        <v>1060</v>
      </c>
      <c r="H344" s="2" t="s">
        <v>540</v>
      </c>
      <c r="I344" s="2" t="str">
        <f>IFERROR(__xludf.DUMMYFUNCTION("GOOGLETRANSLATE(C344,""fr"",""en"")"),"To flee this insurance this mock of its customers.
A hanging to our twists, the maaf sends us its expert who freezes the gray card, already the way is questionable, I repair my vehicle, the pass to technical control, send all documents .. and the assessm"&amp;"ent the expert makes the Death, the maaf does not want to do anything and my vehicle cannot drive for 1 week while the technical control is ok ... During this time we pay credit, insurance and cnie ..")</f>
        <v>To flee this insurance this mock of its customers.
A hanging to our twists, the maaf sends us its expert who freezes the gray card, already the way is questionable, I repair my vehicle, the pass to technical control, send all documents .. and the assessment the expert makes the Death, the maaf does not want to do anything and my vehicle cannot drive for 1 week while the technical control is ok ... During this time we pay credit, insurance and cnie ..</v>
      </c>
    </row>
    <row r="345" ht="15.75" customHeight="1">
      <c r="A345" s="2">
        <v>1.0</v>
      </c>
      <c r="B345" s="2" t="s">
        <v>1061</v>
      </c>
      <c r="C345" s="2" t="s">
        <v>1062</v>
      </c>
      <c r="D345" s="2" t="s">
        <v>93</v>
      </c>
      <c r="E345" s="2" t="s">
        <v>544</v>
      </c>
      <c r="F345" s="2" t="s">
        <v>15</v>
      </c>
      <c r="G345" s="2" t="s">
        <v>1063</v>
      </c>
      <c r="H345" s="2" t="s">
        <v>1064</v>
      </c>
      <c r="I345" s="2" t="str">
        <f>IFERROR(__xludf.DUMMYFUNCTION("GOOGLETRANSLATE(C345,""fr"",""en"")"),"My artisan husband has stopped since 15/03 because ALD and therefore no one at risk will not be compensated while Social Security takes it into consideration. Where is the error. This insurance is worse in worse")</f>
        <v>My artisan husband has stopped since 15/03 because ALD and therefore no one at risk will not be compensated while Social Security takes it into consideration. Where is the error. This insurance is worse in worse</v>
      </c>
    </row>
    <row r="346" ht="15.75" customHeight="1">
      <c r="A346" s="2">
        <v>1.0</v>
      </c>
      <c r="B346" s="2" t="s">
        <v>1065</v>
      </c>
      <c r="C346" s="2" t="s">
        <v>1066</v>
      </c>
      <c r="D346" s="2" t="s">
        <v>139</v>
      </c>
      <c r="E346" s="2" t="s">
        <v>21</v>
      </c>
      <c r="F346" s="2" t="s">
        <v>15</v>
      </c>
      <c r="G346" s="2" t="s">
        <v>1067</v>
      </c>
      <c r="H346" s="2" t="s">
        <v>199</v>
      </c>
      <c r="I346" s="2" t="str">
        <f>IFERROR(__xludf.DUMMYFUNCTION("GOOGLETRANSLATE(C346,""fr"",""en"")"),"Bad communication and very long time to return.
Accused responsible while I am a victim. Therefore I have a bonus reduction. Unreachable sector agency
Very bad ! 0/10
To avoid")</f>
        <v>Bad communication and very long time to return.
Accused responsible while I am a victim. Therefore I have a bonus reduction. Unreachable sector agency
Very bad ! 0/10
To avoid</v>
      </c>
    </row>
    <row r="347" ht="15.75" customHeight="1">
      <c r="A347" s="2">
        <v>1.0</v>
      </c>
      <c r="B347" s="2" t="s">
        <v>1068</v>
      </c>
      <c r="C347" s="2" t="s">
        <v>1069</v>
      </c>
      <c r="D347" s="2" t="s">
        <v>1034</v>
      </c>
      <c r="E347" s="2" t="s">
        <v>27</v>
      </c>
      <c r="F347" s="2" t="s">
        <v>15</v>
      </c>
      <c r="G347" s="2" t="s">
        <v>1070</v>
      </c>
      <c r="H347" s="2" t="s">
        <v>77</v>
      </c>
      <c r="I347" s="2" t="str">
        <f>IFERROR(__xludf.DUMMYFUNCTION("GOOGLETRANSLATE(C347,""fr"",""en"")")," Very disappointed by this insurance which has not paid me a penny for 3 years. I had to sell a large part of this life insurance to settle a credit ultimately advised by the bank and since that date the remaining sum has no longer moved!")</f>
        <v> Very disappointed by this insurance which has not paid me a penny for 3 years. I had to sell a large part of this life insurance to settle a credit ultimately advised by the bank and since that date the remaining sum has no longer moved!</v>
      </c>
    </row>
    <row r="348" ht="15.75" customHeight="1">
      <c r="A348" s="2">
        <v>1.0</v>
      </c>
      <c r="B348" s="2" t="s">
        <v>1071</v>
      </c>
      <c r="C348" s="2" t="s">
        <v>1072</v>
      </c>
      <c r="D348" s="2" t="s">
        <v>106</v>
      </c>
      <c r="E348" s="2" t="s">
        <v>14</v>
      </c>
      <c r="F348" s="2" t="s">
        <v>15</v>
      </c>
      <c r="G348" s="2" t="s">
        <v>199</v>
      </c>
      <c r="H348" s="2" t="s">
        <v>199</v>
      </c>
      <c r="I348" s="2" t="str">
        <f>IFERROR(__xludf.DUMMYFUNCTION("GOOGLETRANSLATE(C348,""fr"",""en"")"),"TO FLEE!!!! Impossible to obtain a refund in optics, impossible to reach ...
I just spent 13 minutes waiting on the phone with their background music worthy of a funeral day and after 13 minutes it hangs up ...")</f>
        <v>TO FLEE!!!! Impossible to obtain a refund in optics, impossible to reach ...
I just spent 13 minutes waiting on the phone with their background music worthy of a funeral day and after 13 minutes it hangs up ...</v>
      </c>
    </row>
    <row r="349" ht="15.75" customHeight="1">
      <c r="A349" s="2">
        <v>1.0</v>
      </c>
      <c r="B349" s="2" t="s">
        <v>1073</v>
      </c>
      <c r="C349" s="2" t="s">
        <v>1074</v>
      </c>
      <c r="D349" s="2" t="s">
        <v>150</v>
      </c>
      <c r="E349" s="2" t="s">
        <v>21</v>
      </c>
      <c r="F349" s="2" t="s">
        <v>15</v>
      </c>
      <c r="G349" s="2" t="s">
        <v>1075</v>
      </c>
      <c r="H349" s="2" t="s">
        <v>48</v>
      </c>
      <c r="I349" s="2" t="str">
        <f>IFERROR(__xludf.DUMMYFUNCTION("GOOGLETRANSLATE(C349,""fr"",""en"")"),"Hello to the community
I make a quote at the Macif in November 2020 for a two wheel it announces 350 € annual, I call this day on 29.03.2021 to ensure the two wheel and hop we go to 510 € no explanation for the price increase .
I made a quote on a compa"&amp;"rator site I am between 147 € at 288 €.
A good hearing.
David R")</f>
        <v>Hello to the community
I make a quote at the Macif in November 2020 for a two wheel it announces 350 € annual, I call this day on 29.03.2021 to ensure the two wheel and hop we go to 510 € no explanation for the price increase .
I made a quote on a comparator site I am between 147 € at 288 €.
A good hearing.
David R</v>
      </c>
    </row>
    <row r="350" ht="15.75" customHeight="1">
      <c r="A350" s="2">
        <v>1.0</v>
      </c>
      <c r="B350" s="2" t="s">
        <v>1076</v>
      </c>
      <c r="C350" s="2" t="s">
        <v>1077</v>
      </c>
      <c r="D350" s="2" t="s">
        <v>139</v>
      </c>
      <c r="E350" s="2" t="s">
        <v>21</v>
      </c>
      <c r="F350" s="2" t="s">
        <v>15</v>
      </c>
      <c r="G350" s="2" t="s">
        <v>1078</v>
      </c>
      <c r="H350" s="2" t="s">
        <v>1079</v>
      </c>
      <c r="I350" s="2" t="str">
        <f>IFERROR(__xludf.DUMMYFUNCTION("GOOGLETRANSLATE(C350,""fr"",""en"")"),"Like the other insured. The GMF collects the contributions and disappears if necessary. Non -responsible accident at risk I advance funds. No big deal my garage can wait for the work done. If this is not like making cash on the other's account ...., I hav"&amp;"e no info I have to go to fishing and I am refused to read the expert's report .... ..")</f>
        <v>Like the other insured. The GMF collects the contributions and disappears if necessary. Non -responsible accident at risk I advance funds. No big deal my garage can wait for the work done. If this is not like making cash on the other's account ...., I have no info I have to go to fishing and I am refused to read the expert's report .... ..</v>
      </c>
    </row>
    <row r="351" ht="15.75" customHeight="1">
      <c r="A351" s="2">
        <v>2.0</v>
      </c>
      <c r="B351" s="2" t="s">
        <v>1080</v>
      </c>
      <c r="C351" s="2" t="s">
        <v>1081</v>
      </c>
      <c r="D351" s="2" t="s">
        <v>32</v>
      </c>
      <c r="E351" s="2" t="s">
        <v>21</v>
      </c>
      <c r="F351" s="2" t="s">
        <v>15</v>
      </c>
      <c r="G351" s="2" t="s">
        <v>1082</v>
      </c>
      <c r="H351" s="2" t="s">
        <v>54</v>
      </c>
      <c r="I351" s="2" t="str">
        <f>IFERROR(__xludf.DUMMYFUNCTION("GOOGLETRANSLATE(C351,""fr"",""en"")"),"A little expensive for an old man insured at home and sui also has the dwelling assurance currently at home
I would have liked to have a short reduction")</f>
        <v>A little expensive for an old man insured at home and sui also has the dwelling assurance currently at home
I would have liked to have a short reduction</v>
      </c>
    </row>
    <row r="352" ht="15.75" customHeight="1">
      <c r="A352" s="2">
        <v>1.0</v>
      </c>
      <c r="B352" s="2" t="s">
        <v>1083</v>
      </c>
      <c r="C352" s="2" t="s">
        <v>1084</v>
      </c>
      <c r="D352" s="2" t="s">
        <v>1085</v>
      </c>
      <c r="E352" s="2" t="s">
        <v>27</v>
      </c>
      <c r="F352" s="2" t="s">
        <v>15</v>
      </c>
      <c r="G352" s="2" t="s">
        <v>326</v>
      </c>
      <c r="H352" s="2" t="s">
        <v>327</v>
      </c>
      <c r="I352" s="2" t="str">
        <f>IFERROR(__xludf.DUMMYFUNCTION("GOOGLETRANSLATE(C352,""fr"",""en"")"),"My father died at the end of January. He had obsolete insurance and life insurance. Since his death, this insurance sends me every 2 weeks of the requests for complete documents. All documents were sent the day after the death. It's a shame. People take t"&amp;"hese funeral insurance to unload the family who must overcome this test, and ultimately the opposite. We are dismayed. My father was abused. It's sad.
")</f>
        <v>My father died at the end of January. He had obsolete insurance and life insurance. Since his death, this insurance sends me every 2 weeks of the requests for complete documents. All documents were sent the day after the death. It's a shame. People take these funeral insurance to unload the family who must overcome this test, and ultimately the opposite. We are dismayed. My father was abused. It's sad.
</v>
      </c>
    </row>
    <row r="353" ht="15.75" customHeight="1">
      <c r="A353" s="2">
        <v>1.0</v>
      </c>
      <c r="B353" s="2" t="s">
        <v>1086</v>
      </c>
      <c r="C353" s="2" t="s">
        <v>1087</v>
      </c>
      <c r="D353" s="2" t="s">
        <v>93</v>
      </c>
      <c r="E353" s="2" t="s">
        <v>21</v>
      </c>
      <c r="F353" s="2" t="s">
        <v>15</v>
      </c>
      <c r="G353" s="2" t="s">
        <v>1088</v>
      </c>
      <c r="H353" s="2" t="s">
        <v>188</v>
      </c>
      <c r="I353" s="2" t="str">
        <f>IFERROR(__xludf.DUMMYFUNCTION("GOOGLETRANSLATE(C353,""fr"",""en"")")," 1 year awaiting response following a disaster and since the declaration of the disaster they continue the sample is this normal ??? I do not think so")</f>
        <v> 1 year awaiting response following a disaster and since the declaration of the disaster they continue the sample is this normal ??? I do not think so</v>
      </c>
    </row>
    <row r="354" ht="15.75" customHeight="1">
      <c r="A354" s="2">
        <v>4.0</v>
      </c>
      <c r="B354" s="2" t="s">
        <v>1089</v>
      </c>
      <c r="C354" s="2" t="s">
        <v>1090</v>
      </c>
      <c r="D354" s="2" t="s">
        <v>146</v>
      </c>
      <c r="E354" s="2" t="s">
        <v>52</v>
      </c>
      <c r="F354" s="2" t="s">
        <v>15</v>
      </c>
      <c r="G354" s="2" t="s">
        <v>1091</v>
      </c>
      <c r="H354" s="2" t="s">
        <v>54</v>
      </c>
      <c r="I354" s="2" t="str">
        <f>IFERROR(__xludf.DUMMYFUNCTION("GOOGLETRANSLATE(C354,""fr"",""en"")"),"Correct price, friendly and easy to use site. By cons no contact with an advisor hoping that everything will be fine because very disappointed with Axa")</f>
        <v>Correct price, friendly and easy to use site. By cons no contact with an advisor hoping that everything will be fine because very disappointed with Axa</v>
      </c>
    </row>
    <row r="355" ht="15.75" customHeight="1">
      <c r="A355" s="2">
        <v>4.0</v>
      </c>
      <c r="B355" s="2" t="s">
        <v>1092</v>
      </c>
      <c r="C355" s="2" t="s">
        <v>1093</v>
      </c>
      <c r="D355" s="2" t="s">
        <v>20</v>
      </c>
      <c r="E355" s="2" t="s">
        <v>21</v>
      </c>
      <c r="F355" s="2" t="s">
        <v>15</v>
      </c>
      <c r="G355" s="2" t="s">
        <v>87</v>
      </c>
      <c r="H355" s="2" t="s">
        <v>87</v>
      </c>
      <c r="I355" s="2" t="str">
        <f>IFERROR(__xludf.DUMMYFUNCTION("GOOGLETRANSLATE(C355,""fr"",""en"")"),"I am satisfied with customer service, quick and clear response more than correct and the guarantee are more than satisfactory.
                              ")</f>
        <v>I am satisfied with customer service, quick and clear response more than correct and the guarantee are more than satisfactory.
                              </v>
      </c>
    </row>
    <row r="356" ht="15.75" customHeight="1">
      <c r="A356" s="2">
        <v>1.0</v>
      </c>
      <c r="B356" s="2" t="s">
        <v>1094</v>
      </c>
      <c r="C356" s="2" t="s">
        <v>1095</v>
      </c>
      <c r="D356" s="2" t="s">
        <v>1096</v>
      </c>
      <c r="E356" s="2" t="s">
        <v>27</v>
      </c>
      <c r="F356" s="2" t="s">
        <v>15</v>
      </c>
      <c r="G356" s="2" t="s">
        <v>1097</v>
      </c>
      <c r="H356" s="2" t="s">
        <v>378</v>
      </c>
      <c r="I356" s="2" t="str">
        <f>IFERROR(__xludf.DUMMYFUNCTION("GOOGLETRANSLATE(C356,""fr"",""en"")"),"My beautiful father had to contract life insurance at Sogecap, have he had informed me
 (verbally) that I was beneficiary, with a contract reference. Since the end of July 2020 I have been sending them all the documents in letter recommending to close th"&amp;"e file. No answer !! Beginning October 2020,
 I call, said to me first, that some documents are missing (which I already sent). Anyway .... I give the contract reference, then told me that I am not the benefit of this contract! (My beautiful father had a"&amp;"lso signed a life insurance contract for his mother also deducted. My beautiful father, was able to confuse the reference of my contract with that which he had subscribed for his mother) and since this call still no new , no mail, nothing !! On the part o"&amp;"f my beautiful father, that verbal information on this subject I would like to have a firm and definitive response from SOGECAP already indicating whether or not I am a benefit of a contract and if so or is my file! It is a real lack of professionalism to"&amp;" leave people without answers! To see the comments, some files are close that after 2 years !! I am not ready to have an answer !!")</f>
        <v>My beautiful father had to contract life insurance at Sogecap, have he had informed me
 (verbally) that I was beneficiary, with a contract reference. Since the end of July 2020 I have been sending them all the documents in letter recommending to close the file. No answer !! Beginning October 2020,
 I call, said to me first, that some documents are missing (which I already sent). Anyway .... I give the contract reference, then told me that I am not the benefit of this contract! (My beautiful father had also signed a life insurance contract for his mother also deducted. My beautiful father, was able to confuse the reference of my contract with that which he had subscribed for his mother) and since this call still no new , no mail, nothing !! On the part of my beautiful father, that verbal information on this subject I would like to have a firm and definitive response from SOGECAP already indicating whether or not I am a benefit of a contract and if so or is my file! It is a real lack of professionalism to leave people without answers! To see the comments, some files are close that after 2 years !! I am not ready to have an answer !!</v>
      </c>
    </row>
    <row r="357" ht="15.75" customHeight="1">
      <c r="A357" s="2">
        <v>1.0</v>
      </c>
      <c r="B357" s="2" t="s">
        <v>1098</v>
      </c>
      <c r="C357" s="2" t="s">
        <v>1099</v>
      </c>
      <c r="D357" s="2" t="s">
        <v>1100</v>
      </c>
      <c r="E357" s="2" t="s">
        <v>128</v>
      </c>
      <c r="F357" s="2" t="s">
        <v>15</v>
      </c>
      <c r="G357" s="2" t="s">
        <v>1101</v>
      </c>
      <c r="H357" s="2" t="s">
        <v>253</v>
      </c>
      <c r="I357" s="2" t="str">
        <f>IFERROR(__xludf.DUMMYFUNCTION("GOOGLETRANSLATE(C357,""fr"",""en"")"),"Staring up !!!!!")</f>
        <v>Staring up !!!!!</v>
      </c>
    </row>
    <row r="358" ht="15.75" customHeight="1">
      <c r="A358" s="2">
        <v>4.0</v>
      </c>
      <c r="B358" s="2" t="s">
        <v>1102</v>
      </c>
      <c r="C358" s="2" t="s">
        <v>1103</v>
      </c>
      <c r="D358" s="2" t="s">
        <v>32</v>
      </c>
      <c r="E358" s="2" t="s">
        <v>21</v>
      </c>
      <c r="F358" s="2" t="s">
        <v>15</v>
      </c>
      <c r="G358" s="2" t="s">
        <v>169</v>
      </c>
      <c r="H358" s="2" t="s">
        <v>48</v>
      </c>
      <c r="I358" s="2" t="str">
        <f>IFERROR(__xludf.DUMMYFUNCTION("GOOGLETRANSLATE(C358,""fr"",""en"")"),"The price and the guarantee suits me for the moment to see the service after time at the time, we have no problem everything is good, we will see later after")</f>
        <v>The price and the guarantee suits me for the moment to see the service after time at the time, we have no problem everything is good, we will see later after</v>
      </c>
    </row>
    <row r="359" ht="15.75" customHeight="1">
      <c r="A359" s="2">
        <v>1.0</v>
      </c>
      <c r="B359" s="2" t="s">
        <v>1104</v>
      </c>
      <c r="C359" s="2" t="s">
        <v>1105</v>
      </c>
      <c r="D359" s="2" t="s">
        <v>150</v>
      </c>
      <c r="E359" s="2" t="s">
        <v>52</v>
      </c>
      <c r="F359" s="2" t="s">
        <v>15</v>
      </c>
      <c r="G359" s="2" t="s">
        <v>1106</v>
      </c>
      <c r="H359" s="2" t="s">
        <v>17</v>
      </c>
      <c r="I359" s="2" t="str">
        <f>IFERROR(__xludf.DUMMYFUNCTION("GOOGLETRANSLATE(C359,""fr"",""en"")"),"The driver's guarantee of the Macif is to be flee. Insurance premiums are paid to, in the end, withdraw only ridiculous compensation with regard to the prejudices suffered. Insurance must be chosen which guarantees, in the event of an accident responsible"&amp;" or without third parties, compensation for bodily harm taking into account all the positions and these on the basis of ordinary law. I strongly advise bikers to read well and compare the contracts offered. To flee the Macif and AMV. CIC Matmut Credit Mut"&amp;"uel are better options.")</f>
        <v>The driver's guarantee of the Macif is to be flee. Insurance premiums are paid to, in the end, withdraw only ridiculous compensation with regard to the prejudices suffered. Insurance must be chosen which guarantees, in the event of an accident responsible or without third parties, compensation for bodily harm taking into account all the positions and these on the basis of ordinary law. I strongly advise bikers to read well and compare the contracts offered. To flee the Macif and AMV. CIC Matmut Credit Mutuel are better options.</v>
      </c>
    </row>
    <row r="360" ht="15.75" customHeight="1">
      <c r="A360" s="2">
        <v>2.0</v>
      </c>
      <c r="B360" s="2" t="s">
        <v>1107</v>
      </c>
      <c r="C360" s="2" t="s">
        <v>1108</v>
      </c>
      <c r="D360" s="2" t="s">
        <v>32</v>
      </c>
      <c r="E360" s="2" t="s">
        <v>21</v>
      </c>
      <c r="F360" s="2" t="s">
        <v>15</v>
      </c>
      <c r="G360" s="2" t="s">
        <v>1109</v>
      </c>
      <c r="H360" s="2" t="s">
        <v>95</v>
      </c>
      <c r="I360" s="2" t="str">
        <f>IFERROR(__xludf.DUMMYFUNCTION("GOOGLETRANSLATE(C360,""fr"",""en"")"),"Very unhappy impossible to reach my insurance, surrealist !!!!! No telephone number nonexistent contact, delirium, thank you blablasur !!!!!!")</f>
        <v>Very unhappy impossible to reach my insurance, surrealist !!!!! No telephone number nonexistent contact, delirium, thank you blablasur !!!!!!</v>
      </c>
    </row>
    <row r="361" ht="15.75" customHeight="1">
      <c r="A361" s="2">
        <v>5.0</v>
      </c>
      <c r="B361" s="2" t="s">
        <v>1110</v>
      </c>
      <c r="C361" s="2" t="s">
        <v>1111</v>
      </c>
      <c r="D361" s="2" t="s">
        <v>20</v>
      </c>
      <c r="E361" s="2" t="s">
        <v>21</v>
      </c>
      <c r="F361" s="2" t="s">
        <v>15</v>
      </c>
      <c r="G361" s="2" t="s">
        <v>143</v>
      </c>
      <c r="H361" s="2" t="s">
        <v>54</v>
      </c>
      <c r="I361" s="2" t="str">
        <f>IFERROR(__xludf.DUMMYFUNCTION("GOOGLETRANSLATE(C361,""fr"",""en"")"),"Perfect, fast, efficient service, top advisor. Everything has been well explained, informed and reviewed, the questions well answered, I am happy to subscribe to you.")</f>
        <v>Perfect, fast, efficient service, top advisor. Everything has been well explained, informed and reviewed, the questions well answered, I am happy to subscribe to you.</v>
      </c>
    </row>
    <row r="362" ht="15.75" customHeight="1">
      <c r="A362" s="2">
        <v>1.0</v>
      </c>
      <c r="B362" s="2" t="s">
        <v>1112</v>
      </c>
      <c r="C362" s="2" t="s">
        <v>1113</v>
      </c>
      <c r="D362" s="2" t="s">
        <v>41</v>
      </c>
      <c r="E362" s="2" t="s">
        <v>21</v>
      </c>
      <c r="F362" s="2" t="s">
        <v>15</v>
      </c>
      <c r="G362" s="2" t="s">
        <v>1114</v>
      </c>
      <c r="H362" s="2" t="s">
        <v>406</v>
      </c>
      <c r="I362" s="2" t="str">
        <f>IFERROR(__xludf.DUMMYFUNCTION("GOOGLETRANSLATE(C362,""fr"",""en"")"),"Client for 16 years with 4 contracts. I had a sinister housing which cost the Maaf 36 euros they terminated me. But I stayed for the other 3 contracts.
I change my vehicle and make a quote. The contribution is excessively high so I make quotes elsewher"&amp;"e and request my information statement.
Maaf calls me following this request and tells me to recall them with the estimate of the competitors so that they try to line up.
What I do on Friday. The person offers me a price at 460 euros and 2 months fr"&amp;"ee but still invites me to go to an agency to get better.
I went there on Monday. Only my interlocutor throughout the agency No manager. And this gentleman tells me that he is still in training and should not be alone (seniority of a few weeks). He gav"&amp;"e me a quote at 580 euros without any commercial gesture or listening from this person.
Going out I recall the platform and I am informed that the agency's person indicated ""no discount"" in my file.
Today I have recalled quote always at 573 euros an"&amp;"d even the 2 free months offered no longer exist.
I always try to understand why I was offered an alignment, why I was sent to an agency to have a much higher price, why a person in the course of learning allows me to overfect me ...
Unbelievable ! "&amp;"I would never have believed this possible insurance that had always given me satisfaction and that I had not left for their quality of service.
After 16 years they throw me outside for no reason!
")</f>
        <v>Client for 16 years with 4 contracts. I had a sinister housing which cost the Maaf 36 euros they terminated me. But I stayed for the other 3 contracts.
I change my vehicle and make a quote. The contribution is excessively high so I make quotes elsewhere and request my information statement.
Maaf calls me following this request and tells me to recall them with the estimate of the competitors so that they try to line up.
What I do on Friday. The person offers me a price at 460 euros and 2 months free but still invites me to go to an agency to get better.
I went there on Monday. Only my interlocutor throughout the agency No manager. And this gentleman tells me that he is still in training and should not be alone (seniority of a few weeks). He gave me a quote at 580 euros without any commercial gesture or listening from this person.
Going out I recall the platform and I am informed that the agency's person indicated "no discount" in my file.
Today I have recalled quote always at 573 euros and even the 2 free months offered no longer exist.
I always try to understand why I was offered an alignment, why I was sent to an agency to have a much higher price, why a person in the course of learning allows me to overfect me ...
Unbelievable ! I would never have believed this possible insurance that had always given me satisfaction and that I had not left for their quality of service.
After 16 years they throw me outside for no reason!
</v>
      </c>
    </row>
    <row r="363" ht="15.75" customHeight="1">
      <c r="A363" s="2">
        <v>4.0</v>
      </c>
      <c r="B363" s="2" t="s">
        <v>1115</v>
      </c>
      <c r="C363" s="2" t="s">
        <v>1116</v>
      </c>
      <c r="D363" s="2" t="s">
        <v>20</v>
      </c>
      <c r="E363" s="2" t="s">
        <v>21</v>
      </c>
      <c r="F363" s="2" t="s">
        <v>15</v>
      </c>
      <c r="G363" s="2" t="s">
        <v>1117</v>
      </c>
      <c r="H363" s="2" t="s">
        <v>23</v>
      </c>
      <c r="I363" s="2" t="str">
        <f>IFERROR(__xludf.DUMMYFUNCTION("GOOGLETRANSLATE(C363,""fr"",""en"")"),"Very well, you are not too expensive for a first contract of a young driver of more than 3 years of license and a car not too old thank you see you soon ...")</f>
        <v>Very well, you are not too expensive for a first contract of a young driver of more than 3 years of license and a car not too old thank you see you soon ...</v>
      </c>
    </row>
    <row r="364" ht="15.75" customHeight="1">
      <c r="A364" s="2">
        <v>1.0</v>
      </c>
      <c r="B364" s="2" t="s">
        <v>1118</v>
      </c>
      <c r="C364" s="2" t="s">
        <v>1119</v>
      </c>
      <c r="D364" s="2" t="s">
        <v>32</v>
      </c>
      <c r="E364" s="2" t="s">
        <v>21</v>
      </c>
      <c r="F364" s="2" t="s">
        <v>15</v>
      </c>
      <c r="G364" s="2" t="s">
        <v>856</v>
      </c>
      <c r="H364" s="2" t="s">
        <v>38</v>
      </c>
      <c r="I364" s="2" t="str">
        <f>IFERROR(__xludf.DUMMYFUNCTION("GOOGLETRANSLATE(C364,""fr"",""en"")"),"very dissatisfied with the insurance contract. The contract is very little detailed to be able to say no at any request for compensation in the event of an elitige, it hides directly behind the fact that it is not written in the contract but nothing is wr"&amp;"itten in it so it is very easy for them.")</f>
        <v>very dissatisfied with the insurance contract. The contract is very little detailed to be able to say no at any request for compensation in the event of an elitige, it hides directly behind the fact that it is not written in the contract but nothing is written in it so it is very easy for them.</v>
      </c>
    </row>
    <row r="365" ht="15.75" customHeight="1">
      <c r="A365" s="2">
        <v>2.0</v>
      </c>
      <c r="B365" s="2" t="s">
        <v>1120</v>
      </c>
      <c r="C365" s="2" t="s">
        <v>1121</v>
      </c>
      <c r="D365" s="2" t="s">
        <v>139</v>
      </c>
      <c r="E365" s="2" t="s">
        <v>42</v>
      </c>
      <c r="F365" s="2" t="s">
        <v>15</v>
      </c>
      <c r="G365" s="2" t="s">
        <v>1122</v>
      </c>
      <c r="H365" s="2" t="s">
        <v>188</v>
      </c>
      <c r="I365" s="2" t="str">
        <f>IFERROR(__xludf.DUMMYFUNCTION("GOOGLETRANSLATE(C365,""fr"",""en"")"),"When it comes to creating a contract, the service is great! On the other hand to manage a disaster, it's less fun and you will wait, then wait again ... (they never answered my messages on the dedicated site despite two reminders, by the phone, I called o"&amp;"n Monday ' 'Thank you for recalling from Tuesday ""Tuesday I call, endless waiting time. I remember Thursday morning:"" Please remember from 2 pm ""It is 2:26 pm, I have been waiting for 23 minutes ... so suddenly I came to share my experience.")</f>
        <v>When it comes to creating a contract, the service is great! On the other hand to manage a disaster, it's less fun and you will wait, then wait again ... (they never answered my messages on the dedicated site despite two reminders, by the phone, I called on Monday ' 'Thank you for recalling from Tuesday "Tuesday I call, endless waiting time. I remember Thursday morning:" Please remember from 2 pm "It is 2:26 pm, I have been waiting for 23 minutes ... so suddenly I came to share my experience.</v>
      </c>
    </row>
    <row r="366" ht="15.75" customHeight="1">
      <c r="A366" s="2">
        <v>3.0</v>
      </c>
      <c r="B366" s="2" t="s">
        <v>1123</v>
      </c>
      <c r="C366" s="2" t="s">
        <v>1124</v>
      </c>
      <c r="D366" s="2" t="s">
        <v>20</v>
      </c>
      <c r="E366" s="2" t="s">
        <v>21</v>
      </c>
      <c r="F366" s="2" t="s">
        <v>15</v>
      </c>
      <c r="G366" s="2" t="s">
        <v>1125</v>
      </c>
      <c r="H366" s="2" t="s">
        <v>1079</v>
      </c>
      <c r="I366" s="2" t="str">
        <f>IFERROR(__xludf.DUMMYFUNCTION("GOOGLETRANSLATE(C366,""fr"",""en"")"),"Easily reachable customer service (large time slots, even Saturday), operators are kind and courteous, and always listening to you. They are good advice and direct you to the solution best suited to your personal situation, to your particular case.")</f>
        <v>Easily reachable customer service (large time slots, even Saturday), operators are kind and courteous, and always listening to you. They are good advice and direct you to the solution best suited to your personal situation, to your particular case.</v>
      </c>
    </row>
    <row r="367" ht="15.75" customHeight="1">
      <c r="A367" s="2">
        <v>2.0</v>
      </c>
      <c r="B367" s="2" t="s">
        <v>1126</v>
      </c>
      <c r="C367" s="2" t="s">
        <v>1127</v>
      </c>
      <c r="D367" s="2" t="s">
        <v>325</v>
      </c>
      <c r="E367" s="2" t="s">
        <v>283</v>
      </c>
      <c r="F367" s="2" t="s">
        <v>15</v>
      </c>
      <c r="G367" s="2" t="s">
        <v>1128</v>
      </c>
      <c r="H367" s="2" t="s">
        <v>458</v>
      </c>
      <c r="I367" s="2" t="str">
        <f>IFERROR(__xludf.DUMMYFUNCTION("GOOGLETRANSLATE(C367,""fr"",""en"")"),"Hello,
RUN AWAY !!! To avoid absolutely.
For the record, we are happy to have Rouky in our family, a small KC rider of 6 months and today fortunately in great shape.
Following a little jump on your own on the tiles during our vacation, Rouky began "&amp;"to be a bit, so we took him to the veterinarian.
Fortunately before going on vacation we subscribed to the Santevet contract.
But following a rature on the part of the veterinarian on the order at the date (August 5 instead of August 6, and while the "&amp;"right date was registered with 2 two other places on the same order) It was impossible for us to benefit from reimbursements via Santevet.
We therefore returned a prescription redone by the veterinarian without rereading to several of their services. We "&amp;"called several times, had different contacts, sent explanatory emails and letters, ...
Obviously while waiting for a return of health we have suspended the contributions.
Alas the only answer we had from Santevet 4 months later it is a letter in AR th"&amp;"reatening to us with legal proceedings if we do not settle the upper contributions !!!
In short, the sales department is very strong to bait you but after having signed with them, customer service is a pitiful quality !!! You are walking from services "&amp;"to services, there is no communication between them and even less towards customers. Ah if on the phone the ""very friendly"" advisers tell you that there will be no problem, until the day or without warning you you receive a letter threatening to tackle "&amp;"you in court !!!
For my part, I am ready to go to court to prove my good faith for the umpteenth time before sworn, objective and competent people, it is even now a question of principle. But in the meantime that it has been going on for months. So if "&amp;"you want a mutual that can really accompany our friends on all fours serenely throughout their lives, a little advice go your way.
Sincerely
Sylvain
")</f>
        <v>Hello,
RUN AWAY !!! To avoid absolutely.
For the record, we are happy to have Rouky in our family, a small KC rider of 6 months and today fortunately in great shape.
Following a little jump on your own on the tiles during our vacation, Rouky began to be a bit, so we took him to the veterinarian.
Fortunately before going on vacation we subscribed to the Santevet contract.
But following a rature on the part of the veterinarian on the order at the date (August 5 instead of August 6, and while the right date was registered with 2 two other places on the same order) It was impossible for us to benefit from reimbursements via Santevet.
We therefore returned a prescription redone by the veterinarian without rereading to several of their services. We called several times, had different contacts, sent explanatory emails and letters, ...
Obviously while waiting for a return of health we have suspended the contributions.
Alas the only answer we had from Santevet 4 months later it is a letter in AR threatening to us with legal proceedings if we do not settle the upper contributions !!!
In short, the sales department is very strong to bait you but after having signed with them, customer service is a pitiful quality !!! You are walking from services to services, there is no communication between them and even less towards customers. Ah if on the phone the "very friendly" advisers tell you that there will be no problem, until the day or without warning you you receive a letter threatening to tackle you in court !!!
For my part, I am ready to go to court to prove my good faith for the umpteenth time before sworn, objective and competent people, it is even now a question of principle. But in the meantime that it has been going on for months. So if you want a mutual that can really accompany our friends on all fours serenely throughout their lives, a little advice go your way.
Sincerely
Sylvain
</v>
      </c>
    </row>
    <row r="368" ht="15.75" customHeight="1">
      <c r="A368" s="2">
        <v>1.0</v>
      </c>
      <c r="B368" s="2" t="s">
        <v>1129</v>
      </c>
      <c r="C368" s="2" t="s">
        <v>1130</v>
      </c>
      <c r="D368" s="2" t="s">
        <v>20</v>
      </c>
      <c r="E368" s="2" t="s">
        <v>21</v>
      </c>
      <c r="F368" s="2" t="s">
        <v>15</v>
      </c>
      <c r="G368" s="2" t="s">
        <v>1131</v>
      </c>
      <c r="H368" s="2" t="s">
        <v>224</v>
      </c>
      <c r="I368" s="2" t="str">
        <f>IFERROR(__xludf.DUMMYFUNCTION("GOOGLETRANSLATE(C368,""fr"",""en"")"),"Not at all at all attentive, very difficult to reach especially when you arrive a hassle and the worst is that either they hang up on the nose or then the communication is cut while you are in full explanation, and you must do it again All the wait and re"&amp;" -explain everything ...!")</f>
        <v>Not at all at all attentive, very difficult to reach especially when you arrive a hassle and the worst is that either they hang up on the nose or then the communication is cut while you are in full explanation, and you must do it again All the wait and re -explain everything ...!</v>
      </c>
    </row>
    <row r="369" ht="15.75" customHeight="1">
      <c r="A369" s="2">
        <v>3.0</v>
      </c>
      <c r="B369" s="2" t="s">
        <v>1132</v>
      </c>
      <c r="C369" s="2" t="s">
        <v>1133</v>
      </c>
      <c r="D369" s="2" t="s">
        <v>41</v>
      </c>
      <c r="E369" s="2" t="s">
        <v>21</v>
      </c>
      <c r="F369" s="2" t="s">
        <v>15</v>
      </c>
      <c r="G369" s="2" t="s">
        <v>1040</v>
      </c>
      <c r="H369" s="2" t="s">
        <v>199</v>
      </c>
      <c r="I369" s="2" t="str">
        <f>IFERROR(__xludf.DUMMYFUNCTION("GOOGLETRANSLATE(C369,""fr"",""en"")"),"As a result of an online quote, I am recalled by the MAAF to take out a car insurance contract at a very interesting rate (ECO third party offer). Super sympathetic operator, wise advice to group all my contracts within the same insurer and thus obtain ad"&amp;"vantageous prices. The MAAF would have tools allowing the comparison of offers with other insurance companies and thus claims to best meet customer needs.
Convinced by the speech, I validate the offer. Payment in CB by telephone of the 1st month, automat"&amp;"ic and immediate termination of my current contract and meet, the next day, at the Maaf agency of GD Quevilly to register the contract.
I am received by an employee who, to the analysis of my situation statement, informs me that the MAAF will not be able"&amp;" to ensure me beyond the month subscribed due to 2 sinister ice breaks (windshield + optics Antinillard) on 2020. He notifies, in fact, the termination of the insurance contract of one month, barely subscribed and even before it was effective, which is mo"&amp;"re without the possibility of reimbursement of payment. The ubiquitous side: the information statement which was given to me mentions ""no claim"". Who can compete with the MAAF?
")</f>
        <v>As a result of an online quote, I am recalled by the MAAF to take out a car insurance contract at a very interesting rate (ECO third party offer). Super sympathetic operator, wise advice to group all my contracts within the same insurer and thus obtain advantageous prices. The MAAF would have tools allowing the comparison of offers with other insurance companies and thus claims to best meet customer needs.
Convinced by the speech, I validate the offer. Payment in CB by telephone of the 1st month, automatic and immediate termination of my current contract and meet, the next day, at the Maaf agency of GD Quevilly to register the contract.
I am received by an employee who, to the analysis of my situation statement, informs me that the MAAF will not be able to ensure me beyond the month subscribed due to 2 sinister ice breaks (windshield + optics Antinillard) on 2020. He notifies, in fact, the termination of the insurance contract of one month, barely subscribed and even before it was effective, which is more without the possibility of reimbursement of payment. The ubiquitous side: the information statement which was given to me mentions "no claim". Who can compete with the MAAF?
</v>
      </c>
    </row>
    <row r="370" ht="15.75" customHeight="1">
      <c r="A370" s="2">
        <v>4.0</v>
      </c>
      <c r="B370" s="2" t="s">
        <v>1134</v>
      </c>
      <c r="C370" s="2" t="s">
        <v>1135</v>
      </c>
      <c r="D370" s="2" t="s">
        <v>61</v>
      </c>
      <c r="E370" s="2" t="s">
        <v>42</v>
      </c>
      <c r="F370" s="2" t="s">
        <v>15</v>
      </c>
      <c r="G370" s="2" t="s">
        <v>466</v>
      </c>
      <c r="H370" s="2" t="s">
        <v>179</v>
      </c>
      <c r="I370" s="2" t="str">
        <f>IFERROR(__xludf.DUMMYFUNCTION("GOOGLETRANSLATE(C370,""fr"",""en"")"),"Very good value for money. This insurance also supports everyday failures (defective electrical outlet, WC leak without damage caused to third parties etc .......
Speed ​​of execution. Clear control and correct price")</f>
        <v>Very good value for money. This insurance also supports everyday failures (defective electrical outlet, WC leak without damage caused to third parties etc .......
Speed ​​of execution. Clear control and correct price</v>
      </c>
    </row>
    <row r="371" ht="15.75" customHeight="1">
      <c r="A371" s="2">
        <v>1.0</v>
      </c>
      <c r="B371" s="2" t="s">
        <v>1136</v>
      </c>
      <c r="C371" s="2" t="s">
        <v>1137</v>
      </c>
      <c r="D371" s="2" t="s">
        <v>186</v>
      </c>
      <c r="E371" s="2" t="s">
        <v>42</v>
      </c>
      <c r="F371" s="2" t="s">
        <v>15</v>
      </c>
      <c r="G371" s="2" t="s">
        <v>1138</v>
      </c>
      <c r="H371" s="2" t="s">
        <v>63</v>
      </c>
      <c r="I371" s="2" t="str">
        <f>IFERROR(__xludf.DUMMYFUNCTION("GOOGLETRANSLATE(C371,""fr"",""en"")"),"This insurance does everything to discourage you in order to obtain your compensation!")</f>
        <v>This insurance does everything to discourage you in order to obtain your compensation!</v>
      </c>
    </row>
    <row r="372" ht="15.75" customHeight="1">
      <c r="A372" s="2">
        <v>1.0</v>
      </c>
      <c r="B372" s="2" t="s">
        <v>1139</v>
      </c>
      <c r="C372" s="2" t="s">
        <v>1140</v>
      </c>
      <c r="D372" s="2" t="s">
        <v>32</v>
      </c>
      <c r="E372" s="2" t="s">
        <v>21</v>
      </c>
      <c r="F372" s="2" t="s">
        <v>15</v>
      </c>
      <c r="G372" s="2" t="s">
        <v>1141</v>
      </c>
      <c r="H372" s="2" t="s">
        <v>458</v>
      </c>
      <c r="I372" s="2" t="str">
        <f>IFERROR(__xludf.DUMMYFUNCTION("GOOGLETRANSLATE(C372,""fr"",""en"")"),"Voys are not listening to the customer I ask to shift the Date of levy May this is imprisonment the more you priced his dear pair I decide to change insurance this month if")</f>
        <v>Voys are not listening to the customer I ask to shift the Date of levy May this is imprisonment the more you priced his dear pair I decide to change insurance this month if</v>
      </c>
    </row>
    <row r="373" ht="15.75" customHeight="1">
      <c r="A373" s="2">
        <v>2.0</v>
      </c>
      <c r="B373" s="2" t="s">
        <v>1142</v>
      </c>
      <c r="C373" s="2" t="s">
        <v>1143</v>
      </c>
      <c r="D373" s="2" t="s">
        <v>32</v>
      </c>
      <c r="E373" s="2" t="s">
        <v>21</v>
      </c>
      <c r="F373" s="2" t="s">
        <v>15</v>
      </c>
      <c r="G373" s="2" t="s">
        <v>443</v>
      </c>
      <c r="H373" s="2" t="s">
        <v>48</v>
      </c>
      <c r="I373" s="2" t="str">
        <f>IFERROR(__xludf.DUMMYFUNCTION("GOOGLETRANSLATE(C373,""fr"",""en"")"),"Non -functional site. You must constantly reconnect or renew your password. In favorite: ""Your session has expired"" .. painful. It will be enough to orient my choice towards another provider. Service or not. If ""no service"", out")</f>
        <v>Non -functional site. You must constantly reconnect or renew your password. In favorite: "Your session has expired" .. painful. It will be enough to orient my choice towards another provider. Service or not. If "no service", out</v>
      </c>
    </row>
    <row r="374" ht="15.75" customHeight="1">
      <c r="A374" s="2">
        <v>4.0</v>
      </c>
      <c r="B374" s="2" t="s">
        <v>1144</v>
      </c>
      <c r="C374" s="2" t="s">
        <v>1145</v>
      </c>
      <c r="D374" s="2" t="s">
        <v>51</v>
      </c>
      <c r="E374" s="2" t="s">
        <v>52</v>
      </c>
      <c r="F374" s="2" t="s">
        <v>15</v>
      </c>
      <c r="G374" s="2" t="s">
        <v>718</v>
      </c>
      <c r="H374" s="2" t="s">
        <v>23</v>
      </c>
      <c r="I374" s="2" t="str">
        <f>IFERROR(__xludf.DUMMYFUNCTION("GOOGLETRANSLATE(C374,""fr"",""en"")"),"Very good value for money, however, I find a little regrettable when you have several two-wheeled contracts, that we are not an additional commercial gesture, we are offered a reduction on a new contract such as the automobile but not for contracts In pro"&amp;"gress.")</f>
        <v>Very good value for money, however, I find a little regrettable when you have several two-wheeled contracts, that we are not an additional commercial gesture, we are offered a reduction on a new contract such as the automobile but not for contracts In progress.</v>
      </c>
    </row>
    <row r="375" ht="15.75" customHeight="1">
      <c r="A375" s="2">
        <v>5.0</v>
      </c>
      <c r="B375" s="2" t="s">
        <v>1146</v>
      </c>
      <c r="C375" s="2" t="s">
        <v>1147</v>
      </c>
      <c r="D375" s="2" t="s">
        <v>32</v>
      </c>
      <c r="E375" s="2" t="s">
        <v>21</v>
      </c>
      <c r="F375" s="2" t="s">
        <v>15</v>
      </c>
      <c r="G375" s="2" t="s">
        <v>1148</v>
      </c>
      <c r="H375" s="2" t="s">
        <v>58</v>
      </c>
      <c r="I375" s="2" t="str">
        <f>IFERROR(__xludf.DUMMYFUNCTION("GOOGLETRANSLATE(C375,""fr"",""en"")"),"Very satisfied with the service and the speed of being insured.
The site is very easy to use,
Price that remains very correct.
I recommend 100%.")</f>
        <v>Very satisfied with the service and the speed of being insured.
The site is very easy to use,
Price that remains very correct.
I recommend 100%.</v>
      </c>
    </row>
    <row r="376" ht="15.75" customHeight="1">
      <c r="A376" s="2">
        <v>2.0</v>
      </c>
      <c r="B376" s="2" t="s">
        <v>1149</v>
      </c>
      <c r="C376" s="2" t="s">
        <v>1150</v>
      </c>
      <c r="D376" s="2" t="s">
        <v>20</v>
      </c>
      <c r="E376" s="2" t="s">
        <v>21</v>
      </c>
      <c r="F376" s="2" t="s">
        <v>15</v>
      </c>
      <c r="G376" s="2" t="s">
        <v>1151</v>
      </c>
      <c r="H376" s="2" t="s">
        <v>163</v>
      </c>
      <c r="I376" s="2" t="str">
        <f>IFERROR(__xludf.DUMMYFUNCTION("GOOGLETRANSLATE(C376,""fr"",""en"")"),"Be careful, the ice of ice does not understand the optics .... while all my other insurances had it by default.")</f>
        <v>Be careful, the ice of ice does not understand the optics .... while all my other insurances had it by default.</v>
      </c>
    </row>
    <row r="377" ht="15.75" customHeight="1">
      <c r="A377" s="2">
        <v>4.0</v>
      </c>
      <c r="B377" s="2" t="s">
        <v>1152</v>
      </c>
      <c r="C377" s="2" t="s">
        <v>1153</v>
      </c>
      <c r="D377" s="2" t="s">
        <v>20</v>
      </c>
      <c r="E377" s="2" t="s">
        <v>21</v>
      </c>
      <c r="F377" s="2" t="s">
        <v>15</v>
      </c>
      <c r="G377" s="2" t="s">
        <v>1154</v>
      </c>
      <c r="H377" s="2" t="s">
        <v>38</v>
      </c>
      <c r="I377" s="2" t="str">
        <f>IFERROR(__xludf.DUMMYFUNCTION("GOOGLETRANSLATE(C377,""fr"",""en"")"),"Very pleasant and clear advisor.
Support for my part
in the top. Very intuitive website no need to look for things for hours.")</f>
        <v>Very pleasant and clear advisor.
Support for my part
in the top. Very intuitive website no need to look for things for hours.</v>
      </c>
    </row>
    <row r="378" ht="15.75" customHeight="1">
      <c r="A378" s="2">
        <v>4.0</v>
      </c>
      <c r="B378" s="2" t="s">
        <v>1155</v>
      </c>
      <c r="C378" s="2" t="s">
        <v>1156</v>
      </c>
      <c r="D378" s="2" t="s">
        <v>32</v>
      </c>
      <c r="E378" s="2" t="s">
        <v>21</v>
      </c>
      <c r="F378" s="2" t="s">
        <v>15</v>
      </c>
      <c r="G378" s="2" t="s">
        <v>1021</v>
      </c>
      <c r="H378" s="2" t="s">
        <v>54</v>
      </c>
      <c r="I378" s="2" t="str">
        <f>IFERROR(__xludf.DUMMYFUNCTION("GOOGLETRANSLATE(C378,""fr"",""en"")"),"I am happy with the service offer by your agency, I want the rest of the process to go well,
I thank you in advance.
Cordially")</f>
        <v>I am happy with the service offer by your agency, I want the rest of the process to go well,
I thank you in advance.
Cordially</v>
      </c>
    </row>
    <row r="379" ht="15.75" customHeight="1">
      <c r="A379" s="2">
        <v>3.0</v>
      </c>
      <c r="B379" s="2" t="s">
        <v>1157</v>
      </c>
      <c r="C379" s="2" t="s">
        <v>1158</v>
      </c>
      <c r="D379" s="2" t="s">
        <v>32</v>
      </c>
      <c r="E379" s="2" t="s">
        <v>21</v>
      </c>
      <c r="F379" s="2" t="s">
        <v>15</v>
      </c>
      <c r="G379" s="2" t="s">
        <v>1159</v>
      </c>
      <c r="H379" s="2" t="s">
        <v>110</v>
      </c>
      <c r="I379" s="2" t="str">
        <f>IFERROR(__xludf.DUMMYFUNCTION("GOOGLETRANSLATE(C379,""fr"",""en"")"),"I would like to ensure in any risk obviously the price is affordable but it would really be even better if the price for a little because it is a car with which I do not think to drive a lot")</f>
        <v>I would like to ensure in any risk obviously the price is affordable but it would really be even better if the price for a little because it is a car with which I do not think to drive a lot</v>
      </c>
    </row>
    <row r="380" ht="15.75" customHeight="1">
      <c r="A380" s="2">
        <v>1.0</v>
      </c>
      <c r="B380" s="2" t="s">
        <v>1160</v>
      </c>
      <c r="C380" s="2" t="s">
        <v>1161</v>
      </c>
      <c r="D380" s="2" t="s">
        <v>186</v>
      </c>
      <c r="E380" s="2" t="s">
        <v>21</v>
      </c>
      <c r="F380" s="2" t="s">
        <v>15</v>
      </c>
      <c r="G380" s="2" t="s">
        <v>1162</v>
      </c>
      <c r="H380" s="2" t="s">
        <v>860</v>
      </c>
      <c r="I380" s="2" t="str">
        <f>IFERROR(__xludf.DUMMYFUNCTION("GOOGLETRANSLATE(C380,""fr"",""en"")"),"Flee insurance !! 4 months to terminate the insurance of a car after its sale. Selling certificate, which is said to be received despite the fact that the mail is sending by registered mail. Sends a new copy of the certificate via the banking agency and a"&amp;"gain a reaction from Pacifica. We are always taken for this insurance and those 4 months after sending the sales certificate. Fortunately there was no claim. Deplorable attitude of telephone agents.")</f>
        <v>Flee insurance !! 4 months to terminate the insurance of a car after its sale. Selling certificate, which is said to be received despite the fact that the mail is sending by registered mail. Sends a new copy of the certificate via the banking agency and again a reaction from Pacifica. We are always taken for this insurance and those 4 months after sending the sales certificate. Fortunately there was no claim. Deplorable attitude of telephone agents.</v>
      </c>
    </row>
    <row r="381" ht="15.75" customHeight="1">
      <c r="A381" s="2">
        <v>5.0</v>
      </c>
      <c r="B381" s="2" t="s">
        <v>1163</v>
      </c>
      <c r="C381" s="2" t="s">
        <v>1164</v>
      </c>
      <c r="D381" s="2" t="s">
        <v>32</v>
      </c>
      <c r="E381" s="2" t="s">
        <v>21</v>
      </c>
      <c r="F381" s="2" t="s">
        <v>15</v>
      </c>
      <c r="G381" s="2" t="s">
        <v>1165</v>
      </c>
      <c r="H381" s="2" t="s">
        <v>87</v>
      </c>
      <c r="I381" s="2" t="str">
        <f>IFERROR(__xludf.DUMMYFUNCTION("GOOGLETRANSLATE(C381,""fr"",""en"")"),"I am very satisfied with my insurance company both in terms of the automobile and on the housing part I recommend the direct insurance company")</f>
        <v>I am very satisfied with my insurance company both in terms of the automobile and on the housing part I recommend the direct insurance company</v>
      </c>
    </row>
    <row r="382" ht="15.75" customHeight="1">
      <c r="A382" s="2">
        <v>3.0</v>
      </c>
      <c r="B382" s="2" t="s">
        <v>1166</v>
      </c>
      <c r="C382" s="2" t="s">
        <v>1167</v>
      </c>
      <c r="D382" s="2" t="s">
        <v>222</v>
      </c>
      <c r="E382" s="2" t="s">
        <v>544</v>
      </c>
      <c r="F382" s="2" t="s">
        <v>15</v>
      </c>
      <c r="G382" s="2" t="s">
        <v>1168</v>
      </c>
      <c r="H382" s="2" t="s">
        <v>228</v>
      </c>
      <c r="I382" s="2" t="str">
        <f>IFERROR(__xludf.DUMMYFUNCTION("GOOGLETRANSLATE(C382,""fr"",""en"")"),"TNS provident refusal for obesity.
Even if it is legal, humanly it says everything about this insurer. This kind of discrimination makes me vomit!
This insurance is to flee ...")</f>
        <v>TNS provident refusal for obesity.
Even if it is legal, humanly it says everything about this insurer. This kind of discrimination makes me vomit!
This insurance is to flee ...</v>
      </c>
    </row>
    <row r="383" ht="15.75" customHeight="1">
      <c r="A383" s="2">
        <v>3.0</v>
      </c>
      <c r="B383" s="2" t="s">
        <v>1169</v>
      </c>
      <c r="C383" s="2" t="s">
        <v>1170</v>
      </c>
      <c r="D383" s="2" t="s">
        <v>41</v>
      </c>
      <c r="E383" s="2" t="s">
        <v>21</v>
      </c>
      <c r="F383" s="2" t="s">
        <v>15</v>
      </c>
      <c r="G383" s="2" t="s">
        <v>1171</v>
      </c>
      <c r="H383" s="2" t="s">
        <v>860</v>
      </c>
      <c r="I383" s="2" t="str">
        <f>IFERROR(__xludf.DUMMYFUNCTION("GOOGLETRANSLATE(C383,""fr"",""en"")"),"More than 30% more expensive than Gan for the same services ............. !!")</f>
        <v>More than 30% more expensive than Gan for the same services ............. !!</v>
      </c>
    </row>
    <row r="384" ht="15.75" customHeight="1">
      <c r="A384" s="2">
        <v>2.0</v>
      </c>
      <c r="B384" s="2" t="s">
        <v>1172</v>
      </c>
      <c r="C384" s="2" t="s">
        <v>1173</v>
      </c>
      <c r="D384" s="2" t="s">
        <v>13</v>
      </c>
      <c r="E384" s="2" t="s">
        <v>14</v>
      </c>
      <c r="F384" s="2" t="s">
        <v>15</v>
      </c>
      <c r="G384" s="2" t="s">
        <v>1174</v>
      </c>
      <c r="H384" s="2" t="s">
        <v>199</v>
      </c>
      <c r="I384" s="2" t="str">
        <f>IFERROR(__xludf.DUMMYFUNCTION("GOOGLETRANSLATE(C384,""fr"",""en"")"),"Santiane is perhaps the largest French broker on the other hand its management center: Mutua Gestion is not good at all. You are obliged to check all the reimbursements, otherwise no reimbursements once in two.")</f>
        <v>Santiane is perhaps the largest French broker on the other hand its management center: Mutua Gestion is not good at all. You are obliged to check all the reimbursements, otherwise no reimbursements once in two.</v>
      </c>
    </row>
    <row r="385" ht="15.75" customHeight="1">
      <c r="A385" s="2">
        <v>4.0</v>
      </c>
      <c r="B385" s="2" t="s">
        <v>1175</v>
      </c>
      <c r="C385" s="2" t="s">
        <v>1176</v>
      </c>
      <c r="D385" s="2" t="s">
        <v>20</v>
      </c>
      <c r="E385" s="2" t="s">
        <v>21</v>
      </c>
      <c r="F385" s="2" t="s">
        <v>15</v>
      </c>
      <c r="G385" s="2" t="s">
        <v>1177</v>
      </c>
      <c r="H385" s="2" t="s">
        <v>58</v>
      </c>
      <c r="I385" s="2" t="str">
        <f>IFERROR(__xludf.DUMMYFUNCTION("GOOGLETRANSLATE(C385,""fr"",""en"")"),"I am satisfied with the prices proposed by the Olivier. I think I made the right choice even if I was already a customer. The service is very good and the system to sign electronically pleases me.")</f>
        <v>I am satisfied with the prices proposed by the Olivier. I think I made the right choice even if I was already a customer. The service is very good and the system to sign electronically pleases me.</v>
      </c>
    </row>
    <row r="386" ht="15.75" customHeight="1">
      <c r="A386" s="2">
        <v>4.0</v>
      </c>
      <c r="B386" s="2" t="s">
        <v>1178</v>
      </c>
      <c r="C386" s="2" t="s">
        <v>1179</v>
      </c>
      <c r="D386" s="2" t="s">
        <v>20</v>
      </c>
      <c r="E386" s="2" t="s">
        <v>21</v>
      </c>
      <c r="F386" s="2" t="s">
        <v>15</v>
      </c>
      <c r="G386" s="2" t="s">
        <v>1180</v>
      </c>
      <c r="H386" s="2" t="s">
        <v>23</v>
      </c>
      <c r="I386" s="2" t="str">
        <f>IFERROR(__xludf.DUMMYFUNCTION("GOOGLETRANSLATE(C386,""fr"",""en"")"),"I am satisfied,
Apart from the vehicle in storage for repair or car break, after studying costs.
I thank the telephone service
Cordially,
Frédéric Rodrigues")</f>
        <v>I am satisfied,
Apart from the vehicle in storage for repair or car break, after studying costs.
I thank the telephone service
Cordially,
Frédéric Rodrigues</v>
      </c>
    </row>
    <row r="387" ht="15.75" customHeight="1">
      <c r="A387" s="2">
        <v>1.0</v>
      </c>
      <c r="B387" s="2" t="s">
        <v>1181</v>
      </c>
      <c r="C387" s="2" t="s">
        <v>1182</v>
      </c>
      <c r="D387" s="2" t="s">
        <v>1183</v>
      </c>
      <c r="E387" s="2" t="s">
        <v>544</v>
      </c>
      <c r="F387" s="2" t="s">
        <v>15</v>
      </c>
      <c r="G387" s="2" t="s">
        <v>1184</v>
      </c>
      <c r="H387" s="2" t="s">
        <v>406</v>
      </c>
      <c r="I387" s="2" t="str">
        <f>IFERROR(__xludf.DUMMYFUNCTION("GOOGLETRANSLATE(C387,""fr"",""en"")"),"Directory processing times including incredibly long action savings repurchase (three months)
Interlocutors unable to inform you and particularly difficult to reach
No communication between services
No answers to recommended letters and complaints via "&amp;"the dedicated mailbox ....
Unable to justify a taxation that they are the only ones to apply and which should not be deducted
")</f>
        <v>Directory processing times including incredibly long action savings repurchase (three months)
Interlocutors unable to inform you and particularly difficult to reach
No communication between services
No answers to recommended letters and complaints via the dedicated mailbox ....
Unable to justify a taxation that they are the only ones to apply and which should not be deducted
</v>
      </c>
    </row>
    <row r="388" ht="15.75" customHeight="1">
      <c r="A388" s="2">
        <v>4.0</v>
      </c>
      <c r="B388" s="2" t="s">
        <v>1185</v>
      </c>
      <c r="C388" s="2" t="s">
        <v>1186</v>
      </c>
      <c r="D388" s="2" t="s">
        <v>20</v>
      </c>
      <c r="E388" s="2" t="s">
        <v>21</v>
      </c>
      <c r="F388" s="2" t="s">
        <v>15</v>
      </c>
      <c r="G388" s="2" t="s">
        <v>1187</v>
      </c>
      <c r="H388" s="2" t="s">
        <v>38</v>
      </c>
      <c r="I388" s="2" t="str">
        <f>IFERROR(__xludf.DUMMYFUNCTION("GOOGLETRANSLATE(C388,""fr"",""en"")"),"I am satisfied with my exchange with the advisor. timeliness. The signature was rapid. I discover the extra net. For the moment I am satisfied with the service offered. If this is going well I would change all of my insurance (Housing and Auto of my partn"&amp;"er).")</f>
        <v>I am satisfied with my exchange with the advisor. timeliness. The signature was rapid. I discover the extra net. For the moment I am satisfied with the service offered. If this is going well I would change all of my insurance (Housing and Auto of my partner).</v>
      </c>
    </row>
    <row r="389" ht="15.75" customHeight="1">
      <c r="A389" s="2">
        <v>4.0</v>
      </c>
      <c r="B389" s="2" t="s">
        <v>1188</v>
      </c>
      <c r="C389" s="2" t="s">
        <v>1189</v>
      </c>
      <c r="D389" s="2" t="s">
        <v>139</v>
      </c>
      <c r="E389" s="2" t="s">
        <v>21</v>
      </c>
      <c r="F389" s="2" t="s">
        <v>15</v>
      </c>
      <c r="G389" s="2" t="s">
        <v>291</v>
      </c>
      <c r="H389" s="2" t="s">
        <v>54</v>
      </c>
      <c r="I389" s="2" t="str">
        <f>IFERROR(__xludf.DUMMYFUNCTION("GOOGLETRANSLATE(C389,""fr"",""en"")"),"I am satisfied, the contracts are honest. The site is easy to use. I have all my contracts at GMF, good value for money.
I recommend
")</f>
        <v>I am satisfied, the contracts are honest. The site is easy to use. I have all my contracts at GMF, good value for money.
I recommend
</v>
      </c>
    </row>
    <row r="390" ht="15.75" customHeight="1">
      <c r="A390" s="2">
        <v>5.0</v>
      </c>
      <c r="B390" s="2" t="s">
        <v>1190</v>
      </c>
      <c r="C390" s="2" t="s">
        <v>1191</v>
      </c>
      <c r="D390" s="2" t="s">
        <v>20</v>
      </c>
      <c r="E390" s="2" t="s">
        <v>21</v>
      </c>
      <c r="F390" s="2" t="s">
        <v>15</v>
      </c>
      <c r="G390" s="2" t="s">
        <v>208</v>
      </c>
      <c r="H390" s="2" t="s">
        <v>58</v>
      </c>
      <c r="I390" s="2" t="str">
        <f>IFERROR(__xludf.DUMMYFUNCTION("GOOGLETRANSLATE(C390,""fr"",""en"")"),"I am very satisfied with my insurance and at the level of the magnificent price I fully recomme your service and thank you again and thank you .............")</f>
        <v>I am very satisfied with my insurance and at the level of the magnificent price I fully recomme your service and thank you again and thank you .............</v>
      </c>
    </row>
    <row r="391" ht="15.75" customHeight="1">
      <c r="A391" s="2">
        <v>3.0</v>
      </c>
      <c r="B391" s="2" t="s">
        <v>1192</v>
      </c>
      <c r="C391" s="2" t="s">
        <v>1193</v>
      </c>
      <c r="D391" s="2" t="s">
        <v>139</v>
      </c>
      <c r="E391" s="2" t="s">
        <v>21</v>
      </c>
      <c r="F391" s="2" t="s">
        <v>15</v>
      </c>
      <c r="G391" s="2" t="s">
        <v>269</v>
      </c>
      <c r="H391" s="2" t="s">
        <v>54</v>
      </c>
      <c r="I391" s="2" t="str">
        <f>IFERROR(__xludf.DUMMYFUNCTION("GOOGLETRANSLATE(C391,""fr"",""en"")"),"Asking for my opinion from each faith begins to weigh me. I don't have time to spend hours telling my life to have a certificate, if I didn't want to be at home you will be notified!")</f>
        <v>Asking for my opinion from each faith begins to weigh me. I don't have time to spend hours telling my life to have a certificate, if I didn't want to be at home you will be notified!</v>
      </c>
    </row>
    <row r="392" ht="15.75" customHeight="1">
      <c r="A392" s="2">
        <v>1.0</v>
      </c>
      <c r="B392" s="2" t="s">
        <v>1194</v>
      </c>
      <c r="C392" s="2" t="s">
        <v>1195</v>
      </c>
      <c r="D392" s="2" t="s">
        <v>1085</v>
      </c>
      <c r="E392" s="2" t="s">
        <v>128</v>
      </c>
      <c r="F392" s="2" t="s">
        <v>15</v>
      </c>
      <c r="G392" s="2" t="s">
        <v>1196</v>
      </c>
      <c r="H392" s="2" t="s">
        <v>378</v>
      </c>
      <c r="I392" s="2" t="str">
        <f>IFERROR(__xludf.DUMMYFUNCTION("GOOGLETRANSLATE(C392,""fr"",""en"")"),"The scandal is that this cardif insurer is also a bank and a credit company through Cetelem does not provide a minimum annual statement for consumer credit borrowing insurance. Even when the credit is sold or liquidated as part of an over -indebtedness pr"&amp;"ocedure, the monthly payment continues. The other difficulty is that Cardif Insurance hides and does not communicate its contact details. You have to go through a messaging or investigate the internet to discover several addresses without really knowing w"&amp;"hich is the right one. Everything is done to save time and drop further the termination. There is no little profit. !!")</f>
        <v>The scandal is that this cardif insurer is also a bank and a credit company through Cetelem does not provide a minimum annual statement for consumer credit borrowing insurance. Even when the credit is sold or liquidated as part of an over -indebtedness procedure, the monthly payment continues. The other difficulty is that Cardif Insurance hides and does not communicate its contact details. You have to go through a messaging or investigate the internet to discover several addresses without really knowing which is the right one. Everything is done to save time and drop further the termination. There is no little profit. !!</v>
      </c>
    </row>
    <row r="393" ht="15.75" customHeight="1">
      <c r="A393" s="2">
        <v>3.0</v>
      </c>
      <c r="B393" s="2" t="s">
        <v>1197</v>
      </c>
      <c r="C393" s="2" t="s">
        <v>1198</v>
      </c>
      <c r="D393" s="2" t="s">
        <v>113</v>
      </c>
      <c r="E393" s="2" t="s">
        <v>21</v>
      </c>
      <c r="F393" s="2" t="s">
        <v>15</v>
      </c>
      <c r="G393" s="2" t="s">
        <v>1199</v>
      </c>
      <c r="H393" s="2" t="s">
        <v>876</v>
      </c>
      <c r="I393" s="2" t="str">
        <f>IFERROR(__xludf.DUMMYFUNCTION("GOOGLETRANSLATE(C393,""fr"",""en"")"),"Insured since 1999 all my cars I had a non -responsible disaster they were responsive and effective there are many agencies")</f>
        <v>Insured since 1999 all my cars I had a non -responsible disaster they were responsive and effective there are many agencies</v>
      </c>
    </row>
    <row r="394" ht="15.75" customHeight="1">
      <c r="A394" s="2">
        <v>1.0</v>
      </c>
      <c r="B394" s="2" t="s">
        <v>1200</v>
      </c>
      <c r="C394" s="2" t="s">
        <v>1201</v>
      </c>
      <c r="D394" s="2" t="s">
        <v>543</v>
      </c>
      <c r="E394" s="2" t="s">
        <v>14</v>
      </c>
      <c r="F394" s="2" t="s">
        <v>15</v>
      </c>
      <c r="G394" s="2" t="s">
        <v>1202</v>
      </c>
      <c r="H394" s="2" t="s">
        <v>306</v>
      </c>
      <c r="I394" s="2" t="str">
        <f>IFERROR(__xludf.DUMMYFUNCTION("GOOGLETRANSLATE(C394,""fr"",""en"")"),"I do not understand that my employer has chosen this mutual")</f>
        <v>I do not understand that my employer has chosen this mutual</v>
      </c>
    </row>
    <row r="395" ht="15.75" customHeight="1">
      <c r="A395" s="2">
        <v>5.0</v>
      </c>
      <c r="B395" s="2" t="s">
        <v>1203</v>
      </c>
      <c r="C395" s="2" t="s">
        <v>1204</v>
      </c>
      <c r="D395" s="2" t="s">
        <v>20</v>
      </c>
      <c r="E395" s="2" t="s">
        <v>21</v>
      </c>
      <c r="F395" s="2" t="s">
        <v>15</v>
      </c>
      <c r="G395" s="2" t="s">
        <v>1091</v>
      </c>
      <c r="H395" s="2" t="s">
        <v>54</v>
      </c>
      <c r="I395" s="2" t="str">
        <f>IFERROR(__xludf.DUMMYFUNCTION("GOOGLETRANSLATE(C395,""fr"",""en"")"),"Very satisfied with the service offered and the prices charged. To date, this is the best value for money that I have been able to find. To see later.")</f>
        <v>Very satisfied with the service offered and the prices charged. To date, this is the best value for money that I have been able to find. To see later.</v>
      </c>
    </row>
    <row r="396" ht="15.75" customHeight="1">
      <c r="A396" s="2">
        <v>4.0</v>
      </c>
      <c r="B396" s="2" t="s">
        <v>1205</v>
      </c>
      <c r="C396" s="2" t="s">
        <v>1206</v>
      </c>
      <c r="D396" s="2" t="s">
        <v>20</v>
      </c>
      <c r="E396" s="2" t="s">
        <v>21</v>
      </c>
      <c r="F396" s="2" t="s">
        <v>15</v>
      </c>
      <c r="G396" s="2" t="s">
        <v>1207</v>
      </c>
      <c r="H396" s="2" t="s">
        <v>23</v>
      </c>
      <c r="I396" s="2" t="str">
        <f>IFERROR(__xludf.DUMMYFUNCTION("GOOGLETRANSLATE(C396,""fr"",""en"")"),"I am satisfied, not expensive
Online signature and be able to be insured the same day and quickly to be able to go on the safe road")</f>
        <v>I am satisfied, not expensive
Online signature and be able to be insured the same day and quickly to be able to go on the safe road</v>
      </c>
    </row>
    <row r="397" ht="15.75" customHeight="1">
      <c r="A397" s="2">
        <v>1.0</v>
      </c>
      <c r="B397" s="2" t="s">
        <v>1208</v>
      </c>
      <c r="C397" s="2" t="s">
        <v>1209</v>
      </c>
      <c r="D397" s="2" t="s">
        <v>287</v>
      </c>
      <c r="E397" s="2" t="s">
        <v>283</v>
      </c>
      <c r="F397" s="2" t="s">
        <v>15</v>
      </c>
      <c r="G397" s="2" t="s">
        <v>443</v>
      </c>
      <c r="H397" s="2" t="s">
        <v>48</v>
      </c>
      <c r="I397" s="2" t="str">
        <f>IFERROR(__xludf.DUMMYFUNCTION("GOOGLETRANSLATE(C397,""fr"",""en"")"),"To ban. Very disappointed with this insurance which is not listening to its subscribers. I am a disgust by the lack of respectability and their bad time. If you want to subscribe especially to flee and look for some more conscientious")</f>
        <v>To ban. Very disappointed with this insurance which is not listening to its subscribers. I am a disgust by the lack of respectability and their bad time. If you want to subscribe especially to flee and look for some more conscientious</v>
      </c>
    </row>
    <row r="398" ht="15.75" customHeight="1">
      <c r="A398" s="2">
        <v>5.0</v>
      </c>
      <c r="B398" s="2" t="s">
        <v>1210</v>
      </c>
      <c r="C398" s="2" t="s">
        <v>1211</v>
      </c>
      <c r="D398" s="2" t="s">
        <v>146</v>
      </c>
      <c r="E398" s="2" t="s">
        <v>52</v>
      </c>
      <c r="F398" s="2" t="s">
        <v>15</v>
      </c>
      <c r="G398" s="2" t="s">
        <v>733</v>
      </c>
      <c r="H398" s="2" t="s">
        <v>87</v>
      </c>
      <c r="I398" s="2" t="str">
        <f>IFERROR(__xludf.DUMMYFUNCTION("GOOGLETRANSLATE(C398,""fr"",""en"")"),"I am very satisfied thank you the price sound very affordable thank you again top top top top top top top top top I will recommend but friend is entourage")</f>
        <v>I am very satisfied thank you the price sound very affordable thank you again top top top top top top top top top I will recommend but friend is entourage</v>
      </c>
    </row>
    <row r="399" ht="15.75" customHeight="1">
      <c r="A399" s="2">
        <v>3.0</v>
      </c>
      <c r="B399" s="2" t="s">
        <v>1212</v>
      </c>
      <c r="C399" s="2" t="s">
        <v>1213</v>
      </c>
      <c r="D399" s="2" t="s">
        <v>32</v>
      </c>
      <c r="E399" s="2" t="s">
        <v>21</v>
      </c>
      <c r="F399" s="2" t="s">
        <v>15</v>
      </c>
      <c r="G399" s="2" t="s">
        <v>1021</v>
      </c>
      <c r="H399" s="2" t="s">
        <v>54</v>
      </c>
      <c r="I399" s="2" t="str">
        <f>IFERROR(__xludf.DUMMYFUNCTION("GOOGLETRANSLATE(C399,""fr"",""en"")"),"I was already a client a while ago and I never encountered a problem. The prices are reasonable the approach was simple and rather practical.")</f>
        <v>I was already a client a while ago and I never encountered a problem. The prices are reasonable the approach was simple and rather practical.</v>
      </c>
    </row>
    <row r="400" ht="15.75" customHeight="1">
      <c r="A400" s="2">
        <v>1.0</v>
      </c>
      <c r="B400" s="2" t="s">
        <v>1214</v>
      </c>
      <c r="C400" s="2" t="s">
        <v>1215</v>
      </c>
      <c r="D400" s="2" t="s">
        <v>20</v>
      </c>
      <c r="E400" s="2" t="s">
        <v>21</v>
      </c>
      <c r="F400" s="2" t="s">
        <v>15</v>
      </c>
      <c r="G400" s="2" t="s">
        <v>1216</v>
      </c>
      <c r="H400" s="2" t="s">
        <v>454</v>
      </c>
      <c r="I400" s="2" t="str">
        <f>IFERROR(__xludf.DUMMYFUNCTION("GOOGLETRANSLATE(C400,""fr"",""en"")"),"An incredible story! The olive tree awarded me the plate number of another customer ... Of course the latter had an accident and they responsible me for this accident !!! I spent 6 weeks contacting them, sending recommended Couriers, trying to have inform"&amp;"ation on this delirium to understand the situation and justify that it was not me! It could have been resolved in a call to the competitor insurer but no! They drag, do not put themselves in the place of the client and put me in an incredible situation be"&amp;"cause I ended up with penalty and exorbitant contributions to pay to make sure ... Without my steps, my multiple calls , reminders and couriers, I will always be at the same point because the olive tree was unable to tell me with whom and where this accid"&amp;"ent took place (no no, no observation ...). In addition to that, the day when you happen to you a disaster (or the disaster of another), they contact you by email ... Yes a simple email! Without restart ... if the email goes to the unwanted Couriers or if"&amp;" you change your email address you are screwed up! Insurance to flee !!")</f>
        <v>An incredible story! The olive tree awarded me the plate number of another customer ... Of course the latter had an accident and they responsible me for this accident !!! I spent 6 weeks contacting them, sending recommended Couriers, trying to have information on this delirium to understand the situation and justify that it was not me! It could have been resolved in a call to the competitor insurer but no! They drag, do not put themselves in the place of the client and put me in an incredible situation because I ended up with penalty and exorbitant contributions to pay to make sure ... Without my steps, my multiple calls , reminders and couriers, I will always be at the same point because the olive tree was unable to tell me with whom and where this accident took place (no no, no observation ...). In addition to that, the day when you happen to you a disaster (or the disaster of another), they contact you by email ... Yes a simple email! Without restart ... if the email goes to the unwanted Couriers or if you change your email address you are screwed up! Insurance to flee !!</v>
      </c>
    </row>
    <row r="401" ht="15.75" customHeight="1">
      <c r="A401" s="2">
        <v>2.0</v>
      </c>
      <c r="B401" s="2" t="s">
        <v>1217</v>
      </c>
      <c r="C401" s="2" t="s">
        <v>1218</v>
      </c>
      <c r="D401" s="2" t="s">
        <v>32</v>
      </c>
      <c r="E401" s="2" t="s">
        <v>21</v>
      </c>
      <c r="F401" s="2" t="s">
        <v>15</v>
      </c>
      <c r="G401" s="2" t="s">
        <v>679</v>
      </c>
      <c r="H401" s="2" t="s">
        <v>87</v>
      </c>
      <c r="I401" s="2" t="str">
        <f>IFERROR(__xludf.DUMMYFUNCTION("GOOGLETRANSLATE(C401,""fr"",""en"")"),"I made an accident declaration to Direct Insurance for a claim in my absence. The car was parked in the street and it is a district in full transformation. I come back and there I see that my rear was damaged, the fire broken. Obviously no small paper or "&amp;"witnesses to confirm so I pick up the pieces of the fire while moaning and go. I am assured at all risks and therefore calm down once, the next day I phone the insurance, explains things, I am asked to make a handwritten declaration and photos of the dama"&amp;"ge. I do and send it all, I am told that we come to pick up the car to take it to the bodybuilder and that the expert will pass. Surprise then because the ""expert"" calls me and direct doubts my statement, I feel like a liar and therefore insult. I confi"&amp;"rm the thing, send photos of the place with large machinery, trucks etc ...
Neither their ""expert"" office nor the insurance never answered me except to send me an email telling me that he refused to cover the costs. We pay for any risk insurance and th"&amp;"at's the result. BCA Expertise are incompetent and customers at Direct Insurance for milk cows.")</f>
        <v>I made an accident declaration to Direct Insurance for a claim in my absence. The car was parked in the street and it is a district in full transformation. I come back and there I see that my rear was damaged, the fire broken. Obviously no small paper or witnesses to confirm so I pick up the pieces of the fire while moaning and go. I am assured at all risks and therefore calm down once, the next day I phone the insurance, explains things, I am asked to make a handwritten declaration and photos of the damage. I do and send it all, I am told that we come to pick up the car to take it to the bodybuilder and that the expert will pass. Surprise then because the "expert" calls me and direct doubts my statement, I feel like a liar and therefore insult. I confirm the thing, send photos of the place with large machinery, trucks etc ...
Neither their "expert" office nor the insurance never answered me except to send me an email telling me that he refused to cover the costs. We pay for any risk insurance and that's the result. BCA Expertise are incompetent and customers at Direct Insurance for milk cows.</v>
      </c>
    </row>
    <row r="402" ht="15.75" customHeight="1">
      <c r="A402" s="2">
        <v>3.0</v>
      </c>
      <c r="B402" s="2" t="s">
        <v>1219</v>
      </c>
      <c r="C402" s="2" t="s">
        <v>1220</v>
      </c>
      <c r="D402" s="2" t="s">
        <v>20</v>
      </c>
      <c r="E402" s="2" t="s">
        <v>21</v>
      </c>
      <c r="F402" s="2" t="s">
        <v>15</v>
      </c>
      <c r="G402" s="2" t="s">
        <v>1221</v>
      </c>
      <c r="H402" s="2" t="s">
        <v>385</v>
      </c>
      <c r="I402" s="2" t="str">
        <f>IFERROR(__xludf.DUMMYFUNCTION("GOOGLETRANSLATE(C402,""fr"",""en"")"),"I have had my non -responsible accident for 9 months and still no reimbursement payment,")</f>
        <v>I have had my non -responsible accident for 9 months and still no reimbursement payment,</v>
      </c>
    </row>
    <row r="403" ht="15.75" customHeight="1">
      <c r="A403" s="2">
        <v>1.0</v>
      </c>
      <c r="B403" s="2" t="s">
        <v>1222</v>
      </c>
      <c r="C403" s="2" t="s">
        <v>1223</v>
      </c>
      <c r="D403" s="2" t="s">
        <v>41</v>
      </c>
      <c r="E403" s="2" t="s">
        <v>42</v>
      </c>
      <c r="F403" s="2" t="s">
        <v>15</v>
      </c>
      <c r="G403" s="2" t="s">
        <v>1224</v>
      </c>
      <c r="H403" s="2" t="s">
        <v>842</v>
      </c>
      <c r="I403" s="2" t="str">
        <f>IFERROR(__xludf.DUMMYFUNCTION("GOOGLETRANSLATE(C403,""fr"",""en"")"),"For me as for us all the agencies whether MMA or Maaf or other we all have paid to be insured in the event of a disaster but when it arrives they give you misery and to receive them you have to be more than patient and With his SE is not everything he bre"&amp;"aks the contract so we are more guaranteed anywhere but we are obliging his for me is not normal")</f>
        <v>For me as for us all the agencies whether MMA or Maaf or other we all have paid to be insured in the event of a disaster but when it arrives they give you misery and to receive them you have to be more than patient and With his SE is not everything he breaks the contract so we are more guaranteed anywhere but we are obliging his for me is not normal</v>
      </c>
    </row>
    <row r="404" ht="15.75" customHeight="1">
      <c r="A404" s="2">
        <v>1.0</v>
      </c>
      <c r="B404" s="2" t="s">
        <v>1225</v>
      </c>
      <c r="C404" s="2" t="s">
        <v>1226</v>
      </c>
      <c r="D404" s="2" t="s">
        <v>434</v>
      </c>
      <c r="E404" s="2" t="s">
        <v>14</v>
      </c>
      <c r="F404" s="2" t="s">
        <v>15</v>
      </c>
      <c r="G404" s="2" t="s">
        <v>1227</v>
      </c>
      <c r="H404" s="2" t="s">
        <v>95</v>
      </c>
      <c r="I404" s="2" t="str">
        <f>IFERROR(__xludf.DUMMYFUNCTION("GOOGLETRANSLATE(C404,""fr"",""en"")"),"A real stew that thinks only for profit.
I strongly advise against!
And if you decide to go home.
1. Do not talk about your background, a simple sowing and you will have to pay the higher price.
2. Just don't fall sick.")</f>
        <v>A real stew that thinks only for profit.
I strongly advise against!
And if you decide to go home.
1. Do not talk about your background, a simple sowing and you will have to pay the higher price.
2. Just don't fall sick.</v>
      </c>
    </row>
    <row r="405" ht="15.75" customHeight="1">
      <c r="A405" s="2">
        <v>5.0</v>
      </c>
      <c r="B405" s="2" t="s">
        <v>1228</v>
      </c>
      <c r="C405" s="2" t="s">
        <v>1229</v>
      </c>
      <c r="D405" s="2" t="s">
        <v>32</v>
      </c>
      <c r="E405" s="2" t="s">
        <v>21</v>
      </c>
      <c r="F405" s="2" t="s">
        <v>15</v>
      </c>
      <c r="G405" s="2" t="s">
        <v>727</v>
      </c>
      <c r="H405" s="2" t="s">
        <v>95</v>
      </c>
      <c r="I405" s="2" t="str">
        <f>IFERROR(__xludf.DUMMYFUNCTION("GOOGLETRANSLATE(C405,""fr"",""en"")"),"Simple fast and efficient with a small bonus not negligible ""youdrive"" you drive well you are rewarded;)
A super functional application.
Customer service with little care
well done")</f>
        <v>Simple fast and efficient with a small bonus not negligible "youdrive" you drive well you are rewarded;)
A super functional application.
Customer service with little care
well done</v>
      </c>
    </row>
    <row r="406" ht="15.75" customHeight="1">
      <c r="A406" s="2">
        <v>5.0</v>
      </c>
      <c r="B406" s="2" t="s">
        <v>1230</v>
      </c>
      <c r="C406" s="2" t="s">
        <v>1231</v>
      </c>
      <c r="D406" s="2" t="s">
        <v>32</v>
      </c>
      <c r="E406" s="2" t="s">
        <v>21</v>
      </c>
      <c r="F406" s="2" t="s">
        <v>15</v>
      </c>
      <c r="G406" s="2" t="s">
        <v>1187</v>
      </c>
      <c r="H406" s="2" t="s">
        <v>38</v>
      </c>
      <c r="I406" s="2" t="str">
        <f>IFERROR(__xludf.DUMMYFUNCTION("GOOGLETRANSLATE(C406,""fr"",""en"")"),"Perfect, very good value for money! I do not regret having taken my insurance at Direct Insurance, I would recommend everyone in my entourage")</f>
        <v>Perfect, very good value for money! I do not regret having taken my insurance at Direct Insurance, I would recommend everyone in my entourage</v>
      </c>
    </row>
    <row r="407" ht="15.75" customHeight="1">
      <c r="A407" s="2">
        <v>2.0</v>
      </c>
      <c r="B407" s="2" t="s">
        <v>1232</v>
      </c>
      <c r="C407" s="2" t="s">
        <v>1233</v>
      </c>
      <c r="D407" s="2" t="s">
        <v>150</v>
      </c>
      <c r="E407" s="2" t="s">
        <v>27</v>
      </c>
      <c r="F407" s="2" t="s">
        <v>15</v>
      </c>
      <c r="G407" s="2" t="s">
        <v>1234</v>
      </c>
      <c r="H407" s="2" t="s">
        <v>504</v>
      </c>
      <c r="I407" s="2" t="str">
        <f>IFERROR(__xludf.DUMMYFUNCTION("GOOGLETRANSLATE(C407,""fr"",""en"")"),"Impossible to know as a global and detail the +OU-VALUE on the actions support investments. No dedicated interlocutor. The advisers do not give mm explanations.")</f>
        <v>Impossible to know as a global and detail the +OU-VALUE on the actions support investments. No dedicated interlocutor. The advisers do not give mm explanations.</v>
      </c>
    </row>
    <row r="408" ht="15.75" customHeight="1">
      <c r="A408" s="2">
        <v>4.0</v>
      </c>
      <c r="B408" s="2" t="s">
        <v>1235</v>
      </c>
      <c r="C408" s="2" t="s">
        <v>1236</v>
      </c>
      <c r="D408" s="2" t="s">
        <v>32</v>
      </c>
      <c r="E408" s="2" t="s">
        <v>21</v>
      </c>
      <c r="F408" s="2" t="s">
        <v>15</v>
      </c>
      <c r="G408" s="2" t="s">
        <v>54</v>
      </c>
      <c r="H408" s="2" t="s">
        <v>54</v>
      </c>
      <c r="I408" s="2" t="str">
        <f>IFERROR(__xludf.DUMMYFUNCTION("GOOGLETRANSLATE(C408,""fr"",""en"")"),"I find the site direct practical and simple insurance. We sail from one quote to the other easily. The price of insurance defies all competition. Hoping it has good after -sales service.")</f>
        <v>I find the site direct practical and simple insurance. We sail from one quote to the other easily. The price of insurance defies all competition. Hoping it has good after -sales service.</v>
      </c>
    </row>
    <row r="409" ht="15.75" customHeight="1">
      <c r="A409" s="2">
        <v>2.0</v>
      </c>
      <c r="B409" s="2" t="s">
        <v>1237</v>
      </c>
      <c r="C409" s="2" t="s">
        <v>1238</v>
      </c>
      <c r="D409" s="2" t="s">
        <v>32</v>
      </c>
      <c r="E409" s="2" t="s">
        <v>21</v>
      </c>
      <c r="F409" s="2" t="s">
        <v>15</v>
      </c>
      <c r="G409" s="2" t="s">
        <v>747</v>
      </c>
      <c r="H409" s="2" t="s">
        <v>54</v>
      </c>
      <c r="I409" s="2" t="str">
        <f>IFERROR(__xludf.DUMMYFUNCTION("GOOGLETRANSLATE(C409,""fr"",""en"")"),"Satisfied with the service
A little expensive price for a young driver unemployed with a car that doesn't consume that much but good.
Otherwise it's easy to understand for a beginner")</f>
        <v>Satisfied with the service
A little expensive price for a young driver unemployed with a car that doesn't consume that much but good.
Otherwise it's easy to understand for a beginner</v>
      </c>
    </row>
    <row r="410" ht="15.75" customHeight="1">
      <c r="A410" s="2">
        <v>3.0</v>
      </c>
      <c r="B410" s="2" t="s">
        <v>1239</v>
      </c>
      <c r="C410" s="2" t="s">
        <v>1240</v>
      </c>
      <c r="D410" s="2" t="s">
        <v>93</v>
      </c>
      <c r="E410" s="2" t="s">
        <v>544</v>
      </c>
      <c r="F410" s="2" t="s">
        <v>15</v>
      </c>
      <c r="G410" s="2" t="s">
        <v>579</v>
      </c>
      <c r="H410" s="2" t="s">
        <v>540</v>
      </c>
      <c r="I410" s="2" t="str">
        <f>IFERROR(__xludf.DUMMYFUNCTION("GOOGLETRANSLATE(C410,""fr"",""en"")"),"Hello, this year I was victims of an accident on an all -terrain motorcycle, Allianz did not reimburse in the event of an accident with an engine vehicle during a competition or to its tests outside this day I was on a Circuit out of competition, Allianz "&amp;"refused me compensation in a first time justifying the fact that I was in the race, after several letter attesting that I was not in Allianz race finally reimbursed me in full my daily allowances After 2 me of deliberation on their part. The correspondenc"&amp;"e and the medical documents requested by Allianz was very restrictive but in the end they assumed their role as an insurer and the entire compensation in a single transfer is settled.")</f>
        <v>Hello, this year I was victims of an accident on an all -terrain motorcycle, Allianz did not reimburse in the event of an accident with an engine vehicle during a competition or to its tests outside this day I was on a Circuit out of competition, Allianz refused me compensation in a first time justifying the fact that I was in the race, after several letter attesting that I was not in Allianz race finally reimbursed me in full my daily allowances After 2 me of deliberation on their part. The correspondence and the medical documents requested by Allianz was very restrictive but in the end they assumed their role as an insurer and the entire compensation in a single transfer is settled.</v>
      </c>
    </row>
    <row r="411" ht="15.75" customHeight="1">
      <c r="A411" s="2">
        <v>4.0</v>
      </c>
      <c r="B411" s="2" t="s">
        <v>1241</v>
      </c>
      <c r="C411" s="2" t="s">
        <v>1242</v>
      </c>
      <c r="D411" s="2" t="s">
        <v>32</v>
      </c>
      <c r="E411" s="2" t="s">
        <v>21</v>
      </c>
      <c r="F411" s="2" t="s">
        <v>15</v>
      </c>
      <c r="G411" s="2" t="s">
        <v>1018</v>
      </c>
      <c r="H411" s="2" t="s">
        <v>48</v>
      </c>
      <c r="I411" s="2" t="str">
        <f>IFERROR(__xludf.DUMMYFUNCTION("GOOGLETRANSLATE(C411,""fr"",""en"")"),"Satisfied, fast, simple for a subscription, good value for money")</f>
        <v>Satisfied, fast, simple for a subscription, good value for money</v>
      </c>
    </row>
    <row r="412" ht="15.75" customHeight="1">
      <c r="A412" s="2">
        <v>5.0</v>
      </c>
      <c r="B412" s="2" t="s">
        <v>1243</v>
      </c>
      <c r="C412" s="2" t="s">
        <v>1244</v>
      </c>
      <c r="D412" s="2" t="s">
        <v>127</v>
      </c>
      <c r="E412" s="2" t="s">
        <v>128</v>
      </c>
      <c r="F412" s="2" t="s">
        <v>15</v>
      </c>
      <c r="G412" s="2" t="s">
        <v>727</v>
      </c>
      <c r="H412" s="2" t="s">
        <v>95</v>
      </c>
      <c r="I412" s="2" t="str">
        <f>IFERROR(__xludf.DUMMYFUNCTION("GOOGLETRANSLATE(C412,""fr"",""en"")"),"I am very satisfied with the service - Zenup advisers are all very welcoming and patient.
The prices are competitive and the steps to follow very simple.
Thanks
 ")</f>
        <v>I am very satisfied with the service - Zenup advisers are all very welcoming and patient.
The prices are competitive and the steps to follow very simple.
Thanks
 </v>
      </c>
    </row>
    <row r="413" ht="15.75" customHeight="1">
      <c r="A413" s="2">
        <v>3.0</v>
      </c>
      <c r="B413" s="2" t="s">
        <v>1245</v>
      </c>
      <c r="C413" s="2" t="s">
        <v>1246</v>
      </c>
      <c r="D413" s="2" t="s">
        <v>222</v>
      </c>
      <c r="E413" s="2" t="s">
        <v>21</v>
      </c>
      <c r="F413" s="2" t="s">
        <v>15</v>
      </c>
      <c r="G413" s="2" t="s">
        <v>1247</v>
      </c>
      <c r="H413" s="2" t="s">
        <v>29</v>
      </c>
      <c r="I413" s="2" t="str">
        <f>IFERROR(__xludf.DUMMYFUNCTION("GOOGLETRANSLATE(C413,""fr"",""en"")"),"5 months from my disaster, and after many reminders and steps, Axa for a month in months, with new and endless excuses, so as not to compensate for 37,500 euros, supposedly in court ... While the contract stipulates reimbursements within 30 days!")</f>
        <v>5 months from my disaster, and after many reminders and steps, Axa for a month in months, with new and endless excuses, so as not to compensate for 37,500 euros, supposedly in court ... While the contract stipulates reimbursements within 30 days!</v>
      </c>
    </row>
    <row r="414" ht="15.75" customHeight="1">
      <c r="A414" s="2">
        <v>1.0</v>
      </c>
      <c r="B414" s="2" t="s">
        <v>1248</v>
      </c>
      <c r="C414" s="2" t="s">
        <v>1249</v>
      </c>
      <c r="D414" s="2" t="s">
        <v>37</v>
      </c>
      <c r="E414" s="2" t="s">
        <v>21</v>
      </c>
      <c r="F414" s="2" t="s">
        <v>15</v>
      </c>
      <c r="G414" s="2" t="s">
        <v>1250</v>
      </c>
      <c r="H414" s="2" t="s">
        <v>418</v>
      </c>
      <c r="I414" s="2" t="str">
        <f>IFERROR(__xludf.DUMMYFUNCTION("GOOGLETRANSLATE(C414,""fr"",""en"")"),"They terminated me after a month because I had not been the main driver before. I had paid 5 months of insurance. They did not reimburse me.")</f>
        <v>They terminated me after a month because I had not been the main driver before. I had paid 5 months of insurance. They did not reimburse me.</v>
      </c>
    </row>
    <row r="415" ht="15.75" customHeight="1">
      <c r="A415" s="2">
        <v>1.0</v>
      </c>
      <c r="B415" s="2" t="s">
        <v>1251</v>
      </c>
      <c r="C415" s="2" t="s">
        <v>1252</v>
      </c>
      <c r="D415" s="2" t="s">
        <v>26</v>
      </c>
      <c r="E415" s="2" t="s">
        <v>27</v>
      </c>
      <c r="F415" s="2" t="s">
        <v>15</v>
      </c>
      <c r="G415" s="2" t="s">
        <v>1253</v>
      </c>
      <c r="H415" s="2" t="s">
        <v>458</v>
      </c>
      <c r="I415" s="2" t="str">
        <f>IFERROR(__xludf.DUMMYFUNCTION("GOOGLETRANSLATE(C415,""fr"",""en"")"),"Hello, I join you to testify to the most total disorganization at AFER.
A member for more than 25 years, I have advised my two sons to join the AFER Life Insurance Contract Euros. What they did. The adhesion of one of my sons is wrong, her city of birt"&amp;"h is false, she was badly seized. I try to have this potentially prejudicial error rectified.
My two sons each filled a payment slip, each joined a check, with a different amount to avoid any confusion, and posted the whole.
A person from AFER rever"&amp;"sed the two files and therefore joined the bad check to the bad payment slip. Everything was therefore false: the first name, the amount, the name of the person issuing the check ... Nothing corresponded but that surprised anyone.
For 2 months this sit"&amp;"uation has been going on. AFER lost one of the checks and they advised to note advisor to ask us to oppose! No one can say where this check for a substantial sum has gone.
AFER did not warn us of the situation and did not apologize. It was our advisor "&amp;"who alerted us, himself warned by AFER late. He couldn't do anything to arrange the situation.
Confidence is broken. We will remove the vast majority of our assets.
is it possible that a establishment that weighs 5 billion demonstrates so little ser"&amp;"iousness!
")</f>
        <v>Hello, I join you to testify to the most total disorganization at AFER.
A member for more than 25 years, I have advised my two sons to join the AFER Life Insurance Contract Euros. What they did. The adhesion of one of my sons is wrong, her city of birth is false, she was badly seized. I try to have this potentially prejudicial error rectified.
My two sons each filled a payment slip, each joined a check, with a different amount to avoid any confusion, and posted the whole.
A person from AFER reversed the two files and therefore joined the bad check to the bad payment slip. Everything was therefore false: the first name, the amount, the name of the person issuing the check ... Nothing corresponded but that surprised anyone.
For 2 months this situation has been going on. AFER lost one of the checks and they advised to note advisor to ask us to oppose! No one can say where this check for a substantial sum has gone.
AFER did not warn us of the situation and did not apologize. It was our advisor who alerted us, himself warned by AFER late. He couldn't do anything to arrange the situation.
Confidence is broken. We will remove the vast majority of our assets.
is it possible that a establishment that weighs 5 billion demonstrates so little seriousness!
</v>
      </c>
    </row>
    <row r="416" ht="15.75" customHeight="1">
      <c r="A416" s="2">
        <v>2.0</v>
      </c>
      <c r="B416" s="2" t="s">
        <v>1254</v>
      </c>
      <c r="C416" s="2" t="s">
        <v>1255</v>
      </c>
      <c r="D416" s="2" t="s">
        <v>287</v>
      </c>
      <c r="E416" s="2" t="s">
        <v>283</v>
      </c>
      <c r="F416" s="2" t="s">
        <v>15</v>
      </c>
      <c r="G416" s="2" t="s">
        <v>1256</v>
      </c>
      <c r="H416" s="2" t="s">
        <v>34</v>
      </c>
      <c r="I416" s="2" t="str">
        <f>IFERROR(__xludf.DUMMYFUNCTION("GOOGLETRANSLATE(C416,""fr"",""en"")"),"Incompetent customer service I was able to have them once an answer I do not know how to consult your contract to find out your guarantees a month of delay No explanation No response to the many requests and emails whether online or by mail frankly I will"&amp;" put myself a Alert this year to avoid being re -engaged and not to miss the notice periods and if I find another site notice I will not lack strongly to see flee")</f>
        <v>Incompetent customer service I was able to have them once an answer I do not know how to consult your contract to find out your guarantees a month of delay No explanation No response to the many requests and emails whether online or by mail frankly I will put myself a Alert this year to avoid being re -engaged and not to miss the notice periods and if I find another site notice I will not lack strongly to see flee</v>
      </c>
    </row>
    <row r="417" ht="15.75" customHeight="1">
      <c r="A417" s="2">
        <v>4.0</v>
      </c>
      <c r="B417" s="2" t="s">
        <v>1257</v>
      </c>
      <c r="C417" s="2" t="s">
        <v>1258</v>
      </c>
      <c r="D417" s="2" t="s">
        <v>32</v>
      </c>
      <c r="E417" s="2" t="s">
        <v>21</v>
      </c>
      <c r="F417" s="2" t="s">
        <v>15</v>
      </c>
      <c r="G417" s="2" t="s">
        <v>1259</v>
      </c>
      <c r="H417" s="2" t="s">
        <v>48</v>
      </c>
      <c r="I417" s="2" t="str">
        <f>IFERROR(__xludf.DUMMYFUNCTION("GOOGLETRANSLATE(C417,""fr"",""en"")"),"I am satisfied, request made online, fluidity and easy to use, works clear and easy, price more than correct, I have subscribed to home and school insurance")</f>
        <v>I am satisfied, request made online, fluidity and easy to use, works clear and easy, price more than correct, I have subscribed to home and school insurance</v>
      </c>
    </row>
    <row r="418" ht="15.75" customHeight="1">
      <c r="A418" s="2">
        <v>1.0</v>
      </c>
      <c r="B418" s="2" t="s">
        <v>1260</v>
      </c>
      <c r="C418" s="2" t="s">
        <v>1261</v>
      </c>
      <c r="D418" s="2" t="s">
        <v>113</v>
      </c>
      <c r="E418" s="2" t="s">
        <v>21</v>
      </c>
      <c r="F418" s="2" t="s">
        <v>15</v>
      </c>
      <c r="G418" s="2" t="s">
        <v>1262</v>
      </c>
      <c r="H418" s="2" t="s">
        <v>124</v>
      </c>
      <c r="I418" s="2" t="str">
        <f>IFERROR(__xludf.DUMMYFUNCTION("GOOGLETRANSLATE(C418,""fr"",""en"")"),"Insurance that had not been able to evolve in the face of a new generation of customers. And in addition you are asked in the said satisfaction survey to justify with at least 200 characters.")</f>
        <v>Insurance that had not been able to evolve in the face of a new generation of customers. And in addition you are asked in the said satisfaction survey to justify with at least 200 characters.</v>
      </c>
    </row>
    <row r="419" ht="15.75" customHeight="1">
      <c r="A419" s="2">
        <v>5.0</v>
      </c>
      <c r="B419" s="2" t="s">
        <v>1263</v>
      </c>
      <c r="C419" s="2" t="s">
        <v>1264</v>
      </c>
      <c r="D419" s="2" t="s">
        <v>20</v>
      </c>
      <c r="E419" s="2" t="s">
        <v>21</v>
      </c>
      <c r="F419" s="2" t="s">
        <v>15</v>
      </c>
      <c r="G419" s="2" t="s">
        <v>1265</v>
      </c>
      <c r="H419" s="2" t="s">
        <v>95</v>
      </c>
      <c r="I419" s="2" t="str">
        <f>IFERROR(__xludf.DUMMYFUNCTION("GOOGLETRANSLATE(C419,""fr"",""en"")"),"Very satisfied with the service. Top price. Very friendly and professional interlocutor. I have only one wish, it is that it is the departure of a very long collaboration. Thanks")</f>
        <v>Very satisfied with the service. Top price. Very friendly and professional interlocutor. I have only one wish, it is that it is the departure of a very long collaboration. Thanks</v>
      </c>
    </row>
    <row r="420" ht="15.75" customHeight="1">
      <c r="A420" s="2">
        <v>3.0</v>
      </c>
      <c r="B420" s="2" t="s">
        <v>1266</v>
      </c>
      <c r="C420" s="2" t="s">
        <v>1267</v>
      </c>
      <c r="D420" s="2" t="s">
        <v>32</v>
      </c>
      <c r="E420" s="2" t="s">
        <v>21</v>
      </c>
      <c r="F420" s="2" t="s">
        <v>15</v>
      </c>
      <c r="G420" s="2" t="s">
        <v>1268</v>
      </c>
      <c r="H420" s="2" t="s">
        <v>1269</v>
      </c>
      <c r="I420" s="2" t="str">
        <f>IFERROR(__xludf.DUMMYFUNCTION("GOOGLETRANSLATE(C420,""fr"",""en"")"),"Disappointing very very disappointing, I do not advise this insurance to anyone ......")</f>
        <v>Disappointing very very disappointing, I do not advise this insurance to anyone ......</v>
      </c>
    </row>
    <row r="421" ht="15.75" customHeight="1">
      <c r="A421" s="2">
        <v>1.0</v>
      </c>
      <c r="B421" s="2" t="s">
        <v>1270</v>
      </c>
      <c r="C421" s="2" t="s">
        <v>1271</v>
      </c>
      <c r="D421" s="2" t="s">
        <v>282</v>
      </c>
      <c r="E421" s="2" t="s">
        <v>283</v>
      </c>
      <c r="F421" s="2" t="s">
        <v>15</v>
      </c>
      <c r="G421" s="2" t="s">
        <v>1272</v>
      </c>
      <c r="H421" s="2" t="s">
        <v>378</v>
      </c>
      <c r="I421" s="2" t="str">
        <f>IFERROR(__xludf.DUMMYFUNCTION("GOOGLETRANSLATE(C421,""fr"",""en"")"),"I receive in oct which will an increase immediately I do not answer then no news I relaunch 04NOV to terminate TJS SS Answer and today the 28 I am called to say that I have to be up to the 20th to terminate that c Too late I answer him that I returned on "&amp;"the 4th by email and we fold it back that now he wants to know nothing I decide. A contract is committed ok but had not answered in the deadline while I could have terminated.ah At the signing of the world is nice for info he doesn't care that you are une"&amp;"mployed we must be in debt")</f>
        <v>I receive in oct which will an increase immediately I do not answer then no news I relaunch 04NOV to terminate TJS SS Answer and today the 28 I am called to say that I have to be up to the 20th to terminate that c Too late I answer him that I returned on the 4th by email and we fold it back that now he wants to know nothing I decide. A contract is committed ok but had not answered in the deadline while I could have terminated.ah At the signing of the world is nice for info he doesn't care that you are unemployed we must be in debt</v>
      </c>
    </row>
    <row r="422" ht="15.75" customHeight="1">
      <c r="A422" s="2">
        <v>5.0</v>
      </c>
      <c r="B422" s="2" t="s">
        <v>1273</v>
      </c>
      <c r="C422" s="2" t="s">
        <v>1274</v>
      </c>
      <c r="D422" s="2" t="s">
        <v>32</v>
      </c>
      <c r="E422" s="2" t="s">
        <v>21</v>
      </c>
      <c r="F422" s="2" t="s">
        <v>15</v>
      </c>
      <c r="G422" s="2" t="s">
        <v>94</v>
      </c>
      <c r="H422" s="2" t="s">
        <v>95</v>
      </c>
      <c r="I422" s="2" t="str">
        <f>IFERROR(__xludf.DUMMYFUNCTION("GOOGLETRANSLATE(C422,""fr"",""en"")"),"very good. Appreciable cost. Recall emails, very pleasant communication. Easy to use web. Always someone to answer our questions quickly")</f>
        <v>very good. Appreciable cost. Recall emails, very pleasant communication. Easy to use web. Always someone to answer our questions quickly</v>
      </c>
    </row>
    <row r="423" ht="15.75" customHeight="1">
      <c r="A423" s="2">
        <v>5.0</v>
      </c>
      <c r="B423" s="2" t="s">
        <v>1275</v>
      </c>
      <c r="C423" s="2" t="s">
        <v>1276</v>
      </c>
      <c r="D423" s="2" t="s">
        <v>32</v>
      </c>
      <c r="E423" s="2" t="s">
        <v>21</v>
      </c>
      <c r="F423" s="2" t="s">
        <v>15</v>
      </c>
      <c r="G423" s="2" t="s">
        <v>603</v>
      </c>
      <c r="H423" s="2" t="s">
        <v>54</v>
      </c>
      <c r="I423" s="2" t="str">
        <f>IFERROR(__xludf.DUMMYFUNCTION("GOOGLETRANSLATE(C423,""fr"",""en"")"),"I am satisfied with the service everything is super easy to use
Unbeatable price, simple and quick service
Very good customer service at the top
I recommend")</f>
        <v>I am satisfied with the service everything is super easy to use
Unbeatable price, simple and quick service
Very good customer service at the top
I recommend</v>
      </c>
    </row>
    <row r="424" ht="15.75" customHeight="1">
      <c r="A424" s="2">
        <v>4.0</v>
      </c>
      <c r="B424" s="2" t="s">
        <v>1277</v>
      </c>
      <c r="C424" s="2" t="s">
        <v>1278</v>
      </c>
      <c r="D424" s="2" t="s">
        <v>32</v>
      </c>
      <c r="E424" s="2" t="s">
        <v>21</v>
      </c>
      <c r="F424" s="2" t="s">
        <v>15</v>
      </c>
      <c r="G424" s="2" t="s">
        <v>491</v>
      </c>
      <c r="H424" s="2" t="s">
        <v>179</v>
      </c>
      <c r="I424" s="2" t="str">
        <f>IFERROR(__xludf.DUMMYFUNCTION("GOOGLETRANSLATE(C424,""fr"",""en"")"),"well if the price was cheaper
It is best to have discounts for students
Why is insurance not paid monthly? I cannot reimburse the insurance one year at any time.")</f>
        <v>well if the price was cheaper
It is best to have discounts for students
Why is insurance not paid monthly? I cannot reimburse the insurance one year at any time.</v>
      </c>
    </row>
    <row r="425" ht="15.75" customHeight="1">
      <c r="A425" s="2">
        <v>3.0</v>
      </c>
      <c r="B425" s="2" t="s">
        <v>1279</v>
      </c>
      <c r="C425" s="2" t="s">
        <v>1280</v>
      </c>
      <c r="D425" s="2" t="s">
        <v>20</v>
      </c>
      <c r="E425" s="2" t="s">
        <v>21</v>
      </c>
      <c r="F425" s="2" t="s">
        <v>15</v>
      </c>
      <c r="G425" s="2" t="s">
        <v>1265</v>
      </c>
      <c r="H425" s="2" t="s">
        <v>95</v>
      </c>
      <c r="I425" s="2" t="str">
        <f>IFERROR(__xludf.DUMMYFUNCTION("GOOGLETRANSLATE(C425,""fr"",""en"")"),"Regarding the price, it suits me, just the management of the contract is not too suitable for my expectations I wanted to have more responsiveness with the online advisers.")</f>
        <v>Regarding the price, it suits me, just the management of the contract is not too suitable for my expectations I wanted to have more responsiveness with the online advisers.</v>
      </c>
    </row>
    <row r="426" ht="15.75" customHeight="1">
      <c r="A426" s="2">
        <v>5.0</v>
      </c>
      <c r="B426" s="2" t="s">
        <v>1281</v>
      </c>
      <c r="C426" s="2" t="s">
        <v>1282</v>
      </c>
      <c r="D426" s="2" t="s">
        <v>146</v>
      </c>
      <c r="E426" s="2" t="s">
        <v>52</v>
      </c>
      <c r="F426" s="2" t="s">
        <v>15</v>
      </c>
      <c r="G426" s="2" t="s">
        <v>1283</v>
      </c>
      <c r="H426" s="2" t="s">
        <v>38</v>
      </c>
      <c r="I426" s="2" t="str">
        <f>IFERROR(__xludf.DUMMYFUNCTION("GOOGLETRANSLATE(C426,""fr"",""en"")"),"Very satisfied, I recommend this insurance, attractive price and fast subscription. It offers options and adapts to our use :-)
So subscribe!")</f>
        <v>Very satisfied, I recommend this insurance, attractive price and fast subscription. It offers options and adapts to our use :-)
So subscribe!</v>
      </c>
    </row>
    <row r="427" ht="15.75" customHeight="1">
      <c r="A427" s="2">
        <v>1.0</v>
      </c>
      <c r="B427" s="2" t="s">
        <v>1284</v>
      </c>
      <c r="C427" s="2" t="s">
        <v>1285</v>
      </c>
      <c r="D427" s="2" t="s">
        <v>150</v>
      </c>
      <c r="E427" s="2" t="s">
        <v>42</v>
      </c>
      <c r="F427" s="2" t="s">
        <v>15</v>
      </c>
      <c r="G427" s="2" t="s">
        <v>1286</v>
      </c>
      <c r="H427" s="2" t="s">
        <v>110</v>
      </c>
      <c r="I427" s="2" t="str">
        <f>IFERROR(__xludf.DUMMYFUNCTION("GOOGLETRANSLATE(C427,""fr"",""en"")"),"Water damage and broken ice. My 650 -liter aquarium cracked. I have subscribed to the guaranteed Plus option in order to be better guaranteed in particular for an ice cream from an aquarium. Following the passage of the expert, the Macif reimbursing nothi"&amp;"ng on the aquarium because according to them the crack is not accidental; The cause is indefinite. We do not know why he has cracked: did he have a shock ??? In short, the Macif is long as it does not need to compensate its customers. We intend to termina"&amp;"te this month the whole of our contracts")</f>
        <v>Water damage and broken ice. My 650 -liter aquarium cracked. I have subscribed to the guaranteed Plus option in order to be better guaranteed in particular for an ice cream from an aquarium. Following the passage of the expert, the Macif reimbursing nothing on the aquarium because according to them the crack is not accidental; The cause is indefinite. We do not know why he has cracked: did he have a shock ??? In short, the Macif is long as it does not need to compensate its customers. We intend to terminate this month the whole of our contracts</v>
      </c>
    </row>
    <row r="428" ht="15.75" customHeight="1">
      <c r="A428" s="2">
        <v>5.0</v>
      </c>
      <c r="B428" s="2" t="s">
        <v>1287</v>
      </c>
      <c r="C428" s="2" t="s">
        <v>1288</v>
      </c>
      <c r="D428" s="2" t="s">
        <v>51</v>
      </c>
      <c r="E428" s="2" t="s">
        <v>52</v>
      </c>
      <c r="F428" s="2" t="s">
        <v>15</v>
      </c>
      <c r="G428" s="2" t="s">
        <v>302</v>
      </c>
      <c r="H428" s="2" t="s">
        <v>54</v>
      </c>
      <c r="I428" s="2" t="str">
        <f>IFERROR(__xludf.DUMMYFUNCTION("GOOGLETRANSLATE(C428,""fr"",""en"")"),"I am delighted with the customer service very well explained thank you to all the team I highly recommend AMV value for money from single to doubles see you very soon")</f>
        <v>I am delighted with the customer service very well explained thank you to all the team I highly recommend AMV value for money from single to doubles see you very soon</v>
      </c>
    </row>
    <row r="429" ht="15.75" customHeight="1">
      <c r="A429" s="2">
        <v>1.0</v>
      </c>
      <c r="B429" s="2" t="s">
        <v>1289</v>
      </c>
      <c r="C429" s="2" t="s">
        <v>1290</v>
      </c>
      <c r="D429" s="2" t="s">
        <v>1085</v>
      </c>
      <c r="E429" s="2" t="s">
        <v>128</v>
      </c>
      <c r="F429" s="2" t="s">
        <v>15</v>
      </c>
      <c r="G429" s="2" t="s">
        <v>1291</v>
      </c>
      <c r="H429" s="2" t="s">
        <v>525</v>
      </c>
      <c r="I429" s="2" t="str">
        <f>IFERROR(__xludf.DUMMYFUNCTION("GOOGLETRANSLATE(C429,""fr"",""en"")"),"Hello cardif!
 I come to the news a bit because there is already a good time that you re -study my file! So where do we have? I hope you have all the parts today because the last time you were waiting for a document concerning my file ?? Oh good !
As I "&amp;"know that you were connected to these comments I ask you to contact, let's say tomorrow 9 a.m., with me on my fixed line, so that we can make a point or downright that you give me your sickness recognition agreement, Not prior to signature, what the medic"&amp;"al documents you have in hand shows!
I think common sense and logic guides you and that I am not just a sweet dreamer and that you will reconsider the medical situation in which I find myself!
Pending your call receive my cordial greetings! See you soon"&amp;" to talk to each other!
ROBERT DARRIGRAND
06 10 18 59 88
05 59 65 63 21
r.darrigrand@gmail.com")</f>
        <v>Hello cardif!
 I come to the news a bit because there is already a good time that you re -study my file! So where do we have? I hope you have all the parts today because the last time you were waiting for a document concerning my file ?? Oh good !
As I know that you were connected to these comments I ask you to contact, let's say tomorrow 9 a.m., with me on my fixed line, so that we can make a point or downright that you give me your sickness recognition agreement, Not prior to signature, what the medical documents you have in hand shows!
I think common sense and logic guides you and that I am not just a sweet dreamer and that you will reconsider the medical situation in which I find myself!
Pending your call receive my cordial greetings! See you soon to talk to each other!
ROBERT DARRIGRAND
06 10 18 59 88
05 59 65 63 21
r.darrigrand@gmail.com</v>
      </c>
    </row>
    <row r="430" ht="15.75" customHeight="1">
      <c r="A430" s="2">
        <v>2.0</v>
      </c>
      <c r="B430" s="2" t="s">
        <v>1292</v>
      </c>
      <c r="C430" s="2" t="s">
        <v>1293</v>
      </c>
      <c r="D430" s="2" t="s">
        <v>122</v>
      </c>
      <c r="E430" s="2" t="s">
        <v>21</v>
      </c>
      <c r="F430" s="2" t="s">
        <v>15</v>
      </c>
      <c r="G430" s="2" t="s">
        <v>1294</v>
      </c>
      <c r="H430" s="2" t="s">
        <v>152</v>
      </c>
      <c r="I430" s="2" t="str">
        <f>IFERROR(__xludf.DUMMYFUNCTION("GOOGLETRANSLATE(C430,""fr"",""en"")"),"My vehicle stolen in July 2018, we are in April 2019, I have still not been compensated for the head office does not answer the phone, it is a disaster")</f>
        <v>My vehicle stolen in July 2018, we are in April 2019, I have still not been compensated for the head office does not answer the phone, it is a disaster</v>
      </c>
    </row>
    <row r="431" ht="15.75" customHeight="1">
      <c r="A431" s="2">
        <v>2.0</v>
      </c>
      <c r="B431" s="2" t="s">
        <v>1295</v>
      </c>
      <c r="C431" s="2" t="s">
        <v>1296</v>
      </c>
      <c r="D431" s="2" t="s">
        <v>93</v>
      </c>
      <c r="E431" s="2" t="s">
        <v>21</v>
      </c>
      <c r="F431" s="2" t="s">
        <v>15</v>
      </c>
      <c r="G431" s="2" t="s">
        <v>1297</v>
      </c>
      <c r="H431" s="2" t="s">
        <v>199</v>
      </c>
      <c r="I431" s="2" t="str">
        <f>IFERROR(__xludf.DUMMYFUNCTION("GOOGLETRANSLATE(C431,""fr"",""en"")"),"To flee !!
I have subscribed to online car insurance provides all the documents necessary for the subscription and today the time limits of the 1 month is exceeding I therefore find myself without insurance
To have them on the phone it's a real fight!
"&amp;"I was able to stay 4 hours online without having someone at the end of the line or I was hung up on the nose
It will end up in court I would not let myself be done
I don't even understand how they can have so many customers
It's scandalous
Flee this i"&amp;"nsurance box")</f>
        <v>To flee !!
I have subscribed to online car insurance provides all the documents necessary for the subscription and today the time limits of the 1 month is exceeding I therefore find myself without insurance
To have them on the phone it's a real fight!
I was able to stay 4 hours online without having someone at the end of the line or I was hung up on the nose
It will end up in court I would not let myself be done
I don't even understand how they can have so many customers
It's scandalous
Flee this insurance box</v>
      </c>
    </row>
    <row r="432" ht="15.75" customHeight="1">
      <c r="A432" s="2">
        <v>4.0</v>
      </c>
      <c r="B432" s="2" t="s">
        <v>1298</v>
      </c>
      <c r="C432" s="2" t="s">
        <v>1299</v>
      </c>
      <c r="D432" s="2" t="s">
        <v>32</v>
      </c>
      <c r="E432" s="2" t="s">
        <v>21</v>
      </c>
      <c r="F432" s="2" t="s">
        <v>15</v>
      </c>
      <c r="G432" s="2" t="s">
        <v>835</v>
      </c>
      <c r="H432" s="2" t="s">
        <v>38</v>
      </c>
      <c r="I432" s="2" t="str">
        <f>IFERROR(__xludf.DUMMYFUNCTION("GOOGLETRANSLATE(C432,""fr"",""en"")"),"Being a young license I find the price very expensive 120 euros per month. I want to buy myself a car should I insure it at home? If an effort is made price levels I think I will keep my contract with you")</f>
        <v>Being a young license I find the price very expensive 120 euros per month. I want to buy myself a car should I insure it at home? If an effort is made price levels I think I will keep my contract with you</v>
      </c>
    </row>
    <row r="433" ht="15.75" customHeight="1">
      <c r="A433" s="2">
        <v>4.0</v>
      </c>
      <c r="B433" s="2" t="s">
        <v>1300</v>
      </c>
      <c r="C433" s="2" t="s">
        <v>1301</v>
      </c>
      <c r="D433" s="2" t="s">
        <v>32</v>
      </c>
      <c r="E433" s="2" t="s">
        <v>21</v>
      </c>
      <c r="F433" s="2" t="s">
        <v>15</v>
      </c>
      <c r="G433" s="2" t="s">
        <v>603</v>
      </c>
      <c r="H433" s="2" t="s">
        <v>54</v>
      </c>
      <c r="I433" s="2" t="str">
        <f>IFERROR(__xludf.DUMMYFUNCTION("GOOGLETRANSLATE(C433,""fr"",""en"")"),"I am satisfied with the price compared to the guarantees, and the speed of your response.
It's been more than 20 years that I had all my covers with the same insurance. So it's a first with you.
Yours
Bruno Bilheude")</f>
        <v>I am satisfied with the price compared to the guarantees, and the speed of your response.
It's been more than 20 years that I had all my covers with the same insurance. So it's a first with you.
Yours
Bruno Bilheude</v>
      </c>
    </row>
    <row r="434" ht="15.75" customHeight="1">
      <c r="A434" s="2">
        <v>2.0</v>
      </c>
      <c r="B434" s="2" t="s">
        <v>1302</v>
      </c>
      <c r="C434" s="2" t="s">
        <v>1303</v>
      </c>
      <c r="D434" s="2" t="s">
        <v>122</v>
      </c>
      <c r="E434" s="2" t="s">
        <v>21</v>
      </c>
      <c r="F434" s="2" t="s">
        <v>15</v>
      </c>
      <c r="G434" s="2" t="s">
        <v>1304</v>
      </c>
      <c r="H434" s="2" t="s">
        <v>1064</v>
      </c>
      <c r="I434" s="2" t="str">
        <f>IFERROR(__xludf.DUMMYFUNCTION("GOOGLETRANSLATE(C434,""fr"",""en"")"),"Long live efficiency! My companion's vehicle, injured since 07.02.2020, we are on 27.05.2020, the work has still not started! The situation seems inextricable and I cannot have my vehicle for almost 4 months, I want to hear that the global health situatio"&amp;"n has caused some disturbances (between 16.03.2020 and 11.05.2020), but what Passed before and after these dates, so that my file remains at the end? All the interlocutors refer the ball (insurance, auto expert, mechanic ...), I must obviously replace the"&amp;" work of my insurance and do the intermediary between all providers ... I have been a customer for more than 10 years not A delay in the payment of my monthly payments, 0 sinister !! What should we do to benefit from a correct service in this file!")</f>
        <v>Long live efficiency! My companion's vehicle, injured since 07.02.2020, we are on 27.05.2020, the work has still not started! The situation seems inextricable and I cannot have my vehicle for almost 4 months, I want to hear that the global health situation has caused some disturbances (between 16.03.2020 and 11.05.2020), but what Passed before and after these dates, so that my file remains at the end? All the interlocutors refer the ball (insurance, auto expert, mechanic ...), I must obviously replace the work of my insurance and do the intermediary between all providers ... I have been a customer for more than 10 years not A delay in the payment of my monthly payments, 0 sinister !! What should we do to benefit from a correct service in this file!</v>
      </c>
    </row>
    <row r="435" ht="15.75" customHeight="1">
      <c r="A435" s="2">
        <v>2.0</v>
      </c>
      <c r="B435" s="2" t="s">
        <v>1305</v>
      </c>
      <c r="C435" s="2" t="s">
        <v>1306</v>
      </c>
      <c r="D435" s="2" t="s">
        <v>1085</v>
      </c>
      <c r="E435" s="2" t="s">
        <v>128</v>
      </c>
      <c r="F435" s="2" t="s">
        <v>15</v>
      </c>
      <c r="G435" s="2" t="s">
        <v>1307</v>
      </c>
      <c r="H435" s="2" t="s">
        <v>299</v>
      </c>
      <c r="I435" s="2" t="str">
        <f>IFERROR(__xludf.DUMMYFUNCTION("GOOGLETRANSLATE(C435,""fr"",""en"")"),"Is 2142578
Hello,
I would like to be reconant by phone by the Cardif medical service.
Indeed in invalidity category 2 since 2014, we refer to see an expert on 29/12/2016. This last makes a report going in the sense that I am not consolidated (I move in"&amp;" wheelchair)
 that I must be reviewed by a surgeon on April 05, 2017 to reoperate from my right knees
 The expert oriented me towards a colleague from Pain in Amiens
A scintigraphy scheduled for 02/03/2017
An MRI planned on 5/03/2017
All this in orde"&amp;"r to be reoperated in order to no longer move in a wheelchair.
Following the expert's report, which goes in the direction of my disability, the Cardif Stop Medical Council my credits reimbursements, namely around 1,700 € in credits while my invalidity pe"&amp;"nsion is € 595.
The calculation is quickly done.
The medical advice goes against the expertise that has been made.
")</f>
        <v>Is 2142578
Hello,
I would like to be reconant by phone by the Cardif medical service.
Indeed in invalidity category 2 since 2014, we refer to see an expert on 29/12/2016. This last makes a report going in the sense that I am not consolidated (I move in wheelchair)
 that I must be reviewed by a surgeon on April 05, 2017 to reoperate from my right knees
 The expert oriented me towards a colleague from Pain in Amiens
A scintigraphy scheduled for 02/03/2017
An MRI planned on 5/03/2017
All this in order to be reoperated in order to no longer move in a wheelchair.
Following the expert's report, which goes in the direction of my disability, the Cardif Stop Medical Council my credits reimbursements, namely around 1,700 € in credits while my invalidity pension is € 595.
The calculation is quickly done.
The medical advice goes against the expertise that has been made.
</v>
      </c>
    </row>
    <row r="436" ht="15.75" customHeight="1">
      <c r="A436" s="2">
        <v>3.0</v>
      </c>
      <c r="B436" s="2" t="s">
        <v>1308</v>
      </c>
      <c r="C436" s="2" t="s">
        <v>1309</v>
      </c>
      <c r="D436" s="2" t="s">
        <v>32</v>
      </c>
      <c r="E436" s="2" t="s">
        <v>21</v>
      </c>
      <c r="F436" s="2" t="s">
        <v>15</v>
      </c>
      <c r="G436" s="2" t="s">
        <v>1310</v>
      </c>
      <c r="H436" s="2" t="s">
        <v>179</v>
      </c>
      <c r="I436" s="2" t="str">
        <f>IFERROR(__xludf.DUMMYFUNCTION("GOOGLETRANSLATE(C436,""fr"",""en"")"),"Not very serious!
Relationship with customers: execrable !!!!
I think I said everything when I said that my insurer's relationship with customers is of poor quality !!!
Wonderful days, it is impossible to contact them!
Personally, I am very disappoint"&amp;"ed !!
It is not only the price that is important, a correct relationship with customers, in my opinion, is also very important !!!!!!")</f>
        <v>Not very serious!
Relationship with customers: execrable !!!!
I think I said everything when I said that my insurer's relationship with customers is of poor quality !!!
Wonderful days, it is impossible to contact them!
Personally, I am very disappointed !!
It is not only the price that is important, a correct relationship with customers, in my opinion, is also very important !!!!!!</v>
      </c>
    </row>
    <row r="437" ht="15.75" customHeight="1">
      <c r="A437" s="2">
        <v>5.0</v>
      </c>
      <c r="B437" s="2" t="s">
        <v>1311</v>
      </c>
      <c r="C437" s="2" t="s">
        <v>1312</v>
      </c>
      <c r="D437" s="2" t="s">
        <v>20</v>
      </c>
      <c r="E437" s="2" t="s">
        <v>21</v>
      </c>
      <c r="F437" s="2" t="s">
        <v>15</v>
      </c>
      <c r="G437" s="2" t="s">
        <v>1313</v>
      </c>
      <c r="H437" s="2" t="s">
        <v>936</v>
      </c>
      <c r="I437" s="2" t="str">
        <f>IFERROR(__xludf.DUMMYFUNCTION("GOOGLETRANSLATE(C437,""fr"",""en"")"),"Easy to contact very competitive price I benefited from a reduction in the following year and the explanations were up to my expectations
")</f>
        <v>Easy to contact very competitive price I benefited from a reduction in the following year and the explanations were up to my expectations
</v>
      </c>
    </row>
    <row r="438" ht="15.75" customHeight="1">
      <c r="A438" s="2">
        <v>5.0</v>
      </c>
      <c r="B438" s="2" t="s">
        <v>1314</v>
      </c>
      <c r="C438" s="2" t="s">
        <v>1315</v>
      </c>
      <c r="D438" s="2" t="s">
        <v>127</v>
      </c>
      <c r="E438" s="2" t="s">
        <v>128</v>
      </c>
      <c r="F438" s="2" t="s">
        <v>15</v>
      </c>
      <c r="G438" s="2" t="s">
        <v>1316</v>
      </c>
      <c r="H438" s="2" t="s">
        <v>38</v>
      </c>
      <c r="I438" s="2" t="str">
        <f>IFERROR(__xludf.DUMMYFUNCTION("GOOGLETRANSLATE(C438,""fr"",""en"")"),"Simple membership, very available and professional contacts, competitive price.
It remains to be seen in the short and medium term.
And also long -term after -sales service.")</f>
        <v>Simple membership, very available and professional contacts, competitive price.
It remains to be seen in the short and medium term.
And also long -term after -sales service.</v>
      </c>
    </row>
    <row r="439" ht="15.75" customHeight="1">
      <c r="A439" s="2">
        <v>2.0</v>
      </c>
      <c r="B439" s="2" t="s">
        <v>1317</v>
      </c>
      <c r="C439" s="2" t="s">
        <v>1318</v>
      </c>
      <c r="D439" s="2" t="s">
        <v>93</v>
      </c>
      <c r="E439" s="2" t="s">
        <v>21</v>
      </c>
      <c r="F439" s="2" t="s">
        <v>15</v>
      </c>
      <c r="G439" s="2" t="s">
        <v>1319</v>
      </c>
      <c r="H439" s="2" t="s">
        <v>458</v>
      </c>
      <c r="I439" s="2" t="str">
        <f>IFERROR(__xludf.DUMMYFUNCTION("GOOGLETRANSLATE(C439,""fr"",""en"")"),"A real disaster!
A real obstacle course we send the documents it is always missing something impossible to have a person who follows your file is a real labyrinth
You receive automatic emails that contradict what you have just done, to have them on the "&amp;"phone it is hell.
To flee
")</f>
        <v>A real disaster!
A real obstacle course we send the documents it is always missing something impossible to have a person who follows your file is a real labyrinth
You receive automatic emails that contradict what you have just done, to have them on the phone it is hell.
To flee
</v>
      </c>
    </row>
    <row r="440" ht="15.75" customHeight="1">
      <c r="A440" s="2">
        <v>2.0</v>
      </c>
      <c r="B440" s="2" t="s">
        <v>1320</v>
      </c>
      <c r="C440" s="2" t="s">
        <v>1321</v>
      </c>
      <c r="D440" s="2" t="s">
        <v>222</v>
      </c>
      <c r="E440" s="2" t="s">
        <v>42</v>
      </c>
      <c r="F440" s="2" t="s">
        <v>15</v>
      </c>
      <c r="G440" s="2" t="s">
        <v>1322</v>
      </c>
      <c r="H440" s="2" t="s">
        <v>685</v>
      </c>
      <c r="I440" s="2" t="str">
        <f>IFERROR(__xludf.DUMMYFUNCTION("GOOGLETRANSLATE(C440,""fr"",""en"")"),"The prices are expensive and the guarantees are not very extensive ... the reactivity depends on the agents. On the other hand there are a lot of partnerships allowing to have cinema discounts etc.
The application is well done.")</f>
        <v>The prices are expensive and the guarantees are not very extensive ... the reactivity depends on the agents. On the other hand there are a lot of partnerships allowing to have cinema discounts etc.
The application is well done.</v>
      </c>
    </row>
    <row r="441" ht="15.75" customHeight="1">
      <c r="A441" s="2">
        <v>3.0</v>
      </c>
      <c r="B441" s="2" t="s">
        <v>1323</v>
      </c>
      <c r="C441" s="2" t="s">
        <v>1324</v>
      </c>
      <c r="D441" s="2" t="s">
        <v>32</v>
      </c>
      <c r="E441" s="2" t="s">
        <v>21</v>
      </c>
      <c r="F441" s="2" t="s">
        <v>15</v>
      </c>
      <c r="G441" s="2" t="s">
        <v>391</v>
      </c>
      <c r="H441" s="2" t="s">
        <v>54</v>
      </c>
      <c r="I441" s="2" t="str">
        <f>IFERROR(__xludf.DUMMYFUNCTION("GOOGLETRANSLATE(C441,""fr"",""en"")"),"Simple and practical. Not too expensive and the price comes into my budget for first insurance. I will recommend this insurance to my insurance.
It is simple.")</f>
        <v>Simple and practical. Not too expensive and the price comes into my budget for first insurance. I will recommend this insurance to my insurance.
It is simple.</v>
      </c>
    </row>
    <row r="442" ht="15.75" customHeight="1">
      <c r="A442" s="2">
        <v>5.0</v>
      </c>
      <c r="B442" s="2" t="s">
        <v>1325</v>
      </c>
      <c r="C442" s="2" t="s">
        <v>1326</v>
      </c>
      <c r="D442" s="2" t="s">
        <v>106</v>
      </c>
      <c r="E442" s="2" t="s">
        <v>14</v>
      </c>
      <c r="F442" s="2" t="s">
        <v>15</v>
      </c>
      <c r="G442" s="2" t="s">
        <v>1327</v>
      </c>
      <c r="H442" s="2" t="s">
        <v>152</v>
      </c>
      <c r="I442" s="2" t="str">
        <f>IFERROR(__xludf.DUMMYFUNCTION("GOOGLETRANSLATE(C442,""fr"",""en"")"),"Very clear explanation of guarantees
Taking into account expectations")</f>
        <v>Very clear explanation of guarantees
Taking into account expectations</v>
      </c>
    </row>
    <row r="443" ht="15.75" customHeight="1">
      <c r="A443" s="2">
        <v>3.0</v>
      </c>
      <c r="B443" s="2" t="s">
        <v>1328</v>
      </c>
      <c r="C443" s="2" t="s">
        <v>1329</v>
      </c>
      <c r="D443" s="2" t="s">
        <v>32</v>
      </c>
      <c r="E443" s="2" t="s">
        <v>21</v>
      </c>
      <c r="F443" s="2" t="s">
        <v>15</v>
      </c>
      <c r="G443" s="2" t="s">
        <v>1330</v>
      </c>
      <c r="H443" s="2" t="s">
        <v>95</v>
      </c>
      <c r="I443" s="2" t="str">
        <f>IFERROR(__xludf.DUMMYFUNCTION("GOOGLETRANSLATE(C443,""fr"",""en"")"),"I am satisfied by this very very fast and simple service used I strongly recomme")</f>
        <v>I am satisfied by this very very fast and simple service used I strongly recomme</v>
      </c>
    </row>
    <row r="444" ht="15.75" customHeight="1">
      <c r="A444" s="2">
        <v>1.0</v>
      </c>
      <c r="B444" s="2" t="s">
        <v>1331</v>
      </c>
      <c r="C444" s="2" t="s">
        <v>1332</v>
      </c>
      <c r="D444" s="2" t="s">
        <v>150</v>
      </c>
      <c r="E444" s="2" t="s">
        <v>21</v>
      </c>
      <c r="F444" s="2" t="s">
        <v>15</v>
      </c>
      <c r="G444" s="2" t="s">
        <v>1106</v>
      </c>
      <c r="H444" s="2" t="s">
        <v>17</v>
      </c>
      <c r="I444" s="2" t="str">
        <f>IFERROR(__xludf.DUMMYFUNCTION("GOOGLETRANSLATE(C444,""fr"",""en"")"),"Customer service if I could have put zero I would have done it following a job loss I had asked my agency to go from all risk to the third party since all risk makes me too dear I am sent to walk around me Saying that this was not possible how I still do "&amp;"not know but not possible according to them I asked several times even discourted suddenly I could not pay the monthly payments I found myself terminating for no great payment of the most insurance and even Not to take up information it is only 3 years af"&amp;"ter because of my work that a Macif employment was in another agency by telling my problem with their brand that did the necessary to provide me at least to take up information I Thank you enough this man finally one to whom the word customer even located"&amp;" this is more the case means something result I must find insurance to wake up when the error came from them with a bonus of 0.85 super and in The more he admits to me q The guys thank you not the agency in which I was throwing for them had a lot of conce"&amp;"rn for this type and that the agency chief is made dismissed in view of the complaints ben bravo thank you")</f>
        <v>Customer service if I could have put zero I would have done it following a job loss I had asked my agency to go from all risk to the third party since all risk makes me too dear I am sent to walk around me Saying that this was not possible how I still do not know but not possible according to them I asked several times even discourted suddenly I could not pay the monthly payments I found myself terminating for no great payment of the most insurance and even Not to take up information it is only 3 years after because of my work that a Macif employment was in another agency by telling my problem with their brand that did the necessary to provide me at least to take up information I Thank you enough this man finally one to whom the word customer even located this is more the case means something result I must find insurance to wake up when the error came from them with a bonus of 0.85 super and in The more he admits to me q The guys thank you not the agency in which I was throwing for them had a lot of concern for this type and that the agency chief is made dismissed in view of the complaints ben bravo thank you</v>
      </c>
    </row>
    <row r="445" ht="15.75" customHeight="1">
      <c r="A445" s="2">
        <v>5.0</v>
      </c>
      <c r="B445" s="2" t="s">
        <v>1333</v>
      </c>
      <c r="C445" s="2" t="s">
        <v>1334</v>
      </c>
      <c r="D445" s="2" t="s">
        <v>32</v>
      </c>
      <c r="E445" s="2" t="s">
        <v>21</v>
      </c>
      <c r="F445" s="2" t="s">
        <v>15</v>
      </c>
      <c r="G445" s="2" t="s">
        <v>1091</v>
      </c>
      <c r="H445" s="2" t="s">
        <v>54</v>
      </c>
      <c r="I445" s="2" t="str">
        <f>IFERROR(__xludf.DUMMYFUNCTION("GOOGLETRANSLATE(C445,""fr"",""en"")"),"I am satisfied to be insured at home and I have the pleasure of knowing you are well renowned in the insurance market and I hope to have a good relationship with you")</f>
        <v>I am satisfied to be insured at home and I have the pleasure of knowing you are well renowned in the insurance market and I hope to have a good relationship with you</v>
      </c>
    </row>
    <row r="446" ht="15.75" customHeight="1">
      <c r="A446" s="2">
        <v>1.0</v>
      </c>
      <c r="B446" s="2" t="s">
        <v>1335</v>
      </c>
      <c r="C446" s="2" t="s">
        <v>1336</v>
      </c>
      <c r="D446" s="2" t="s">
        <v>1085</v>
      </c>
      <c r="E446" s="2" t="s">
        <v>128</v>
      </c>
      <c r="F446" s="2" t="s">
        <v>15</v>
      </c>
      <c r="G446" s="2" t="s">
        <v>1337</v>
      </c>
      <c r="H446" s="2" t="s">
        <v>63</v>
      </c>
      <c r="I446" s="2" t="str">
        <f>IFERROR(__xludf.DUMMYFUNCTION("GOOGLETRANSLATE(C446,""fr"",""en"")"),"Refusal Invalidity management")</f>
        <v>Refusal Invalidity management</v>
      </c>
    </row>
    <row r="447" ht="15.75" customHeight="1">
      <c r="A447" s="2">
        <v>3.0</v>
      </c>
      <c r="B447" s="2" t="s">
        <v>1338</v>
      </c>
      <c r="C447" s="2" t="s">
        <v>1339</v>
      </c>
      <c r="D447" s="2" t="s">
        <v>20</v>
      </c>
      <c r="E447" s="2" t="s">
        <v>21</v>
      </c>
      <c r="F447" s="2" t="s">
        <v>15</v>
      </c>
      <c r="G447" s="2" t="s">
        <v>1340</v>
      </c>
      <c r="H447" s="2" t="s">
        <v>99</v>
      </c>
      <c r="I447" s="2" t="str">
        <f>IFERROR(__xludf.DUMMYFUNCTION("GOOGLETRANSLATE(C447,""fr"",""en"")"),"To avoid absolutely. Prohibitive franchises, (even on ice breaks), impossible to have an advisor within a correct time (18 calls with 10 minutes of waiting for each phone call in one day before being able to reach some one !!!).
Instead of making hundred"&amp;"s of TV advertising it would be good to take care of customers. I terminated for insurance closer to his members (and only for a few more euros per year!)")</f>
        <v>To avoid absolutely. Prohibitive franchises, (even on ice breaks), impossible to have an advisor within a correct time (18 calls with 10 minutes of waiting for each phone call in one day before being able to reach some one !!!).
Instead of making hundreds of TV advertising it would be good to take care of customers. I terminated for insurance closer to his members (and only for a few more euros per year!)</v>
      </c>
    </row>
    <row r="448" ht="15.75" customHeight="1">
      <c r="A448" s="2">
        <v>4.0</v>
      </c>
      <c r="B448" s="2" t="s">
        <v>1341</v>
      </c>
      <c r="C448" s="2" t="s">
        <v>1342</v>
      </c>
      <c r="D448" s="2" t="s">
        <v>51</v>
      </c>
      <c r="E448" s="2" t="s">
        <v>52</v>
      </c>
      <c r="F448" s="2" t="s">
        <v>15</v>
      </c>
      <c r="G448" s="2" t="s">
        <v>246</v>
      </c>
      <c r="H448" s="2" t="s">
        <v>58</v>
      </c>
      <c r="I448" s="2" t="str">
        <f>IFERROR(__xludf.DUMMYFUNCTION("GOOGLETRANSLATE(C448,""fr"",""en"")"),"Very satisfied, on the other hand it would be simpler (with our authorization) to be able to request the validation document of infitation directly from the insurer (I think that would be possible)
Cordially")</f>
        <v>Very satisfied, on the other hand it would be simpler (with our authorization) to be able to request the validation document of infitation directly from the insurer (I think that would be possible)
Cordially</v>
      </c>
    </row>
    <row r="449" ht="15.75" customHeight="1">
      <c r="A449" s="2">
        <v>3.0</v>
      </c>
      <c r="B449" s="2" t="s">
        <v>1343</v>
      </c>
      <c r="C449" s="2" t="s">
        <v>1344</v>
      </c>
      <c r="D449" s="2" t="s">
        <v>222</v>
      </c>
      <c r="E449" s="2" t="s">
        <v>544</v>
      </c>
      <c r="F449" s="2" t="s">
        <v>15</v>
      </c>
      <c r="G449" s="2" t="s">
        <v>1345</v>
      </c>
      <c r="H449" s="2" t="s">
        <v>152</v>
      </c>
      <c r="I449" s="2" t="str">
        <f>IFERROR(__xludf.DUMMYFUNCTION("GOOGLETRANSLATE(C449,""fr"",""en"")"),"I would like to know who has already subscribed to Avizen insurance. I was put into category 2 disability and I was also dismissed for professional incapacity. And my insurance refuses to unandem the invalidity guarantee for the following reason: I am not"&amp;" in IPT when I suffer every day from my pains!")</f>
        <v>I would like to know who has already subscribed to Avizen insurance. I was put into category 2 disability and I was also dismissed for professional incapacity. And my insurance refuses to unandem the invalidity guarantee for the following reason: I am not in IPT when I suffer every day from my pains!</v>
      </c>
    </row>
    <row r="450" ht="15.75" customHeight="1">
      <c r="A450" s="2">
        <v>1.0</v>
      </c>
      <c r="B450" s="2" t="s">
        <v>1346</v>
      </c>
      <c r="C450" s="2" t="s">
        <v>1347</v>
      </c>
      <c r="D450" s="2" t="s">
        <v>122</v>
      </c>
      <c r="E450" s="2" t="s">
        <v>42</v>
      </c>
      <c r="F450" s="2" t="s">
        <v>15</v>
      </c>
      <c r="G450" s="2" t="s">
        <v>1348</v>
      </c>
      <c r="H450" s="2" t="s">
        <v>38</v>
      </c>
      <c r="I450" s="2" t="str">
        <f>IFERROR(__xludf.DUMMYFUNCTION("GOOGLETRANSLATE(C450,""fr"",""en"")"),"After 41 years, ensures the MAT MUT without any accidents so several vehicles and two insured residences, following a disaster occurring at my secondary residence by a third party to date the MUT MAT is unable to have a quote for a recovery of the facelif"&amp;"t , reason they have no business for this touch -up which concerns the facelift response it is up to me to find a company in the middle of vacation just a recovery of 20 cm disgusted .. no comment.")</f>
        <v>After 41 years, ensures the MAT MUT without any accidents so several vehicles and two insured residences, following a disaster occurring at my secondary residence by a third party to date the MUT MAT is unable to have a quote for a recovery of the facelift , reason they have no business for this touch -up which concerns the facelift response it is up to me to find a company in the middle of vacation just a recovery of 20 cm disgusted .. no comment.</v>
      </c>
    </row>
    <row r="451" ht="15.75" customHeight="1">
      <c r="A451" s="2">
        <v>5.0</v>
      </c>
      <c r="B451" s="2" t="s">
        <v>1349</v>
      </c>
      <c r="C451" s="2" t="s">
        <v>1350</v>
      </c>
      <c r="D451" s="2" t="s">
        <v>146</v>
      </c>
      <c r="E451" s="2" t="s">
        <v>52</v>
      </c>
      <c r="F451" s="2" t="s">
        <v>15</v>
      </c>
      <c r="G451" s="2" t="s">
        <v>1351</v>
      </c>
      <c r="H451" s="2" t="s">
        <v>58</v>
      </c>
      <c r="I451" s="2" t="str">
        <f>IFERROR(__xludf.DUMMYFUNCTION("GOOGLETRANSLATE(C451,""fr"",""en"")"),"Very well, it was very fast. I made a quote on the ferrets and I contract very quickly. The site is very practical and simple. Thanks a lot.")</f>
        <v>Very well, it was very fast. I made a quote on the ferrets and I contract very quickly. The site is very practical and simple. Thanks a lot.</v>
      </c>
    </row>
    <row r="452" ht="15.75" customHeight="1">
      <c r="A452" s="2">
        <v>5.0</v>
      </c>
      <c r="B452" s="2" t="s">
        <v>1352</v>
      </c>
      <c r="C452" s="2" t="s">
        <v>1353</v>
      </c>
      <c r="D452" s="2" t="s">
        <v>139</v>
      </c>
      <c r="E452" s="2" t="s">
        <v>21</v>
      </c>
      <c r="F452" s="2" t="s">
        <v>15</v>
      </c>
      <c r="G452" s="2" t="s">
        <v>291</v>
      </c>
      <c r="H452" s="2" t="s">
        <v>54</v>
      </c>
      <c r="I452" s="2" t="str">
        <f>IFERROR(__xludf.DUMMYFUNCTION("GOOGLETRANSLATE(C452,""fr"",""en"")"),"I am satisfied with your service and I recommend the G m f to all my friends and family thank you")</f>
        <v>I am satisfied with your service and I recommend the G m f to all my friends and family thank you</v>
      </c>
    </row>
    <row r="453" ht="15.75" customHeight="1">
      <c r="A453" s="2">
        <v>4.0</v>
      </c>
      <c r="B453" s="2" t="s">
        <v>1354</v>
      </c>
      <c r="C453" s="2" t="s">
        <v>1355</v>
      </c>
      <c r="D453" s="2" t="s">
        <v>75</v>
      </c>
      <c r="E453" s="2" t="s">
        <v>14</v>
      </c>
      <c r="F453" s="2" t="s">
        <v>15</v>
      </c>
      <c r="G453" s="2" t="s">
        <v>918</v>
      </c>
      <c r="H453" s="2" t="s">
        <v>331</v>
      </c>
      <c r="I453" s="2" t="str">
        <f>IFERROR(__xludf.DUMMYFUNCTION("GOOGLETRANSLATE(C453,""fr"",""en"")"),"No one in telephone customer service has listening who answers questions perfectly and knows how to find solutions quickly and effectively.")</f>
        <v>No one in telephone customer service has listening who answers questions perfectly and knows how to find solutions quickly and effectively.</v>
      </c>
    </row>
    <row r="454" ht="15.75" customHeight="1">
      <c r="A454" s="2">
        <v>4.0</v>
      </c>
      <c r="B454" s="2" t="s">
        <v>1356</v>
      </c>
      <c r="C454" s="2" t="s">
        <v>1357</v>
      </c>
      <c r="D454" s="2" t="s">
        <v>146</v>
      </c>
      <c r="E454" s="2" t="s">
        <v>52</v>
      </c>
      <c r="F454" s="2" t="s">
        <v>15</v>
      </c>
      <c r="G454" s="2" t="s">
        <v>1358</v>
      </c>
      <c r="H454" s="2" t="s">
        <v>179</v>
      </c>
      <c r="I454" s="2" t="str">
        <f>IFERROR(__xludf.DUMMYFUNCTION("GOOGLETRANSLATE(C454,""fr"",""en"")"),"Satisfactory price
Despite a paid abroad bonus but not taken up in totality. Too bad I will have appreciated a total recovery of my bonus acquired in short of the last years")</f>
        <v>Satisfactory price
Despite a paid abroad bonus but not taken up in totality. Too bad I will have appreciated a total recovery of my bonus acquired in short of the last years</v>
      </c>
    </row>
    <row r="455" ht="15.75" customHeight="1">
      <c r="A455" s="2">
        <v>3.0</v>
      </c>
      <c r="B455" s="2" t="s">
        <v>1359</v>
      </c>
      <c r="C455" s="2" t="s">
        <v>1360</v>
      </c>
      <c r="D455" s="2" t="s">
        <v>20</v>
      </c>
      <c r="E455" s="2" t="s">
        <v>21</v>
      </c>
      <c r="F455" s="2" t="s">
        <v>15</v>
      </c>
      <c r="G455" s="2" t="s">
        <v>1361</v>
      </c>
      <c r="H455" s="2" t="s">
        <v>597</v>
      </c>
      <c r="I455" s="2" t="str">
        <f>IFERROR(__xludf.DUMMYFUNCTION("GOOGLETRANSLATE(C455,""fr"",""en"")"),"I am happy to be among you and and to be previliege professionalism thank you cordially .......
See you day I prepare the requested paper to you")</f>
        <v>I am happy to be among you and and to be previliege professionalism thank you cordially .......
See you day I prepare the requested paper to you</v>
      </c>
    </row>
    <row r="456" ht="15.75" customHeight="1">
      <c r="A456" s="2">
        <v>1.0</v>
      </c>
      <c r="B456" s="2" t="s">
        <v>1362</v>
      </c>
      <c r="C456" s="2" t="s">
        <v>1363</v>
      </c>
      <c r="D456" s="2" t="s">
        <v>150</v>
      </c>
      <c r="E456" s="2" t="s">
        <v>42</v>
      </c>
      <c r="F456" s="2" t="s">
        <v>15</v>
      </c>
      <c r="G456" s="2" t="s">
        <v>1364</v>
      </c>
      <c r="H456" s="2" t="s">
        <v>458</v>
      </c>
      <c r="I456" s="2" t="str">
        <f>IFERROR(__xludf.DUMMYFUNCTION("GOOGLETRANSLATE(C456,""fr"",""en"")"),"Following damage caused by a radiator pipe leak located under the floor, in January 2020, I took attached with my insurer the Macif. A month later, having no craftsman to offer me to do a non -destructive search I had to manage to find one on my own. I ha"&amp;"d to negotiate with him his intervention fees so that it enters their price scale. In March 2020 the leak was detected, I advance the regulations of fees which will not be reimbursed for me until a few months later. I take a plumber to repair the leak at "&amp;"my charge. It was not until May 2020 that an expert is appointed to assess the damage caused by the pipe leak and those caused by the plumber to repair the leak. Indeed this intervention had caused a big hole in the middle of the corridors. I point out th"&amp;"at I had done renovation work throughout the house 3 months ago and that I had laid a parquet and a high quality paint. The expert not having moved to Covid, the findings were made by WhatsApp. The expert report was only rendered in late June. The study r"&amp;"evealed a dilapidation rate of several years and the amount of repairs evaluated by the expert did not reach the price of the prosecution alone without counting the glue, the painting of the walls and the labor. With the company appointed by their care to"&amp;" do the work we challenged the expert's assessment in August 2020. We are now in October 2020 and the expert is not ironed to do a counter expertise and the work does not are still not done. I made a complaint at the Macif by reminding them that I always "&amp;"had a hole in the middle of the corridor and that the children injured themselves on several occasions. I have been waiting for the reaction of the Macif claim service for 3 weeks. I plan to bring the mediator to the mediator.")</f>
        <v>Following damage caused by a radiator pipe leak located under the floor, in January 2020, I took attached with my insurer the Macif. A month later, having no craftsman to offer me to do a non -destructive search I had to manage to find one on my own. I had to negotiate with him his intervention fees so that it enters their price scale. In March 2020 the leak was detected, I advance the regulations of fees which will not be reimbursed for me until a few months later. I take a plumber to repair the leak at my charge. It was not until May 2020 that an expert is appointed to assess the damage caused by the pipe leak and those caused by the plumber to repair the leak. Indeed this intervention had caused a big hole in the middle of the corridors. I point out that I had done renovation work throughout the house 3 months ago and that I had laid a parquet and a high quality paint. The expert not having moved to Covid, the findings were made by WhatsApp. The expert report was only rendered in late June. The study revealed a dilapidation rate of several years and the amount of repairs evaluated by the expert did not reach the price of the prosecution alone without counting the glue, the painting of the walls and the labor. With the company appointed by their care to do the work we challenged the expert's assessment in August 2020. We are now in October 2020 and the expert is not ironed to do a counter expertise and the work does not are still not done. I made a complaint at the Macif by reminding them that I always had a hole in the middle of the corridor and that the children injured themselves on several occasions. I have been waiting for the reaction of the Macif claim service for 3 weeks. I plan to bring the mediator to the mediator.</v>
      </c>
    </row>
    <row r="457" ht="15.75" customHeight="1">
      <c r="A457" s="2">
        <v>1.0</v>
      </c>
      <c r="B457" s="2" t="s">
        <v>1365</v>
      </c>
      <c r="C457" s="2" t="s">
        <v>1366</v>
      </c>
      <c r="D457" s="2" t="s">
        <v>32</v>
      </c>
      <c r="E457" s="2" t="s">
        <v>21</v>
      </c>
      <c r="F457" s="2" t="s">
        <v>15</v>
      </c>
      <c r="G457" s="2" t="s">
        <v>1265</v>
      </c>
      <c r="H457" s="2" t="s">
        <v>95</v>
      </c>
      <c r="I457" s="2" t="str">
        <f>IFERROR(__xludf.DUMMYFUNCTION("GOOGLETRANSLATE(C457,""fr"",""en"")"),"The price seems to me dear for the insurance of this small 8 -year -old vehicle,
It could be revised down over the years, especially as we have two contracts at Direct Insurance.")</f>
        <v>The price seems to me dear for the insurance of this small 8 -year -old vehicle,
It could be revised down over the years, especially as we have two contracts at Direct Insurance.</v>
      </c>
    </row>
    <row r="458" ht="15.75" customHeight="1">
      <c r="A458" s="2">
        <v>3.0</v>
      </c>
      <c r="B458" s="2" t="s">
        <v>1367</v>
      </c>
      <c r="C458" s="2" t="s">
        <v>1368</v>
      </c>
      <c r="D458" s="2" t="s">
        <v>20</v>
      </c>
      <c r="E458" s="2" t="s">
        <v>21</v>
      </c>
      <c r="F458" s="2" t="s">
        <v>15</v>
      </c>
      <c r="G458" s="2" t="s">
        <v>770</v>
      </c>
      <c r="H458" s="2" t="s">
        <v>179</v>
      </c>
      <c r="I458" s="2" t="str">
        <f>IFERROR(__xludf.DUMMYFUNCTION("GOOGLETRANSLATE(C458,""fr"",""en"")"),"Transition procedure facilitated by Hamon law.
Correct price with regard to competition.
Seems ok. Service to see as the contract life progresses.
")</f>
        <v>Transition procedure facilitated by Hamon law.
Correct price with regard to competition.
Seems ok. Service to see as the contract life progresses.
</v>
      </c>
    </row>
    <row r="459" ht="15.75" customHeight="1">
      <c r="A459" s="2">
        <v>2.0</v>
      </c>
      <c r="B459" s="2" t="s">
        <v>1369</v>
      </c>
      <c r="C459" s="2" t="s">
        <v>1370</v>
      </c>
      <c r="D459" s="2" t="s">
        <v>85</v>
      </c>
      <c r="E459" s="2" t="s">
        <v>14</v>
      </c>
      <c r="F459" s="2" t="s">
        <v>15</v>
      </c>
      <c r="G459" s="2" t="s">
        <v>1371</v>
      </c>
      <c r="H459" s="2" t="s">
        <v>1372</v>
      </c>
      <c r="I459" s="2" t="str">
        <f>IFERROR(__xludf.DUMMYFUNCTION("GOOGLETRANSLATE(C459,""fr"",""en"")"),"If you have a third -party third party, no particular problem, however, when you do not benefit from it, you have to restart them constantly to obtain reimbursements. Sometimes several months between demand and result, a disaster.")</f>
        <v>If you have a third -party third party, no particular problem, however, when you do not benefit from it, you have to restart them constantly to obtain reimbursements. Sometimes several months between demand and result, a disaster.</v>
      </c>
    </row>
    <row r="460" ht="15.75" customHeight="1">
      <c r="A460" s="2">
        <v>2.0</v>
      </c>
      <c r="B460" s="2" t="s">
        <v>1373</v>
      </c>
      <c r="C460" s="2" t="s">
        <v>1374</v>
      </c>
      <c r="D460" s="2" t="s">
        <v>41</v>
      </c>
      <c r="E460" s="2" t="s">
        <v>42</v>
      </c>
      <c r="F460" s="2" t="s">
        <v>15</v>
      </c>
      <c r="G460" s="2" t="s">
        <v>804</v>
      </c>
      <c r="H460" s="2" t="s">
        <v>804</v>
      </c>
      <c r="I460" s="2" t="str">
        <f>IFERROR(__xludf.DUMMYFUNCTION("GOOGLETRANSLATE(C460,""fr"",""en"")"),"A shame !! Client for 30 years for the car and 20 years for the house I come purely and simply to be ""turned"" because in 5 years I underwent a hailstorm (as if that were my fault) and a water damage (leak under the tiling), in short when I saw an adviso"&amp;"r at the start of the year who told me that everything was fine there I am throwing me saying that anyway there was nothing to do in Despite my loyalty for 30 years. The maaf as long as we pay it's okay, however if they have to do their job to know how to"&amp;" reimburse in the event of a disaster, there it is outside !!!")</f>
        <v>A shame !! Client for 30 years for the car and 20 years for the house I come purely and simply to be "turned" because in 5 years I underwent a hailstorm (as if that were my fault) and a water damage (leak under the tiling), in short when I saw an advisor at the start of the year who told me that everything was fine there I am throwing me saying that anyway there was nothing to do in Despite my loyalty for 30 years. The maaf as long as we pay it's okay, however if they have to do their job to know how to reimburse in the event of a disaster, there it is outside !!!</v>
      </c>
    </row>
    <row r="461" ht="15.75" customHeight="1">
      <c r="A461" s="2">
        <v>5.0</v>
      </c>
      <c r="B461" s="2" t="s">
        <v>1375</v>
      </c>
      <c r="C461" s="2" t="s">
        <v>1376</v>
      </c>
      <c r="D461" s="2" t="s">
        <v>20</v>
      </c>
      <c r="E461" s="2" t="s">
        <v>21</v>
      </c>
      <c r="F461" s="2" t="s">
        <v>15</v>
      </c>
      <c r="G461" s="2" t="s">
        <v>563</v>
      </c>
      <c r="H461" s="2" t="s">
        <v>152</v>
      </c>
      <c r="I461" s="2" t="str">
        <f>IFERROR(__xludf.DUMMYFUNCTION("GOOGLETRANSLATE(C461,""fr"",""en"")"),"A problem of rising prices, solved by Lucie, at the top.")</f>
        <v>A problem of rising prices, solved by Lucie, at the top.</v>
      </c>
    </row>
    <row r="462" ht="15.75" customHeight="1">
      <c r="A462" s="2">
        <v>1.0</v>
      </c>
      <c r="B462" s="2" t="s">
        <v>1377</v>
      </c>
      <c r="C462" s="2" t="s">
        <v>1378</v>
      </c>
      <c r="D462" s="2" t="s">
        <v>926</v>
      </c>
      <c r="E462" s="2" t="s">
        <v>52</v>
      </c>
      <c r="F462" s="2" t="s">
        <v>15</v>
      </c>
      <c r="G462" s="2" t="s">
        <v>453</v>
      </c>
      <c r="H462" s="2" t="s">
        <v>454</v>
      </c>
      <c r="I462" s="2" t="str">
        <f>IFERROR(__xludf.DUMMYFUNCTION("GOOGLETRANSLATE(C462,""fr"",""en"")"),"Hello, After having subscribed to motorcycle insurance at Assur Bon Plan on 03/21/2018, I no longer have any news! The subscription went well, the payment of the 200 euros was very quickly collected, on this side they are effective! Today on 04/12/2018, I"&amp;" still don't have my sticker! After a dozen calls, still nothing, the receptionist only transmitted information to her colleagues. I dare not imagine their treatment deadlines in the event of an accident. Insurance to avoid!")</f>
        <v>Hello, After having subscribed to motorcycle insurance at Assur Bon Plan on 03/21/2018, I no longer have any news! The subscription went well, the payment of the 200 euros was very quickly collected, on this side they are effective! Today on 04/12/2018, I still don't have my sticker! After a dozen calls, still nothing, the receptionist only transmitted information to her colleagues. I dare not imagine their treatment deadlines in the event of an accident. Insurance to avoid!</v>
      </c>
    </row>
    <row r="463" ht="15.75" customHeight="1">
      <c r="A463" s="2">
        <v>2.0</v>
      </c>
      <c r="B463" s="2" t="s">
        <v>1379</v>
      </c>
      <c r="C463" s="2" t="s">
        <v>1380</v>
      </c>
      <c r="D463" s="2" t="s">
        <v>32</v>
      </c>
      <c r="E463" s="2" t="s">
        <v>21</v>
      </c>
      <c r="F463" s="2" t="s">
        <v>15</v>
      </c>
      <c r="G463" s="2" t="s">
        <v>1381</v>
      </c>
      <c r="H463" s="2" t="s">
        <v>87</v>
      </c>
      <c r="I463" s="2" t="str">
        <f>IFERROR(__xludf.DUMMYFUNCTION("GOOGLETRANSLATE(C463,""fr"",""en"")"),"Price that we increase over the years, even without claims,
In the event of a problem franchise always high or see clauses that do not price in charge and which we are not told about the subscription. Electric damage for example!
Price which also increa"&amp;"ses during national containment or the vehicle is staying in the garage for months.")</f>
        <v>Price that we increase over the years, even without claims,
In the event of a problem franchise always high or see clauses that do not price in charge and which we are not told about the subscription. Electric damage for example!
Price which also increases during national containment or the vehicle is staying in the garage for months.</v>
      </c>
    </row>
    <row r="464" ht="15.75" customHeight="1">
      <c r="A464" s="2">
        <v>2.0</v>
      </c>
      <c r="B464" s="2" t="s">
        <v>1382</v>
      </c>
      <c r="C464" s="2" t="s">
        <v>1383</v>
      </c>
      <c r="D464" s="2" t="s">
        <v>139</v>
      </c>
      <c r="E464" s="2" t="s">
        <v>21</v>
      </c>
      <c r="F464" s="2" t="s">
        <v>15</v>
      </c>
      <c r="G464" s="2" t="s">
        <v>1384</v>
      </c>
      <c r="H464" s="2" t="s">
        <v>784</v>
      </c>
      <c r="I464" s="2" t="str">
        <f>IFERROR(__xludf.DUMMYFUNCTION("GOOGLETRANSLATE(C464,""fr"",""en"")"),"I had a traffic accident on 12/12/2017, struck by a motorist who fled. I have been injured and for 14 months, the sinister service is still waiting for the PV of the prosecution (14 months to obtain a pv of flight offense) .......... I called them several"&amp;" times, I Have the impression of disturbing them and always the same answer !!!! Scandalous and shameful on the part of the GMF which I have been a member for over 40 years !!!! I have 4 GMF contracts, if it continues, I will make arrangements to make sur"&amp;"e elsewhere and it's very shame")</f>
        <v>I had a traffic accident on 12/12/2017, struck by a motorist who fled. I have been injured and for 14 months, the sinister service is still waiting for the PV of the prosecution (14 months to obtain a pv of flight offense) .......... I called them several times, I Have the impression of disturbing them and always the same answer !!!! Scandalous and shameful on the part of the GMF which I have been a member for over 40 years !!!! I have 4 GMF contracts, if it continues, I will make arrangements to make sure elsewhere and it's very shame</v>
      </c>
    </row>
    <row r="465" ht="15.75" customHeight="1">
      <c r="A465" s="2">
        <v>1.0</v>
      </c>
      <c r="B465" s="2" t="s">
        <v>1385</v>
      </c>
      <c r="C465" s="2" t="s">
        <v>1386</v>
      </c>
      <c r="D465" s="2" t="s">
        <v>20</v>
      </c>
      <c r="E465" s="2" t="s">
        <v>21</v>
      </c>
      <c r="F465" s="2" t="s">
        <v>15</v>
      </c>
      <c r="G465" s="2" t="s">
        <v>1387</v>
      </c>
      <c r="H465" s="2" t="s">
        <v>224</v>
      </c>
      <c r="I465" s="2" t="str">
        <f>IFERROR(__xludf.DUMMYFUNCTION("GOOGLETRANSLATE(C465,""fr"",""en"")"),"The olive tree arbitrarily applies exorbitant annual increases (without any claim declared in the year): my coti during the subscription was € 473 and it has just switched to € 853 !!!! How is it possible to justify almost € 400 increase when you pretend "&amp;"to freeze your prices in 2017 ?? I believed in a vulgar error but no not my interlocutor at the olive tree confirmed to me that under the pretext of the events sold at the regional and national level it was the amount of my new Coti !!! But SOS L'Olivier "&amp;"is just a bad joke to attract customers with low prices to better knock them out the 2nd year! What I do not understand is why the specialized press do not display them for what they are instead of endorse their lies by relaying their so-called policy of "&amp;"gel of the prices ....
All this exceeds me, I have more than 3 days to terminate but it will be done without hesitation, and beware of the ad that I will make you !!
I hope that the treatment of my termination will not be complicated because I have read"&amp;" comments that worry me a little ...")</f>
        <v>The olive tree arbitrarily applies exorbitant annual increases (without any claim declared in the year): my coti during the subscription was € 473 and it has just switched to € 853 !!!! How is it possible to justify almost € 400 increase when you pretend to freeze your prices in 2017 ?? I believed in a vulgar error but no not my interlocutor at the olive tree confirmed to me that under the pretext of the events sold at the regional and national level it was the amount of my new Coti !!! But SOS L'Olivier is just a bad joke to attract customers with low prices to better knock them out the 2nd year! What I do not understand is why the specialized press do not display them for what they are instead of endorse their lies by relaying their so-called policy of gel of the prices ....
All this exceeds me, I have more than 3 days to terminate but it will be done without hesitation, and beware of the ad that I will make you !!
I hope that the treatment of my termination will not be complicated because I have read comments that worry me a little ...</v>
      </c>
    </row>
    <row r="466" ht="15.75" customHeight="1">
      <c r="A466" s="2">
        <v>4.0</v>
      </c>
      <c r="B466" s="2" t="s">
        <v>1388</v>
      </c>
      <c r="C466" s="2" t="s">
        <v>1389</v>
      </c>
      <c r="D466" s="2" t="s">
        <v>20</v>
      </c>
      <c r="E466" s="2" t="s">
        <v>21</v>
      </c>
      <c r="F466" s="2" t="s">
        <v>15</v>
      </c>
      <c r="G466" s="2" t="s">
        <v>237</v>
      </c>
      <c r="H466" s="2" t="s">
        <v>87</v>
      </c>
      <c r="I466" s="2" t="str">
        <f>IFERROR(__xludf.DUMMYFUNCTION("GOOGLETRANSLATE(C466,""fr"",""en"")"),"I am satisfied with the price and the services offered, but I would prefer to have a better price because my car does not have a lot of horses. However, your prices are better than competition.")</f>
        <v>I am satisfied with the price and the services offered, but I would prefer to have a better price because my car does not have a lot of horses. However, your prices are better than competition.</v>
      </c>
    </row>
    <row r="467" ht="15.75" customHeight="1">
      <c r="A467" s="2">
        <v>5.0</v>
      </c>
      <c r="B467" s="2" t="s">
        <v>1390</v>
      </c>
      <c r="C467" s="2" t="s">
        <v>1391</v>
      </c>
      <c r="D467" s="2" t="s">
        <v>32</v>
      </c>
      <c r="E467" s="2" t="s">
        <v>21</v>
      </c>
      <c r="F467" s="2" t="s">
        <v>15</v>
      </c>
      <c r="G467" s="2" t="s">
        <v>1021</v>
      </c>
      <c r="H467" s="2" t="s">
        <v>54</v>
      </c>
      <c r="I467" s="2" t="str">
        <f>IFERROR(__xludf.DUMMYFUNCTION("GOOGLETRANSLATE(C467,""fr"",""en"")"),"Topissime !!! Fast service. Affordable price. I recommend Direct Insurance because the amount of contributions is the lowest on the market with the highest guarantees.")</f>
        <v>Topissime !!! Fast service. Affordable price. I recommend Direct Insurance because the amount of contributions is the lowest on the market with the highest guarantees.</v>
      </c>
    </row>
    <row r="468" ht="15.75" customHeight="1">
      <c r="A468" s="2">
        <v>4.0</v>
      </c>
      <c r="B468" s="2" t="s">
        <v>1392</v>
      </c>
      <c r="C468" s="2" t="s">
        <v>1393</v>
      </c>
      <c r="D468" s="2" t="s">
        <v>32</v>
      </c>
      <c r="E468" s="2" t="s">
        <v>21</v>
      </c>
      <c r="F468" s="2" t="s">
        <v>15</v>
      </c>
      <c r="G468" s="2" t="s">
        <v>1394</v>
      </c>
      <c r="H468" s="2" t="s">
        <v>48</v>
      </c>
      <c r="I468" s="2" t="str">
        <f>IFERROR(__xludf.DUMMYFUNCTION("GOOGLETRANSLATE(C468,""fr"",""en"")"),"Correct price (it's always too expensive .... :-), sometimes a little long to reach by phone but very professional service, good follow-up of files. Competent staff")</f>
        <v>Correct price (it's always too expensive .... :-), sometimes a little long to reach by phone but very professional service, good follow-up of files. Competent staff</v>
      </c>
    </row>
    <row r="469" ht="15.75" customHeight="1">
      <c r="A469" s="2">
        <v>4.0</v>
      </c>
      <c r="B469" s="2" t="s">
        <v>1395</v>
      </c>
      <c r="C469" s="2" t="s">
        <v>1396</v>
      </c>
      <c r="D469" s="2" t="s">
        <v>51</v>
      </c>
      <c r="E469" s="2" t="s">
        <v>52</v>
      </c>
      <c r="F469" s="2" t="s">
        <v>15</v>
      </c>
      <c r="G469" s="2" t="s">
        <v>425</v>
      </c>
      <c r="H469" s="2" t="s">
        <v>38</v>
      </c>
      <c r="I469" s="2" t="str">
        <f>IFERROR(__xludf.DUMMYFUNCTION("GOOGLETRANSLATE(C469,""fr"",""en"")"),"Hello, I am satisfied with AMV but I would have liked to have an online person to make the change of contract and have advice on the different options")</f>
        <v>Hello, I am satisfied with AMV but I would have liked to have an online person to make the change of contract and have advice on the different options</v>
      </c>
    </row>
    <row r="470" ht="15.75" customHeight="1">
      <c r="A470" s="2">
        <v>4.0</v>
      </c>
      <c r="B470" s="2" t="s">
        <v>1397</v>
      </c>
      <c r="C470" s="2" t="s">
        <v>1398</v>
      </c>
      <c r="D470" s="2" t="s">
        <v>113</v>
      </c>
      <c r="E470" s="2" t="s">
        <v>21</v>
      </c>
      <c r="F470" s="2" t="s">
        <v>15</v>
      </c>
      <c r="G470" s="2" t="s">
        <v>38</v>
      </c>
      <c r="H470" s="2" t="s">
        <v>38</v>
      </c>
      <c r="I470" s="2" t="str">
        <f>IFERROR(__xludf.DUMMYFUNCTION("GOOGLETRANSLATE(C470,""fr"",""en"")"),"Reactive mutual and which responds in case of concerns.
My requests have all found a favorable outcome and the MAIF has perfectly managed the files
")</f>
        <v>Reactive mutual and which responds in case of concerns.
My requests have all found a favorable outcome and the MAIF has perfectly managed the files
</v>
      </c>
    </row>
    <row r="471" ht="15.75" customHeight="1">
      <c r="A471" s="2">
        <v>5.0</v>
      </c>
      <c r="B471" s="2" t="s">
        <v>1399</v>
      </c>
      <c r="C471" s="2" t="s">
        <v>1400</v>
      </c>
      <c r="D471" s="2" t="s">
        <v>1100</v>
      </c>
      <c r="E471" s="2" t="s">
        <v>128</v>
      </c>
      <c r="F471" s="2" t="s">
        <v>15</v>
      </c>
      <c r="G471" s="2" t="s">
        <v>696</v>
      </c>
      <c r="H471" s="2" t="s">
        <v>276</v>
      </c>
      <c r="I471" s="2" t="str">
        <f>IFERROR(__xludf.DUMMYFUNCTION("GOOGLETRANSLATE(C471,""fr"",""en"")"),"I never had any bp with Metlife. The people who take care of the platform are very competent and the deadlines are satisfactory.
I highly recommend.
Much cheaper than their competitors")</f>
        <v>I never had any bp with Metlife. The people who take care of the platform are very competent and the deadlines are satisfactory.
I highly recommend.
Much cheaper than their competitors</v>
      </c>
    </row>
    <row r="472" ht="15.75" customHeight="1">
      <c r="A472" s="2">
        <v>2.0</v>
      </c>
      <c r="B472" s="2" t="s">
        <v>1401</v>
      </c>
      <c r="C472" s="2" t="s">
        <v>1402</v>
      </c>
      <c r="D472" s="2" t="s">
        <v>139</v>
      </c>
      <c r="E472" s="2" t="s">
        <v>21</v>
      </c>
      <c r="F472" s="2" t="s">
        <v>15</v>
      </c>
      <c r="G472" s="2" t="s">
        <v>275</v>
      </c>
      <c r="H472" s="2" t="s">
        <v>276</v>
      </c>
      <c r="I472" s="2" t="str">
        <f>IFERROR(__xludf.DUMMYFUNCTION("GOOGLETRANSLATE(C472,""fr"",""en"")"),"The prices are not the most competitive")</f>
        <v>The prices are not the most competitive</v>
      </c>
    </row>
    <row r="473" ht="15.75" customHeight="1">
      <c r="A473" s="2">
        <v>2.0</v>
      </c>
      <c r="B473" s="2" t="s">
        <v>1403</v>
      </c>
      <c r="C473" s="2" t="s">
        <v>1404</v>
      </c>
      <c r="D473" s="2" t="s">
        <v>1183</v>
      </c>
      <c r="E473" s="2" t="s">
        <v>544</v>
      </c>
      <c r="F473" s="2" t="s">
        <v>15</v>
      </c>
      <c r="G473" s="2" t="s">
        <v>1405</v>
      </c>
      <c r="H473" s="2" t="s">
        <v>253</v>
      </c>
      <c r="I473" s="2" t="str">
        <f>IFERROR(__xludf.DUMMYFUNCTION("GOOGLETRANSLATE(C473,""fr"",""en"")"),"Aberrant, at the end of July 2019 I seized the insurance for the future care of. My Credit knowing that I will be stopped more than 6 months. Compensation was to start at mid October 2019, as of today February 23, 2020 my file is still not processed !!!! "&amp;"Every week I call and I never have the speech. .. Either it is an employer attention that is missing, or an unprecedented banking paper .. these are liars all these papers were sent by email, by postal post in AR and several times ... it is An inadmissibl"&amp;"e shame !!!! Insurer to flee !!!!!")</f>
        <v>Aberrant, at the end of July 2019 I seized the insurance for the future care of. My Credit knowing that I will be stopped more than 6 months. Compensation was to start at mid October 2019, as of today February 23, 2020 my file is still not processed !!!! Every week I call and I never have the speech. .. Either it is an employer attention that is missing, or an unprecedented banking paper .. these are liars all these papers were sent by email, by postal post in AR and several times ... it is An inadmissible shame !!!! Insurer to flee !!!!!</v>
      </c>
    </row>
    <row r="474" ht="15.75" customHeight="1">
      <c r="A474" s="2">
        <v>2.0</v>
      </c>
      <c r="B474" s="2" t="s">
        <v>1406</v>
      </c>
      <c r="C474" s="2" t="s">
        <v>1407</v>
      </c>
      <c r="D474" s="2" t="s">
        <v>32</v>
      </c>
      <c r="E474" s="2" t="s">
        <v>21</v>
      </c>
      <c r="F474" s="2" t="s">
        <v>15</v>
      </c>
      <c r="G474" s="2" t="s">
        <v>664</v>
      </c>
      <c r="H474" s="2" t="s">
        <v>48</v>
      </c>
      <c r="I474" s="2" t="str">
        <f>IFERROR(__xludf.DUMMYFUNCTION("GOOGLETRANSLATE(C474,""fr"",""en"")"),"The franchise even in all too large risk shocking limit, I think for this price, we pay the sticker, hoping that nothing happens.")</f>
        <v>The franchise even in all too large risk shocking limit, I think for this price, we pay the sticker, hoping that nothing happens.</v>
      </c>
    </row>
    <row r="475" ht="15.75" customHeight="1">
      <c r="A475" s="2">
        <v>4.0</v>
      </c>
      <c r="B475" s="2" t="s">
        <v>1408</v>
      </c>
      <c r="C475" s="2" t="s">
        <v>1409</v>
      </c>
      <c r="D475" s="2" t="s">
        <v>122</v>
      </c>
      <c r="E475" s="2" t="s">
        <v>42</v>
      </c>
      <c r="F475" s="2" t="s">
        <v>15</v>
      </c>
      <c r="G475" s="2" t="s">
        <v>1410</v>
      </c>
      <c r="H475" s="2" t="s">
        <v>876</v>
      </c>
      <c r="I475" s="2" t="str">
        <f>IFERROR(__xludf.DUMMYFUNCTION("GOOGLETRANSLATE(C475,""fr"",""en"")"),"The Matmut is far from the cheapest, but when they know what happens to those who run after the discounts")</f>
        <v>The Matmut is far from the cheapest, but when they know what happens to those who run after the discounts</v>
      </c>
    </row>
    <row r="476" ht="15.75" customHeight="1">
      <c r="A476" s="2">
        <v>4.0</v>
      </c>
      <c r="B476" s="2" t="s">
        <v>1411</v>
      </c>
      <c r="C476" s="2" t="s">
        <v>1412</v>
      </c>
      <c r="D476" s="2" t="s">
        <v>32</v>
      </c>
      <c r="E476" s="2" t="s">
        <v>21</v>
      </c>
      <c r="F476" s="2" t="s">
        <v>15</v>
      </c>
      <c r="G476" s="2" t="s">
        <v>930</v>
      </c>
      <c r="H476" s="2" t="s">
        <v>87</v>
      </c>
      <c r="I476" s="2" t="str">
        <f>IFERROR(__xludf.DUMMYFUNCTION("GOOGLETRANSLATE(C476,""fr"",""en"")"),"I am satisfied with the service. However, as already reported, watch out for your partner garages that do not play the game. When you pay supplements to have a replacement car you don't expect to have to ride with an almost wreck!")</f>
        <v>I am satisfied with the service. However, as already reported, watch out for your partner garages that do not play the game. When you pay supplements to have a replacement car you don't expect to have to ride with an almost wreck!</v>
      </c>
    </row>
    <row r="477" ht="15.75" customHeight="1">
      <c r="A477" s="2">
        <v>3.0</v>
      </c>
      <c r="B477" s="2" t="s">
        <v>1413</v>
      </c>
      <c r="C477" s="2" t="s">
        <v>1414</v>
      </c>
      <c r="D477" s="2" t="s">
        <v>146</v>
      </c>
      <c r="E477" s="2" t="s">
        <v>52</v>
      </c>
      <c r="F477" s="2" t="s">
        <v>15</v>
      </c>
      <c r="G477" s="2" t="s">
        <v>1415</v>
      </c>
      <c r="H477" s="2" t="s">
        <v>38</v>
      </c>
      <c r="I477" s="2" t="str">
        <f>IFERROR(__xludf.DUMMYFUNCTION("GOOGLETRANSLATE(C477,""fr"",""en"")"),"See the continuation ...... I will make myself an ideas later I never assure myself on the net Jattend BCP of this experience to ensure my father")</f>
        <v>See the continuation ...... I will make myself an ideas later I never assure myself on the net Jattend BCP of this experience to ensure my father</v>
      </c>
    </row>
    <row r="478" ht="15.75" customHeight="1">
      <c r="A478" s="2">
        <v>1.0</v>
      </c>
      <c r="B478" s="2" t="s">
        <v>1416</v>
      </c>
      <c r="C478" s="2" t="s">
        <v>1417</v>
      </c>
      <c r="D478" s="2" t="s">
        <v>106</v>
      </c>
      <c r="E478" s="2" t="s">
        <v>14</v>
      </c>
      <c r="F478" s="2" t="s">
        <v>15</v>
      </c>
      <c r="G478" s="2" t="s">
        <v>1418</v>
      </c>
      <c r="H478" s="2" t="s">
        <v>860</v>
      </c>
      <c r="I478" s="2" t="str">
        <f>IFERROR(__xludf.DUMMYFUNCTION("GOOGLETRANSLATE(C478,""fr"",""en"")"),"Shameful telephone canvassing
Harassment to make them terminate their contract and take them as new customers.
This is lamentable methods partly subsidized at Samassure BROIR")</f>
        <v>Shameful telephone canvassing
Harassment to make them terminate their contract and take them as new customers.
This is lamentable methods partly subsidized at Samassure BROIR</v>
      </c>
    </row>
    <row r="479" ht="15.75" customHeight="1">
      <c r="A479" s="2">
        <v>1.0</v>
      </c>
      <c r="B479" s="2" t="s">
        <v>1419</v>
      </c>
      <c r="C479" s="2" t="s">
        <v>1420</v>
      </c>
      <c r="D479" s="2" t="s">
        <v>93</v>
      </c>
      <c r="E479" s="2" t="s">
        <v>27</v>
      </c>
      <c r="F479" s="2" t="s">
        <v>15</v>
      </c>
      <c r="G479" s="2" t="s">
        <v>1421</v>
      </c>
      <c r="H479" s="2" t="s">
        <v>199</v>
      </c>
      <c r="I479" s="2" t="str">
        <f>IFERROR(__xludf.DUMMYFUNCTION("GOOGLETRANSLATE(C479,""fr"",""en"")"),"Purpose Request for redemption after compulsory liquidation.
Transmission of demand by the website by asking if there is a LRAR need. No answer. After fifteen days two emails and a telephone call, I am told that a signature is needed. Sending all documen"&amp;"ts in LRAR. Telephone call requesting a certificate on the honor of end of activity by email and 6 days after still no news. Is contactweb to make it believe that the file is processed?
")</f>
        <v>Purpose Request for redemption after compulsory liquidation.
Transmission of demand by the website by asking if there is a LRAR need. No answer. After fifteen days two emails and a telephone call, I am told that a signature is needed. Sending all documents in LRAR. Telephone call requesting a certificate on the honor of end of activity by email and 6 days after still no news. Is contactweb to make it believe that the file is processed?
</v>
      </c>
    </row>
    <row r="480" ht="15.75" customHeight="1">
      <c r="A480" s="2">
        <v>4.0</v>
      </c>
      <c r="B480" s="2" t="s">
        <v>1422</v>
      </c>
      <c r="C480" s="2" t="s">
        <v>1423</v>
      </c>
      <c r="D480" s="2" t="s">
        <v>106</v>
      </c>
      <c r="E480" s="2" t="s">
        <v>14</v>
      </c>
      <c r="F480" s="2" t="s">
        <v>15</v>
      </c>
      <c r="G480" s="2" t="s">
        <v>57</v>
      </c>
      <c r="H480" s="2" t="s">
        <v>58</v>
      </c>
      <c r="I480" s="2" t="str">
        <f>IFERROR(__xludf.DUMMYFUNCTION("GOOGLETRANSLATE(C480,""fr"",""en"")"),"Excellent contact, clear and clear explanations, congratulations to Lissa, fairly fast reimbursements, overall.
I wish you good reception of this
Michelle Vanderstraeten")</f>
        <v>Excellent contact, clear and clear explanations, congratulations to Lissa, fairly fast reimbursements, overall.
I wish you good reception of this
Michelle Vanderstraeten</v>
      </c>
    </row>
    <row r="481" ht="15.75" customHeight="1">
      <c r="A481" s="2">
        <v>4.0</v>
      </c>
      <c r="B481" s="2" t="s">
        <v>1424</v>
      </c>
      <c r="C481" s="2" t="s">
        <v>1425</v>
      </c>
      <c r="D481" s="2" t="s">
        <v>20</v>
      </c>
      <c r="E481" s="2" t="s">
        <v>21</v>
      </c>
      <c r="F481" s="2" t="s">
        <v>15</v>
      </c>
      <c r="G481" s="2" t="s">
        <v>57</v>
      </c>
      <c r="H481" s="2" t="s">
        <v>58</v>
      </c>
      <c r="I481" s="2" t="str">
        <f>IFERROR(__xludf.DUMMYFUNCTION("GOOGLETRANSLATE(C481,""fr"",""en"")"),"Thanks to Florence that I had on the phone, who explained to me very well and answered all my interrogation and also very friendly.
It was clear and fast.
 ")</f>
        <v>Thanks to Florence that I had on the phone, who explained to me very well and answered all my interrogation and also very friendly.
It was clear and fast.
 </v>
      </c>
    </row>
    <row r="482" ht="15.75" customHeight="1">
      <c r="A482" s="2">
        <v>4.0</v>
      </c>
      <c r="B482" s="2" t="s">
        <v>1426</v>
      </c>
      <c r="C482" s="2" t="s">
        <v>1427</v>
      </c>
      <c r="D482" s="2" t="s">
        <v>32</v>
      </c>
      <c r="E482" s="2" t="s">
        <v>21</v>
      </c>
      <c r="F482" s="2" t="s">
        <v>15</v>
      </c>
      <c r="G482" s="2" t="s">
        <v>1394</v>
      </c>
      <c r="H482" s="2" t="s">
        <v>48</v>
      </c>
      <c r="I482" s="2" t="str">
        <f>IFERROR(__xludf.DUMMYFUNCTION("GOOGLETRANSLATE(C482,""fr"",""en"")"),"The procedures are very simple and quick by the website and advisers and advisers, on the phone, are effective and sympathetic.
")</f>
        <v>The procedures are very simple and quick by the website and advisers and advisers, on the phone, are effective and sympathetic.
</v>
      </c>
    </row>
    <row r="483" ht="15.75" customHeight="1">
      <c r="A483" s="2">
        <v>2.0</v>
      </c>
      <c r="B483" s="2" t="s">
        <v>1428</v>
      </c>
      <c r="C483" s="2" t="s">
        <v>1429</v>
      </c>
      <c r="D483" s="2" t="s">
        <v>926</v>
      </c>
      <c r="E483" s="2" t="s">
        <v>52</v>
      </c>
      <c r="F483" s="2" t="s">
        <v>15</v>
      </c>
      <c r="G483" s="2" t="s">
        <v>1010</v>
      </c>
      <c r="H483" s="2" t="s">
        <v>319</v>
      </c>
      <c r="I483" s="2" t="str">
        <f>IFERROR(__xludf.DUMMYFUNCTION("GOOGLETRANSLATE(C483,""fr"",""en"")"),"No news from my claim for 8 months. It is not possible to attach the sinister service by phone, do not respond to any email, I am still not reimbursed for my accident.")</f>
        <v>No news from my claim for 8 months. It is not possible to attach the sinister service by phone, do not respond to any email, I am still not reimbursed for my accident.</v>
      </c>
    </row>
    <row r="484" ht="15.75" customHeight="1">
      <c r="A484" s="2">
        <v>4.0</v>
      </c>
      <c r="B484" s="2" t="s">
        <v>1430</v>
      </c>
      <c r="C484" s="2" t="s">
        <v>1431</v>
      </c>
      <c r="D484" s="2" t="s">
        <v>325</v>
      </c>
      <c r="E484" s="2" t="s">
        <v>283</v>
      </c>
      <c r="F484" s="2" t="s">
        <v>15</v>
      </c>
      <c r="G484" s="2" t="s">
        <v>1432</v>
      </c>
      <c r="H484" s="2" t="s">
        <v>95</v>
      </c>
      <c r="I484" s="2" t="str">
        <f>IFERROR(__xludf.DUMMYFUNCTION("GOOGLETRANSLATE(C484,""fr"",""en"")"),"hello, 
I have been a member of Santevet for over 10 years. Right now, I have 7 assured cats, including one who suffers from backgrounds of the back and which requires monthly care (laser and injections). I have never had any reimbursement problems (90% "&amp;"of the costs each time) fired within 48 hours. I do not find that contributions have increased in considerable ways (any more than our personal mutuals)
I have a ceiling of 2,200 euros per cat and per year in premium formula
I therefore do not understan"&amp;"d all these negative opinions, the reimbursement rate depends on the contract subscribed.
Just make the comparison with other animal insurance (certainly cheaper) which do not reimburse anything with deductibles with each refund. Santevet has only an ann"&amp;"ual franchise.
In addition, advisor easy to reach
Anyway, for my part, satisfaction +++
I. B.")</f>
        <v>hello, 
I have been a member of Santevet for over 10 years. Right now, I have 7 assured cats, including one who suffers from backgrounds of the back and which requires monthly care (laser and injections). I have never had any reimbursement problems (90% of the costs each time) fired within 48 hours. I do not find that contributions have increased in considerable ways (any more than our personal mutuals)
I have a ceiling of 2,200 euros per cat and per year in premium formula
I therefore do not understand all these negative opinions, the reimbursement rate depends on the contract subscribed.
Just make the comparison with other animal insurance (certainly cheaper) which do not reimburse anything with deductibles with each refund. Santevet has only an annual franchise.
In addition, advisor easy to reach
Anyway, for my part, satisfaction +++
I. B.</v>
      </c>
    </row>
    <row r="485" ht="15.75" customHeight="1">
      <c r="A485" s="2">
        <v>1.0</v>
      </c>
      <c r="B485" s="2" t="s">
        <v>1433</v>
      </c>
      <c r="C485" s="2" t="s">
        <v>1434</v>
      </c>
      <c r="D485" s="2" t="s">
        <v>314</v>
      </c>
      <c r="E485" s="2" t="s">
        <v>21</v>
      </c>
      <c r="F485" s="2" t="s">
        <v>15</v>
      </c>
      <c r="G485" s="2" t="s">
        <v>1435</v>
      </c>
      <c r="H485" s="2" t="s">
        <v>422</v>
      </c>
      <c r="I485" s="2" t="str">
        <f>IFERROR(__xludf.DUMMYFUNCTION("GOOGLETRANSLATE(C485,""fr"",""en"")"),"Hello,
I see that I am not the only one in this case given all the negative opinions, I am in the same case as the predictive person.
My opinion is that it is a company avoided.
Cordially.
")</f>
        <v>Hello,
I see that I am not the only one in this case given all the negative opinions, I am in the same case as the predictive person.
My opinion is that it is a company avoided.
Cordially.
</v>
      </c>
    </row>
    <row r="486" ht="15.75" customHeight="1">
      <c r="A486" s="2">
        <v>3.0</v>
      </c>
      <c r="B486" s="2" t="s">
        <v>1436</v>
      </c>
      <c r="C486" s="2" t="s">
        <v>1437</v>
      </c>
      <c r="D486" s="2" t="s">
        <v>32</v>
      </c>
      <c r="E486" s="2" t="s">
        <v>21</v>
      </c>
      <c r="F486" s="2" t="s">
        <v>15</v>
      </c>
      <c r="G486" s="2" t="s">
        <v>827</v>
      </c>
      <c r="H486" s="2" t="s">
        <v>54</v>
      </c>
      <c r="I486" s="2" t="str">
        <f>IFERROR(__xludf.DUMMYFUNCTION("GOOGLETRANSLATE(C486,""fr"",""en"")"),"It's a bit early to talk about the service right? I just registered and pay ... We will see later when you will (maybe) use it, here we will talk about your service :)")</f>
        <v>It's a bit early to talk about the service right? I just registered and pay ... We will see later when you will (maybe) use it, here we will talk about your service :)</v>
      </c>
    </row>
    <row r="487" ht="15.75" customHeight="1">
      <c r="A487" s="2">
        <v>1.0</v>
      </c>
      <c r="B487" s="2" t="s">
        <v>1438</v>
      </c>
      <c r="C487" s="2" t="s">
        <v>1439</v>
      </c>
      <c r="D487" s="2" t="s">
        <v>282</v>
      </c>
      <c r="E487" s="2" t="s">
        <v>283</v>
      </c>
      <c r="F487" s="2" t="s">
        <v>15</v>
      </c>
      <c r="G487" s="2" t="s">
        <v>1440</v>
      </c>
      <c r="H487" s="2" t="s">
        <v>23</v>
      </c>
      <c r="I487" s="2" t="str">
        <f>IFERROR(__xludf.DUMMYFUNCTION("GOOGLETRANSLATE(C487,""fr"",""en"")"),"It is an insurance that must be flee from everything !!!! Because as soon as your animal requires regular care, it costs them money, so they increase your monthly contributions by 100% the following year !!!, and rebole the year after, still 100% !!! + an"&amp;" increase of 15% as soon as your pet celebrates its 10 years !!!!!! A shame this insurance! And as soon as you give them a negative opinion, they saw you like a malpropre !!!")</f>
        <v>It is an insurance that must be flee from everything !!!! Because as soon as your animal requires regular care, it costs them money, so they increase your monthly contributions by 100% the following year !!!, and rebole the year after, still 100% !!! + an increase of 15% as soon as your pet celebrates its 10 years !!!!!! A shame this insurance! And as soon as you give them a negative opinion, they saw you like a malpropre !!!</v>
      </c>
    </row>
    <row r="488" ht="15.75" customHeight="1">
      <c r="A488" s="2">
        <v>5.0</v>
      </c>
      <c r="B488" s="2" t="s">
        <v>1441</v>
      </c>
      <c r="C488" s="2" t="s">
        <v>1442</v>
      </c>
      <c r="D488" s="2" t="s">
        <v>32</v>
      </c>
      <c r="E488" s="2" t="s">
        <v>21</v>
      </c>
      <c r="F488" s="2" t="s">
        <v>15</v>
      </c>
      <c r="G488" s="2" t="s">
        <v>214</v>
      </c>
      <c r="H488" s="2" t="s">
        <v>58</v>
      </c>
      <c r="I488" s="2" t="str">
        <f>IFERROR(__xludf.DUMMYFUNCTION("GOOGLETRANSLATE(C488,""fr"",""en"")"),"Simple website, phone advisor that provides clear and precise answers, interesting prices, to see the next few years and charges.")</f>
        <v>Simple website, phone advisor that provides clear and precise answers, interesting prices, to see the next few years and charges.</v>
      </c>
    </row>
    <row r="489" ht="15.75" customHeight="1">
      <c r="A489" s="2">
        <v>5.0</v>
      </c>
      <c r="B489" s="2" t="s">
        <v>1443</v>
      </c>
      <c r="C489" s="2" t="s">
        <v>1444</v>
      </c>
      <c r="D489" s="2" t="s">
        <v>139</v>
      </c>
      <c r="E489" s="2" t="s">
        <v>21</v>
      </c>
      <c r="F489" s="2" t="s">
        <v>15</v>
      </c>
      <c r="G489" s="2" t="s">
        <v>1432</v>
      </c>
      <c r="H489" s="2" t="s">
        <v>95</v>
      </c>
      <c r="I489" s="2" t="str">
        <f>IFERROR(__xludf.DUMMYFUNCTION("GOOGLETRANSLATE(C489,""fr"",""en"")"),"Simple and very practical for a large number of services.
Allows significant time saving both to pay as to request information or contract a new service.")</f>
        <v>Simple and very practical for a large number of services.
Allows significant time saving both to pay as to request information or contract a new service.</v>
      </c>
    </row>
    <row r="490" ht="15.75" customHeight="1">
      <c r="A490" s="2">
        <v>1.0</v>
      </c>
      <c r="B490" s="2" t="s">
        <v>1445</v>
      </c>
      <c r="C490" s="2" t="s">
        <v>1446</v>
      </c>
      <c r="D490" s="2" t="s">
        <v>122</v>
      </c>
      <c r="E490" s="2" t="s">
        <v>21</v>
      </c>
      <c r="F490" s="2" t="s">
        <v>15</v>
      </c>
      <c r="G490" s="2" t="s">
        <v>1447</v>
      </c>
      <c r="H490" s="2" t="s">
        <v>199</v>
      </c>
      <c r="I490" s="2" t="str">
        <f>IFERROR(__xludf.DUMMYFUNCTION("GOOGLETRANSLATE(C490,""fr"",""en"")"),"I am very disappointed with this insurance !!! I suffered vandalism on my vehicle on 18/12/2020. In front of a college, my vehicle was tagged with obscene drawings on the hood and on the 4 doors. We filed a complaint with the police and made our statement"&amp;" to the Matmut by filling out all the necessary papers. 3 days ago I receive a letter from the Matmut to inform me that the claim will not be compensated by insurance because we have not declared scratches on the front and rear bumper. However, these part"&amp;"s of the vehicle have nothing to do with those that have been vandalized and we only demand the care of vandalized parties and not the whole car. It seems that all means are good not to compensate members . So I find myself riding with a car with obscene "&amp;"drawings! I pay for any risk insurance not to be compensated in the event of a claim and I find it shameful.")</f>
        <v>I am very disappointed with this insurance !!! I suffered vandalism on my vehicle on 18/12/2020. In front of a college, my vehicle was tagged with obscene drawings on the hood and on the 4 doors. We filed a complaint with the police and made our statement to the Matmut by filling out all the necessary papers. 3 days ago I receive a letter from the Matmut to inform me that the claim will not be compensated by insurance because we have not declared scratches on the front and rear bumper. However, these parts of the vehicle have nothing to do with those that have been vandalized and we only demand the care of vandalized parties and not the whole car. It seems that all means are good not to compensate members . So I find myself riding with a car with obscene drawings! I pay for any risk insurance not to be compensated in the event of a claim and I find it shameful.</v>
      </c>
    </row>
    <row r="491" ht="15.75" customHeight="1">
      <c r="A491" s="2">
        <v>5.0</v>
      </c>
      <c r="B491" s="2" t="s">
        <v>1448</v>
      </c>
      <c r="C491" s="2" t="s">
        <v>1449</v>
      </c>
      <c r="D491" s="2" t="s">
        <v>122</v>
      </c>
      <c r="E491" s="2" t="s">
        <v>42</v>
      </c>
      <c r="F491" s="2" t="s">
        <v>15</v>
      </c>
      <c r="G491" s="2" t="s">
        <v>1450</v>
      </c>
      <c r="H491" s="2" t="s">
        <v>63</v>
      </c>
      <c r="I491" s="2" t="str">
        <f>IFERROR(__xludf.DUMMYFUNCTION("GOOGLETRANSLATE(C491,""fr"",""en"")"),"very attentive staff and very anxious to satisfy the customer's request")</f>
        <v>very attentive staff and very anxious to satisfy the customer's request</v>
      </c>
    </row>
    <row r="492" ht="15.75" customHeight="1">
      <c r="A492" s="2">
        <v>2.0</v>
      </c>
      <c r="B492" s="2" t="s">
        <v>1451</v>
      </c>
      <c r="C492" s="2" t="s">
        <v>1452</v>
      </c>
      <c r="D492" s="2" t="s">
        <v>150</v>
      </c>
      <c r="E492" s="2" t="s">
        <v>21</v>
      </c>
      <c r="F492" s="2" t="s">
        <v>15</v>
      </c>
      <c r="G492" s="2" t="s">
        <v>1453</v>
      </c>
      <c r="H492" s="2" t="s">
        <v>525</v>
      </c>
      <c r="I492" s="2" t="str">
        <f>IFERROR(__xludf.DUMMYFUNCTION("GOOGLETRANSLATE(C492,""fr"",""en"")"),"A few days ago I would have said that the Macif is a very good insurance. To date I will not recommend the Macif. 14 years that we are insured at the Macif, all our vehicles and motorcycles we were going to pass the house, except that last week because of"&amp;" the wind the door of my vehicle to touch that of another vehicle the shock is not even seen , the driver being in a company vehicle we make an observation thinking that after all this seniority and as a good customer without any incident in 14 years we w"&amp;"ould have no penalty. Well not being faithful to the Macif it is useless, my advisor who tells me it's the rule with Macif I can do nothing on your 14% penalty (on the phone we are told 25% we understand nothing) or on future prices. So when you have a pr"&amp;"oblem do not count on the Macif. What is the point of having agencies and advisers ??? I do not understand what it is for my part they are useless in all cases after 14 years of loyalty I leave this insurance, especially avoid the Macif they do not like l"&amp;"oyal customers.")</f>
        <v>A few days ago I would have said that the Macif is a very good insurance. To date I will not recommend the Macif. 14 years that we are insured at the Macif, all our vehicles and motorcycles we were going to pass the house, except that last week because of the wind the door of my vehicle to touch that of another vehicle the shock is not even seen , the driver being in a company vehicle we make an observation thinking that after all this seniority and as a good customer without any incident in 14 years we would have no penalty. Well not being faithful to the Macif it is useless, my advisor who tells me it's the rule with Macif I can do nothing on your 14% penalty (on the phone we are told 25% we understand nothing) or on future prices. So when you have a problem do not count on the Macif. What is the point of having agencies and advisers ??? I do not understand what it is for my part they are useless in all cases after 14 years of loyalty I leave this insurance, especially avoid the Macif they do not like loyal customers.</v>
      </c>
    </row>
    <row r="493" ht="15.75" customHeight="1">
      <c r="A493" s="2">
        <v>1.0</v>
      </c>
      <c r="B493" s="2" t="s">
        <v>1454</v>
      </c>
      <c r="C493" s="2" t="s">
        <v>1455</v>
      </c>
      <c r="D493" s="2" t="s">
        <v>150</v>
      </c>
      <c r="E493" s="2" t="s">
        <v>544</v>
      </c>
      <c r="F493" s="2" t="s">
        <v>15</v>
      </c>
      <c r="G493" s="2" t="s">
        <v>159</v>
      </c>
      <c r="H493" s="2" t="s">
        <v>34</v>
      </c>
      <c r="I493" s="2" t="str">
        <f>IFERROR(__xludf.DUMMYFUNCTION("GOOGLETRANSLATE(C493,""fr"",""en"")"),"For a simple termination: 2 trips to agency, 4 telephone calls, 2 recommended with AR, and in return: reminder of unpaid, formal notice and finally litigation service, the Macif has a very big problem")</f>
        <v>For a simple termination: 2 trips to agency, 4 telephone calls, 2 recommended with AR, and in return: reminder of unpaid, formal notice and finally litigation service, the Macif has a very big problem</v>
      </c>
    </row>
    <row r="494" ht="15.75" customHeight="1">
      <c r="A494" s="2">
        <v>5.0</v>
      </c>
      <c r="B494" s="2" t="s">
        <v>1456</v>
      </c>
      <c r="C494" s="2" t="s">
        <v>1457</v>
      </c>
      <c r="D494" s="2" t="s">
        <v>20</v>
      </c>
      <c r="E494" s="2" t="s">
        <v>21</v>
      </c>
      <c r="F494" s="2" t="s">
        <v>15</v>
      </c>
      <c r="G494" s="2" t="s">
        <v>770</v>
      </c>
      <c r="H494" s="2" t="s">
        <v>179</v>
      </c>
      <c r="I494" s="2" t="str">
        <f>IFERROR(__xludf.DUMMYFUNCTION("GOOGLETRANSLATE(C494,""fr"",""en"")"),"Red best price on the internet? Advisor by the lynx and a friend who sponsors me, I largely recommend this insurance compared to my old insurance which is more expensive for the same guarantees")</f>
        <v>Red best price on the internet? Advisor by the lynx and a friend who sponsors me, I largely recommend this insurance compared to my old insurance which is more expensive for the same guarantees</v>
      </c>
    </row>
    <row r="495" ht="15.75" customHeight="1">
      <c r="A495" s="2">
        <v>2.0</v>
      </c>
      <c r="B495" s="2" t="s">
        <v>1458</v>
      </c>
      <c r="C495" s="2" t="s">
        <v>1459</v>
      </c>
      <c r="D495" s="2" t="s">
        <v>32</v>
      </c>
      <c r="E495" s="2" t="s">
        <v>21</v>
      </c>
      <c r="F495" s="2" t="s">
        <v>15</v>
      </c>
      <c r="G495" s="2" t="s">
        <v>1460</v>
      </c>
      <c r="H495" s="2" t="s">
        <v>525</v>
      </c>
      <c r="I495" s="2" t="str">
        <f>IFERROR(__xludf.DUMMYFUNCTION("GOOGLETRANSLATE(C495,""fr"",""en"")"),"CONTROL CONTROL CARCE because I did not receive my new gray card on time by the ANTS. Suddenly, I found myself without insurance. Direct Insurance took me 3 months of directorate and terminated the contract after 2 months, in the end I receive a registere"&amp;"d letter to tell me that it reimburses 2.60 euros.")</f>
        <v>CONTROL CONTROL CARCE because I did not receive my new gray card on time by the ANTS. Suddenly, I found myself without insurance. Direct Insurance took me 3 months of directorate and terminated the contract after 2 months, in the end I receive a registered letter to tell me that it reimburses 2.60 euros.</v>
      </c>
    </row>
    <row r="496" ht="15.75" customHeight="1">
      <c r="A496" s="2">
        <v>1.0</v>
      </c>
      <c r="B496" s="2" t="s">
        <v>1461</v>
      </c>
      <c r="C496" s="2" t="s">
        <v>1462</v>
      </c>
      <c r="D496" s="2" t="s">
        <v>85</v>
      </c>
      <c r="E496" s="2" t="s">
        <v>14</v>
      </c>
      <c r="F496" s="2" t="s">
        <v>15</v>
      </c>
      <c r="G496" s="2" t="s">
        <v>1463</v>
      </c>
      <c r="H496" s="2" t="s">
        <v>54</v>
      </c>
      <c r="I496" s="2" t="str">
        <f>IFERROR(__xludf.DUMMYFUNCTION("GOOGLETRANSLATE(C496,""fr"",""en"")"),"I wish to terminate my contract with you because the person who took care of me did not understand my needs. I pay very expensive for minimal reimbursement.
Therefore please confirm the immediate termination of my contract.
I want to inform you that I w"&amp;"ill oppose my bank account for any sample of your organization.
I will in no case hesitate to start these steps with the TGI as well as the ACPR if I do not have confirmation letter from you within 8 days.
 ")</f>
        <v>I wish to terminate my contract with you because the person who took care of me did not understand my needs. I pay very expensive for minimal reimbursement.
Therefore please confirm the immediate termination of my contract.
I want to inform you that I will oppose my bank account for any sample of your organization.
I will in no case hesitate to start these steps with the TGI as well as the ACPR if I do not have confirmation letter from you within 8 days.
 </v>
      </c>
    </row>
    <row r="497" ht="15.75" customHeight="1">
      <c r="A497" s="2">
        <v>2.0</v>
      </c>
      <c r="B497" s="2" t="s">
        <v>1464</v>
      </c>
      <c r="C497" s="2" t="s">
        <v>1465</v>
      </c>
      <c r="D497" s="2" t="s">
        <v>32</v>
      </c>
      <c r="E497" s="2" t="s">
        <v>21</v>
      </c>
      <c r="F497" s="2" t="s">
        <v>15</v>
      </c>
      <c r="G497" s="2" t="s">
        <v>721</v>
      </c>
      <c r="H497" s="2" t="s">
        <v>48</v>
      </c>
      <c r="I497" s="2" t="str">
        <f>IFERROR(__xludf.DUMMYFUNCTION("GOOGLETRANSLATE(C497,""fr"",""en"")"),"- I do not understand the increase in my insurance premium for the period 2021/2022 to come when I did not declare any liable disaster over the past period 2020/2021, for which the claims has generally decreased due of the health context and the generaliz"&amp;"ed practice of telework, me including ... and it is the same thing every year.
- very poorly designed customer area: no access to the history of the messages that I send, sometimes no response to the messages sent, my name appears twice in the list of me"&amp;"mbers when I connect to the customer area using my iPad , I see two auto contract numbers in my name when I connect to the customer area using my iPad.")</f>
        <v>- I do not understand the increase in my insurance premium for the period 2021/2022 to come when I did not declare any liable disaster over the past period 2020/2021, for which the claims has generally decreased due of the health context and the generalized practice of telework, me including ... and it is the same thing every year.
- very poorly designed customer area: no access to the history of the messages that I send, sometimes no response to the messages sent, my name appears twice in the list of members when I connect to the customer area using my iPad , I see two auto contract numbers in my name when I connect to the customer area using my iPad.</v>
      </c>
    </row>
    <row r="498" ht="15.75" customHeight="1">
      <c r="A498" s="2">
        <v>2.0</v>
      </c>
      <c r="B498" s="2" t="s">
        <v>1466</v>
      </c>
      <c r="C498" s="2" t="s">
        <v>1467</v>
      </c>
      <c r="D498" s="2" t="s">
        <v>41</v>
      </c>
      <c r="E498" s="2" t="s">
        <v>21</v>
      </c>
      <c r="F498" s="2" t="s">
        <v>15</v>
      </c>
      <c r="G498" s="2" t="s">
        <v>1468</v>
      </c>
      <c r="H498" s="2" t="s">
        <v>228</v>
      </c>
      <c r="I498" s="2" t="str">
        <f>IFERROR(__xludf.DUMMYFUNCTION("GOOGLETRANSLATE(C498,""fr"",""en"")"),"Customer since 1991 with a lifetime bonus we refuse the repair of my husband's vehicle that we found stamped in a parking lot of a DIY store The expert says that the vehicle was in circulation any matter what in fact to be reimbursed it does not Do not te"&amp;"ll the truth to the maaf but whatever if we want to be reimbursed it is the second claim but I have enough because I cannot count on them I will not assign them each time to see in order to my recognized rights I Telephone tomorrow and if no return since "&amp;"honesty is not rewarded I terminate the 2 Auto CONTRACTS The 4 Home Contracts and School Insurance")</f>
        <v>Customer since 1991 with a lifetime bonus we refuse the repair of my husband's vehicle that we found stamped in a parking lot of a DIY store The expert says that the vehicle was in circulation any matter what in fact to be reimbursed it does not Do not tell the truth to the maaf but whatever if we want to be reimbursed it is the second claim but I have enough because I cannot count on them I will not assign them each time to see in order to my recognized rights I Telephone tomorrow and if no return since honesty is not rewarded I terminate the 2 Auto CONTRACTS The 4 Home Contracts and School Insurance</v>
      </c>
    </row>
    <row r="499" ht="15.75" customHeight="1">
      <c r="A499" s="2">
        <v>5.0</v>
      </c>
      <c r="B499" s="2" t="s">
        <v>1469</v>
      </c>
      <c r="C499" s="2" t="s">
        <v>1470</v>
      </c>
      <c r="D499" s="2" t="s">
        <v>146</v>
      </c>
      <c r="E499" s="2" t="s">
        <v>52</v>
      </c>
      <c r="F499" s="2" t="s">
        <v>15</v>
      </c>
      <c r="G499" s="2" t="s">
        <v>939</v>
      </c>
      <c r="H499" s="2" t="s">
        <v>38</v>
      </c>
      <c r="I499" s="2" t="str">
        <f>IFERROR(__xludf.DUMMYFUNCTION("GOOGLETRANSLATE(C499,""fr"",""en"")"),"I am satisfied with the prices.
I am satisfied with the speed to be assured and also of the ease of making sure.
I recommend April Moto to all since I got my license.")</f>
        <v>I am satisfied with the prices.
I am satisfied with the speed to be assured and also of the ease of making sure.
I recommend April Moto to all since I got my license.</v>
      </c>
    </row>
    <row r="500" ht="15.75" customHeight="1">
      <c r="A500" s="2">
        <v>1.0</v>
      </c>
      <c r="B500" s="2" t="s">
        <v>1471</v>
      </c>
      <c r="C500" s="2" t="s">
        <v>1472</v>
      </c>
      <c r="D500" s="2" t="s">
        <v>434</v>
      </c>
      <c r="E500" s="2" t="s">
        <v>128</v>
      </c>
      <c r="F500" s="2" t="s">
        <v>15</v>
      </c>
      <c r="G500" s="2" t="s">
        <v>1473</v>
      </c>
      <c r="H500" s="2" t="s">
        <v>224</v>
      </c>
      <c r="I500" s="2" t="str">
        <f>IFERROR(__xludf.DUMMYFUNCTION("GOOGLETRANSLATE(C500,""fr"",""en"")"),"Hello,
In 2006, I took borrower insurance from April Assurances for two loans.
Since 2006 this company has applied a monthly surprise of 75% or € 340.44 due to obesity.
The ""small"" ready is over.
The ""big"" loan is reimbursed at 2/3 (end in 2021) a"&amp;"nd yet the monthly surprise does not decrease.
At the end of November 2016 I suffered a bypass to improve my health.
On March 14, 2017 I informed April (management@april.com) that my BMI was 30 instead of +43. I was told to wait 7 weeks to get an answer"&amp;".
On March 25 without news from April, I called customer service and received a questionnaire that was fulfilled and returned during the day. I was asked to wait 3 additional weeks.
On June 12, no answer following the sending of the fulfilled questionna"&amp;"ire. I decided to join UFC Que Choosing Consumer Defense Association, my interlocutor confirmed that it was abnormal that APRIL continues to apply a surprise for a person with a BMI at 28.
On June 15, the doctor established a medical certificate which co"&amp;"nfirms that my BMI is 28.
June 21: APRIL reaction, 12 weeks of waiting in place of the 3 announced on March 25. The surprise would no longer be ""only"" 50%. This proposal seems to me discriminatory, I am looking for a legal and impartial interlocutor wh"&amp;"o can tell me that doing so that APRIL respects my rights of insured.
 The surprise would finally be decreasing when it was not for ten years and would decrease according to the amounts remaining to be insured.
She should have been declining since the s"&amp;"tart in 2006.
Since March 14, four samples of € 340.44 have taken place.
This July 11 my BMI is 28, I never had diabetes 1 or 2.
No medical treatment, no tobacco, no vaping, no alcohol. Still no diabetes 1 or 2. Since 2016 I have made 12 to 15,000 step"&amp;"s every day. So why this 50% surprise?
And it's not over, my goal is to reach a BMI of 23 by the end of 2017 and stick to it. April will be notified if I'm still a client.
")</f>
        <v>Hello,
In 2006, I took borrower insurance from April Assurances for two loans.
Since 2006 this company has applied a monthly surprise of 75% or € 340.44 due to obesity.
The "small" ready is over.
The "big" loan is reimbursed at 2/3 (end in 2021) and yet the monthly surprise does not decrease.
At the end of November 2016 I suffered a bypass to improve my health.
On March 14, 2017 I informed April (management@april.com) that my BMI was 30 instead of +43. I was told to wait 7 weeks to get an answer.
On March 25 without news from April, I called customer service and received a questionnaire that was fulfilled and returned during the day. I was asked to wait 3 additional weeks.
On June 12, no answer following the sending of the fulfilled questionnaire. I decided to join UFC Que Choosing Consumer Defense Association, my interlocutor confirmed that it was abnormal that APRIL continues to apply a surprise for a person with a BMI at 28.
On June 15, the doctor established a medical certificate which confirms that my BMI is 28.
June 21: APRIL reaction, 12 weeks of waiting in place of the 3 announced on March 25. The surprise would no longer be "only" 50%. This proposal seems to me discriminatory, I am looking for a legal and impartial interlocutor who can tell me that doing so that APRIL respects my rights of insured.
 The surprise would finally be decreasing when it was not for ten years and would decrease according to the amounts remaining to be insured.
She should have been declining since the start in 2006.
Since March 14, four samples of € 340.44 have taken place.
This July 11 my BMI is 28, I never had diabetes 1 or 2.
No medical treatment, no tobacco, no vaping, no alcohol. Still no diabetes 1 or 2. Since 2016 I have made 12 to 15,000 steps every day. So why this 50% surprise?
And it's not over, my goal is to reach a BMI of 23 by the end of 2017 and stick to it. April will be notified if I'm still a client.
</v>
      </c>
    </row>
    <row r="501" ht="15.75" customHeight="1">
      <c r="A501" s="2">
        <v>2.0</v>
      </c>
      <c r="B501" s="2" t="s">
        <v>1474</v>
      </c>
      <c r="C501" s="2" t="s">
        <v>1475</v>
      </c>
      <c r="D501" s="2" t="s">
        <v>41</v>
      </c>
      <c r="E501" s="2" t="s">
        <v>21</v>
      </c>
      <c r="F501" s="2" t="s">
        <v>15</v>
      </c>
      <c r="G501" s="2" t="s">
        <v>1476</v>
      </c>
      <c r="H501" s="2" t="s">
        <v>784</v>
      </c>
      <c r="I501" s="2" t="str">
        <f>IFERROR(__xludf.DUMMYFUNCTION("GOOGLETRANSLATE(C501,""fr"",""en"")"),"An agency responsible insurer with cavalry and aggressive practices to see you again the guarantees however signed and advice of failing in good and due forms
Supposedly events on my file while a simple call for information without a claim declaration is"&amp;" counted as an event at home
This manager is also haughty imbued with his person and depicting
I change the cremerie goodbye la maaf
 Yet satisfied with their telephonic platform service")</f>
        <v>An agency responsible insurer with cavalry and aggressive practices to see you again the guarantees however signed and advice of failing in good and due forms
Supposedly events on my file while a simple call for information without a claim declaration is counted as an event at home
This manager is also haughty imbued with his person and depicting
I change the cremerie goodbye la maaf
 Yet satisfied with their telephonic platform service</v>
      </c>
    </row>
    <row r="502" ht="15.75" customHeight="1">
      <c r="A502" s="2">
        <v>2.0</v>
      </c>
      <c r="B502" s="2" t="s">
        <v>1477</v>
      </c>
      <c r="C502" s="2" t="s">
        <v>1478</v>
      </c>
      <c r="D502" s="2" t="s">
        <v>1085</v>
      </c>
      <c r="E502" s="2" t="s">
        <v>128</v>
      </c>
      <c r="F502" s="2" t="s">
        <v>15</v>
      </c>
      <c r="G502" s="2" t="s">
        <v>1479</v>
      </c>
      <c r="H502" s="2" t="s">
        <v>418</v>
      </c>
      <c r="I502" s="2" t="str">
        <f>IFERROR(__xludf.DUMMYFUNCTION("GOOGLETRANSLATE(C502,""fr"",""en"")"),"Hello - On September 1, 2017, I had the chance (?) To retire despite my 59 years. Therefore, more i.j. of the CPAM, therefore more RBT on the part of the cardif. I asked my pension fund to issue me 1 ""incapacity"" certificate in view of my age and my fil"&amp;"e. The pension fund replied in the negative because it only issues this document to the age of age over 62 !!! Ubuesque! And yet, that's what I live!
Hoping that my request for revision is quickly ...
")</f>
        <v>Hello - On September 1, 2017, I had the chance (?) To retire despite my 59 years. Therefore, more i.j. of the CPAM, therefore more RBT on the part of the cardif. I asked my pension fund to issue me 1 "incapacity" certificate in view of my age and my file. The pension fund replied in the negative because it only issues this document to the age of age over 62 !!! Ubuesque! And yet, that's what I live!
Hoping that my request for revision is quickly ...
</v>
      </c>
    </row>
    <row r="503" ht="15.75" customHeight="1">
      <c r="A503" s="2">
        <v>1.0</v>
      </c>
      <c r="B503" s="2" t="s">
        <v>1480</v>
      </c>
      <c r="C503" s="2" t="s">
        <v>1481</v>
      </c>
      <c r="D503" s="2" t="s">
        <v>222</v>
      </c>
      <c r="E503" s="2" t="s">
        <v>42</v>
      </c>
      <c r="F503" s="2" t="s">
        <v>15</v>
      </c>
      <c r="G503" s="2" t="s">
        <v>1482</v>
      </c>
      <c r="H503" s="2" t="s">
        <v>685</v>
      </c>
      <c r="I503" s="2" t="str">
        <f>IFERROR(__xludf.DUMMYFUNCTION("GOOGLETRANSLATE(C503,""fr"",""en"")"),"I have been in a hassle since seven 2017 !! with axa river
Since I declared a claim on my boat. M ZUNINO my AXA broker from Paris fights with axa river to assert my rights I spent more than € 20,000 to be reimbursed € 2000 minus the deductible of € 200 I"&amp;" am at AXA for all my insurance for 20 years.j ' Alerted customer service by email and I did not have an answer.")</f>
        <v>I have been in a hassle since seven 2017 !! with axa river
Since I declared a claim on my boat. M ZUNINO my AXA broker from Paris fights with axa river to assert my rights I spent more than € 20,000 to be reimbursed € 2000 minus the deductible of € 200 I am at AXA for all my insurance for 20 years.j ' Alerted customer service by email and I did not have an answer.</v>
      </c>
    </row>
    <row r="504" ht="15.75" customHeight="1">
      <c r="A504" s="2">
        <v>2.0</v>
      </c>
      <c r="B504" s="2" t="s">
        <v>1483</v>
      </c>
      <c r="C504" s="2" t="s">
        <v>1484</v>
      </c>
      <c r="D504" s="2" t="s">
        <v>51</v>
      </c>
      <c r="E504" s="2" t="s">
        <v>52</v>
      </c>
      <c r="F504" s="2" t="s">
        <v>15</v>
      </c>
      <c r="G504" s="2" t="s">
        <v>1485</v>
      </c>
      <c r="H504" s="2" t="s">
        <v>842</v>
      </c>
      <c r="I504" s="2" t="str">
        <f>IFERROR(__xludf.DUMMYFUNCTION("GOOGLETRANSLATE(C504,""fr"",""en"")"),"So I regret saying it but it is an assurance to flee very quickly.
Today it represents more than € 8,600 which are in nature for me.
+ 15 years of insurance at AMV without claim. And on October 30, 1st responsible accident but no third party. Declaratio"&amp;"n made, I quickly receive the paper to be completed. See you on November 9 with the expert. More than 15 days without news. It is therefore up to the customer to relaunch the various stakeholders. So I relaunch the expert I send the documents in double co"&amp;"py to AMV and the expert. The motorcycle is declared non -repairable. I remind you to have news, I cede my vehicle in Icarus, Icarus send me a letter by telling myself that the vehicle could not be recovered, I remind them, finally the vehicle was recover"&amp;"ed on December 14. Today on December 21 I call back to hear news, Amv tells me that they are waiting for the documents of Icarus .... in short it is very very long, between each stages there are long weeks And if the customer does not recall the stakehold"&amp;"ers to relaunch it happens nothing.
When I read the comments of some I despair of being reimbursed one day, and we cannot do much because all it goes by phone. I will still inquire with a consumer association to see if he has steps to do to accelerate re"&amp;"imbursement.
")</f>
        <v>So I regret saying it but it is an assurance to flee very quickly.
Today it represents more than € 8,600 which are in nature for me.
+ 15 years of insurance at AMV without claim. And on October 30, 1st responsible accident but no third party. Declaration made, I quickly receive the paper to be completed. See you on November 9 with the expert. More than 15 days without news. It is therefore up to the customer to relaunch the various stakeholders. So I relaunch the expert I send the documents in double copy to AMV and the expert. The motorcycle is declared non -repairable. I remind you to have news, I cede my vehicle in Icarus, Icarus send me a letter by telling myself that the vehicle could not be recovered, I remind them, finally the vehicle was recovered on December 14. Today on December 21 I call back to hear news, Amv tells me that they are waiting for the documents of Icarus .... in short it is very very long, between each stages there are long weeks And if the customer does not recall the stakeholders to relaunch it happens nothing.
When I read the comments of some I despair of being reimbursed one day, and we cannot do much because all it goes by phone. I will still inquire with a consumer association to see if he has steps to do to accelerate reimbursement.
</v>
      </c>
    </row>
    <row r="505" ht="15.75" customHeight="1">
      <c r="A505" s="2">
        <v>3.0</v>
      </c>
      <c r="B505" s="2" t="s">
        <v>1486</v>
      </c>
      <c r="C505" s="2" t="s">
        <v>1487</v>
      </c>
      <c r="D505" s="2" t="s">
        <v>32</v>
      </c>
      <c r="E505" s="2" t="s">
        <v>21</v>
      </c>
      <c r="F505" s="2" t="s">
        <v>15</v>
      </c>
      <c r="G505" s="2" t="s">
        <v>388</v>
      </c>
      <c r="H505" s="2" t="s">
        <v>54</v>
      </c>
      <c r="I505" s="2" t="str">
        <f>IFERROR(__xludf.DUMMYFUNCTION("GOOGLETRANSLATE(C505,""fr"",""en"")"),"I am satisfied with the fast and effective clear service now I remain very attentive to the course of the service and especially on your responsiveness ...")</f>
        <v>I am satisfied with the fast and effective clear service now I remain very attentive to the course of the service and especially on your responsiveness ...</v>
      </c>
    </row>
    <row r="506" ht="15.75" customHeight="1">
      <c r="A506" s="2">
        <v>5.0</v>
      </c>
      <c r="B506" s="2" t="s">
        <v>1488</v>
      </c>
      <c r="C506" s="2" t="s">
        <v>1489</v>
      </c>
      <c r="D506" s="2" t="s">
        <v>13</v>
      </c>
      <c r="E506" s="2" t="s">
        <v>14</v>
      </c>
      <c r="F506" s="2" t="s">
        <v>15</v>
      </c>
      <c r="G506" s="2" t="s">
        <v>1490</v>
      </c>
      <c r="H506" s="2" t="s">
        <v>1079</v>
      </c>
      <c r="I506" s="2" t="str">
        <f>IFERROR(__xludf.DUMMYFUNCTION("GOOGLETRANSLATE(C506,""fr"",""en"")"),"Need information, very welcome by phone by Gwendal. I have already contacted the service several times and always welcomed and my requests are processed.")</f>
        <v>Need information, very welcome by phone by Gwendal. I have already contacted the service several times and always welcomed and my requests are processed.</v>
      </c>
    </row>
    <row r="507" ht="15.75" customHeight="1">
      <c r="A507" s="2">
        <v>4.0</v>
      </c>
      <c r="B507" s="2" t="s">
        <v>1491</v>
      </c>
      <c r="C507" s="2" t="s">
        <v>1492</v>
      </c>
      <c r="D507" s="2" t="s">
        <v>75</v>
      </c>
      <c r="E507" s="2" t="s">
        <v>14</v>
      </c>
      <c r="F507" s="2" t="s">
        <v>15</v>
      </c>
      <c r="G507" s="2" t="s">
        <v>1493</v>
      </c>
      <c r="H507" s="2" t="s">
        <v>936</v>
      </c>
      <c r="I507" s="2" t="str">
        <f>IFERROR(__xludf.DUMMYFUNCTION("GOOGLETRANSLATE(C507,""fr"",""en"")"),"I have been a member of MGP for 23 years and I am very happy.
The monthly payments are quite high but in return the reimbursement of care is satisfactory.
The advisers are very helpful and very pleasant.")</f>
        <v>I have been a member of MGP for 23 years and I am very happy.
The monthly payments are quite high but in return the reimbursement of care is satisfactory.
The advisers are very helpful and very pleasant.</v>
      </c>
    </row>
    <row r="508" ht="15.75" customHeight="1">
      <c r="A508" s="2">
        <v>5.0</v>
      </c>
      <c r="B508" s="2" t="s">
        <v>1494</v>
      </c>
      <c r="C508" s="2" t="s">
        <v>1495</v>
      </c>
      <c r="D508" s="2" t="s">
        <v>20</v>
      </c>
      <c r="E508" s="2" t="s">
        <v>21</v>
      </c>
      <c r="F508" s="2" t="s">
        <v>15</v>
      </c>
      <c r="G508" s="2" t="s">
        <v>721</v>
      </c>
      <c r="H508" s="2" t="s">
        <v>48</v>
      </c>
      <c r="I508" s="2" t="str">
        <f>IFERROR(__xludf.DUMMYFUNCTION("GOOGLETRANSLATE(C508,""fr"",""en"")"),"I am very satisfied, simple and quick subscriber area, the advisers are very nice on the phone, in addition to the very reasonable prices, thank you and good continuation")</f>
        <v>I am very satisfied, simple and quick subscriber area, the advisers are very nice on the phone, in addition to the very reasonable prices, thank you and good continuation</v>
      </c>
    </row>
    <row r="509" ht="15.75" customHeight="1">
      <c r="A509" s="2">
        <v>4.0</v>
      </c>
      <c r="B509" s="2" t="s">
        <v>1496</v>
      </c>
      <c r="C509" s="2" t="s">
        <v>1497</v>
      </c>
      <c r="D509" s="2" t="s">
        <v>32</v>
      </c>
      <c r="E509" s="2" t="s">
        <v>21</v>
      </c>
      <c r="F509" s="2" t="s">
        <v>15</v>
      </c>
      <c r="G509" s="2" t="s">
        <v>208</v>
      </c>
      <c r="H509" s="2" t="s">
        <v>58</v>
      </c>
      <c r="I509" s="2" t="str">
        <f>IFERROR(__xludf.DUMMYFUNCTION("GOOGLETRANSLATE(C509,""fr"",""en"")"),"I am well satisfied price levels and guaranteed both it is correct compared to other insurance companies
I hope it will last like that")</f>
        <v>I am well satisfied price levels and guaranteed both it is correct compared to other insurance companies
I hope it will last like that</v>
      </c>
    </row>
    <row r="510" ht="15.75" customHeight="1">
      <c r="A510" s="2">
        <v>5.0</v>
      </c>
      <c r="B510" s="2" t="s">
        <v>1498</v>
      </c>
      <c r="C510" s="2" t="s">
        <v>1499</v>
      </c>
      <c r="D510" s="2" t="s">
        <v>20</v>
      </c>
      <c r="E510" s="2" t="s">
        <v>21</v>
      </c>
      <c r="F510" s="2" t="s">
        <v>15</v>
      </c>
      <c r="G510" s="2" t="s">
        <v>1500</v>
      </c>
      <c r="H510" s="2" t="s">
        <v>95</v>
      </c>
      <c r="I510" s="2" t="str">
        <f>IFERROR(__xludf.DUMMYFUNCTION("GOOGLETRANSLATE(C510,""fr"",""en"")"),"I was well oriented towards the best adaptation insurance. Very happy with the reception and prices thus of the guarantees offer by the Olivier Insurance.")</f>
        <v>I was well oriented towards the best adaptation insurance. Very happy with the reception and prices thus of the guarantees offer by the Olivier Insurance.</v>
      </c>
    </row>
    <row r="511" ht="15.75" customHeight="1">
      <c r="A511" s="2">
        <v>1.0</v>
      </c>
      <c r="B511" s="2" t="s">
        <v>1501</v>
      </c>
      <c r="C511" s="2" t="s">
        <v>1502</v>
      </c>
      <c r="D511" s="2" t="s">
        <v>13</v>
      </c>
      <c r="E511" s="2" t="s">
        <v>14</v>
      </c>
      <c r="F511" s="2" t="s">
        <v>15</v>
      </c>
      <c r="G511" s="2" t="s">
        <v>1503</v>
      </c>
      <c r="H511" s="2" t="s">
        <v>63</v>
      </c>
      <c r="I511" s="2" t="str">
        <f>IFERROR(__xludf.DUMMYFUNCTION("GOOGLETRANSLATE(C511,""fr"",""en"")"),"Several concerns. I subscribed to a group mutual with my employer and Santiane was kind enough to terminate me but made me paid a full month when I had sent the papers before the end of the month before. In addition, it is impossible to reach customer ser"&amp;"vice by phone, your customer area on the internet is zero, you do not accept any document concerning you and when you ask for documents via the form and you never receive them. Mutual to flee")</f>
        <v>Several concerns. I subscribed to a group mutual with my employer and Santiane was kind enough to terminate me but made me paid a full month when I had sent the papers before the end of the month before. In addition, it is impossible to reach customer service by phone, your customer area on the internet is zero, you do not accept any document concerning you and when you ask for documents via the form and you never receive them. Mutual to flee</v>
      </c>
    </row>
    <row r="512" ht="15.75" customHeight="1">
      <c r="A512" s="2">
        <v>3.0</v>
      </c>
      <c r="B512" s="2" t="s">
        <v>1504</v>
      </c>
      <c r="C512" s="2" t="s">
        <v>1505</v>
      </c>
      <c r="D512" s="2" t="s">
        <v>32</v>
      </c>
      <c r="E512" s="2" t="s">
        <v>21</v>
      </c>
      <c r="F512" s="2" t="s">
        <v>15</v>
      </c>
      <c r="G512" s="2" t="s">
        <v>850</v>
      </c>
      <c r="H512" s="2" t="s">
        <v>385</v>
      </c>
      <c r="I512" s="2" t="str">
        <f>IFERROR(__xludf.DUMMYFUNCTION("GOOGLETRANSLATE(C512,""fr"",""en"")"),"Good practical quote service, interesting price that requires studying the offer if it is complete and clear !!!!!!!!!!!!!!!!!!!!!!!!!! !!!!!!!")</f>
        <v>Good practical quote service, interesting price that requires studying the offer if it is complete and clear !!!!!!!!!!!!!!!!!!!!!!!!!! !!!!!!!</v>
      </c>
    </row>
    <row r="513" ht="15.75" customHeight="1">
      <c r="A513" s="2">
        <v>4.0</v>
      </c>
      <c r="B513" s="2" t="s">
        <v>1506</v>
      </c>
      <c r="C513" s="2" t="s">
        <v>1507</v>
      </c>
      <c r="D513" s="2" t="s">
        <v>20</v>
      </c>
      <c r="E513" s="2" t="s">
        <v>21</v>
      </c>
      <c r="F513" s="2" t="s">
        <v>15</v>
      </c>
      <c r="G513" s="2" t="s">
        <v>72</v>
      </c>
      <c r="H513" s="2" t="s">
        <v>58</v>
      </c>
      <c r="I513" s="2" t="str">
        <f>IFERROR(__xludf.DUMMYFUNCTION("GOOGLETRANSLATE(C513,""fr"",""en"")"),"I am satisfied, you must see later if the conditions announced are set up.
Apart from that nothing else specific.
Best regards.")</f>
        <v>I am satisfied, you must see later if the conditions announced are set up.
Apart from that nothing else specific.
Best regards.</v>
      </c>
    </row>
    <row r="514" ht="15.75" customHeight="1">
      <c r="A514" s="2">
        <v>1.0</v>
      </c>
      <c r="B514" s="2" t="s">
        <v>1508</v>
      </c>
      <c r="C514" s="2" t="s">
        <v>1509</v>
      </c>
      <c r="D514" s="2" t="s">
        <v>32</v>
      </c>
      <c r="E514" s="2" t="s">
        <v>21</v>
      </c>
      <c r="F514" s="2" t="s">
        <v>15</v>
      </c>
      <c r="G514" s="2" t="s">
        <v>1510</v>
      </c>
      <c r="H514" s="2" t="s">
        <v>87</v>
      </c>
      <c r="I514" s="2" t="str">
        <f>IFERROR(__xludf.DUMMYFUNCTION("GOOGLETRANSLATE(C514,""fr"",""en"")"),"Site still in maintenance or does not work incredible 4 days that I try to send you a file how to have a certificate on the other hand the bank withdrawals are taken.")</f>
        <v>Site still in maintenance or does not work incredible 4 days that I try to send you a file how to have a certificate on the other hand the bank withdrawals are taken.</v>
      </c>
    </row>
    <row r="515" ht="15.75" customHeight="1">
      <c r="A515" s="2">
        <v>1.0</v>
      </c>
      <c r="B515" s="2" t="s">
        <v>1511</v>
      </c>
      <c r="C515" s="2" t="s">
        <v>1512</v>
      </c>
      <c r="D515" s="2" t="s">
        <v>1085</v>
      </c>
      <c r="E515" s="2" t="s">
        <v>27</v>
      </c>
      <c r="F515" s="2" t="s">
        <v>15</v>
      </c>
      <c r="G515" s="2" t="s">
        <v>1513</v>
      </c>
      <c r="H515" s="2" t="s">
        <v>936</v>
      </c>
      <c r="I515" s="2" t="str">
        <f>IFERROR(__xludf.DUMMYFUNCTION("GOOGLETRANSLATE(C515,""fr"",""en"")"),"It is a real scandal.
My mom has died since 09/14/2020 and since he has dragged the file, asks the attachment to drop consumption and in addition are unpleasant on the phone with each stimulus.
It has been more than two months now that my deceased mothe"&amp;"r's money is now legally in their hands. Not to mention the emails they never answer and take 1 month to treat. If you want to protect your family, I advise you to flee Cardif!")</f>
        <v>It is a real scandal.
My mom has died since 09/14/2020 and since he has dragged the file, asks the attachment to drop consumption and in addition are unpleasant on the phone with each stimulus.
It has been more than two months now that my deceased mother's money is now legally in their hands. Not to mention the emails they never answer and take 1 month to treat. If you want to protect your family, I advise you to flee Cardif!</v>
      </c>
    </row>
    <row r="516" ht="15.75" customHeight="1">
      <c r="A516" s="2">
        <v>5.0</v>
      </c>
      <c r="B516" s="2" t="s">
        <v>1514</v>
      </c>
      <c r="C516" s="2" t="s">
        <v>1515</v>
      </c>
      <c r="D516" s="2" t="s">
        <v>51</v>
      </c>
      <c r="E516" s="2" t="s">
        <v>52</v>
      </c>
      <c r="F516" s="2" t="s">
        <v>15</v>
      </c>
      <c r="G516" s="2" t="s">
        <v>302</v>
      </c>
      <c r="H516" s="2" t="s">
        <v>54</v>
      </c>
      <c r="I516" s="2" t="str">
        <f>IFERROR(__xludf.DUMMYFUNCTION("GOOGLETRANSLATE(C516,""fr"",""en"")"),"Very satisfied with the prices and the speed of the subscription to ensure my Yamaha DT 125 motorcycle. It is just good it is just to have the number of characteristics")</f>
        <v>Very satisfied with the prices and the speed of the subscription to ensure my Yamaha DT 125 motorcycle. It is just good it is just to have the number of characteristics</v>
      </c>
    </row>
    <row r="517" ht="15.75" customHeight="1">
      <c r="A517" s="2">
        <v>3.0</v>
      </c>
      <c r="B517" s="2" t="s">
        <v>1516</v>
      </c>
      <c r="C517" s="2" t="s">
        <v>1517</v>
      </c>
      <c r="D517" s="2" t="s">
        <v>113</v>
      </c>
      <c r="E517" s="2" t="s">
        <v>42</v>
      </c>
      <c r="F517" s="2" t="s">
        <v>15</v>
      </c>
      <c r="G517" s="2" t="s">
        <v>1518</v>
      </c>
      <c r="H517" s="2" t="s">
        <v>1064</v>
      </c>
      <c r="I517" s="2" t="str">
        <f>IFERROR(__xludf.DUMMYFUNCTION("GOOGLETRANSLATE(C517,""fr"",""en"")"),"Following the bad weather of Saturday March 9 in Vanves 92170 (report on these bad weather on TF1 at the JT of March 10) our boiler underwent lightning which has grilled two pieces of the boiler.
We made a declaration of loss to the MAIF by adding the re"&amp;"pair quote of € 400 (quote taking into account that the price of the documents because we have a maintenance contract with Engie which allows us not to pay the hand -Oeuvre and displacement).
This morning on May 13, the Maif contacted me to have addition"&amp;"al information on for example the seniority of the boiler and the reasons for this breakdown.
At the end of the elements communicated, the Maif advisor informed me that I will not be taken care of because my boiler is over 10 years old.
Astonished from "&amp;"this response because in my home insurance contract it is noted in particular that the replacement or repair of goods in the event of damage linked to climatic storms are supported.
I reminded this to the counselor without success.
 I also recalled to t"&amp;"he Maif advisor that we pay for a house of 90 m2 an insurance at more than € 600 per year, that all the contracts we have with the MAIF cost more than € 2500 per year and that we have with They almost 30 years of seniority. Despite this information, the a"&amp;"dvisor replied that we would not be taken care of that only furniture of less than 5 years are supported with a deductible of € 135 and a abbount of 10% per year on the price of damaged furniture.
In view of my astonishment and my dissatisfaction, the ad"&amp;"visor invited me to make a letter of complaint to the MAIF (very administrative response).
I am very unhappy and dissatisfied with my MAIF residential contract and wonder about the possibility of finding a new insurer for my various contracts")</f>
        <v>Following the bad weather of Saturday March 9 in Vanves 92170 (report on these bad weather on TF1 at the JT of March 10) our boiler underwent lightning which has grilled two pieces of the boiler.
We made a declaration of loss to the MAIF by adding the repair quote of € 400 (quote taking into account that the price of the documents because we have a maintenance contract with Engie which allows us not to pay the hand -Oeuvre and displacement).
This morning on May 13, the Maif contacted me to have additional information on for example the seniority of the boiler and the reasons for this breakdown.
At the end of the elements communicated, the Maif advisor informed me that I will not be taken care of because my boiler is over 10 years old.
Astonished from this response because in my home insurance contract it is noted in particular that the replacement or repair of goods in the event of damage linked to climatic storms are supported.
I reminded this to the counselor without success.
 I also recalled to the Maif advisor that we pay for a house of 90 m2 an insurance at more than € 600 per year, that all the contracts we have with the MAIF cost more than € 2500 per year and that we have with They almost 30 years of seniority. Despite this information, the advisor replied that we would not be taken care of that only furniture of less than 5 years are supported with a deductible of € 135 and a abbount of 10% per year on the price of damaged furniture.
In view of my astonishment and my dissatisfaction, the advisor invited me to make a letter of complaint to the MAIF (very administrative response).
I am very unhappy and dissatisfied with my MAIF residential contract and wonder about the possibility of finding a new insurer for my various contracts</v>
      </c>
    </row>
    <row r="518" ht="15.75" customHeight="1">
      <c r="A518" s="2">
        <v>1.0</v>
      </c>
      <c r="B518" s="2" t="s">
        <v>1519</v>
      </c>
      <c r="C518" s="2" t="s">
        <v>1520</v>
      </c>
      <c r="D518" s="2" t="s">
        <v>113</v>
      </c>
      <c r="E518" s="2" t="s">
        <v>21</v>
      </c>
      <c r="F518" s="2" t="s">
        <v>15</v>
      </c>
      <c r="G518" s="2" t="s">
        <v>1521</v>
      </c>
      <c r="H518" s="2" t="s">
        <v>319</v>
      </c>
      <c r="I518" s="2" t="str">
        <f>IFERROR(__xludf.DUMMYFUNCTION("GOOGLETRANSLATE(C518,""fr"",""en"")"),"Maif member for 20 years never responsible accident, in December a bus struck me from the back, without any concern that the bus driver recognizes and signs except that the maif does not hear it first first The scheme I put on the observation for them des"&amp;"ignates me as Okay responsible the tam agrees to redo the black on white observation the driver writes that he has poorly managed the door always responsible in the eyes of Maif, therefore the maif does not defend the interests of his members well, howeve"&amp;"r, however, however, always up to date with my contributions never any incidents just good pay and that's it.")</f>
        <v>Maif member for 20 years never responsible accident, in December a bus struck me from the back, without any concern that the bus driver recognizes and signs except that the maif does not hear it first first The scheme I put on the observation for them designates me as Okay responsible the tam agrees to redo the black on white observation the driver writes that he has poorly managed the door always responsible in the eyes of Maif, therefore the maif does not defend the interests of his members well, however, however, however, always up to date with my contributions never any incidents just good pay and that's it.</v>
      </c>
    </row>
    <row r="519" ht="15.75" customHeight="1">
      <c r="A519" s="2">
        <v>4.0</v>
      </c>
      <c r="B519" s="2" t="s">
        <v>1522</v>
      </c>
      <c r="C519" s="2" t="s">
        <v>1523</v>
      </c>
      <c r="D519" s="2" t="s">
        <v>106</v>
      </c>
      <c r="E519" s="2" t="s">
        <v>14</v>
      </c>
      <c r="F519" s="2" t="s">
        <v>15</v>
      </c>
      <c r="G519" s="2" t="s">
        <v>1063</v>
      </c>
      <c r="H519" s="2" t="s">
        <v>1064</v>
      </c>
      <c r="I519" s="2" t="str">
        <f>IFERROR(__xludf.DUMMYFUNCTION("GOOGLETRANSLATE(C519,""fr"",""en"")"),"Rapid mutual in reimbursements. Despite the number of negative comments, I had been very worried ... Everything has been working normally for me for over a year now. I recommend!")</f>
        <v>Rapid mutual in reimbursements. Despite the number of negative comments, I had been very worried ... Everything has been working normally for me for over a year now. I recommend!</v>
      </c>
    </row>
    <row r="520" ht="15.75" customHeight="1">
      <c r="A520" s="2">
        <v>4.0</v>
      </c>
      <c r="B520" s="2" t="s">
        <v>1524</v>
      </c>
      <c r="C520" s="2" t="s">
        <v>1525</v>
      </c>
      <c r="D520" s="2" t="s">
        <v>146</v>
      </c>
      <c r="E520" s="2" t="s">
        <v>52</v>
      </c>
      <c r="F520" s="2" t="s">
        <v>15</v>
      </c>
      <c r="G520" s="2" t="s">
        <v>1510</v>
      </c>
      <c r="H520" s="2" t="s">
        <v>87</v>
      </c>
      <c r="I520" s="2" t="str">
        <f>IFERROR(__xludf.DUMMYFUNCTION("GOOGLETRANSLATE(C520,""fr"",""en"")"),"Top super good listening super structure and well presi thank you in advance for information ki its fast and well written ke best price thanks to LINX SERVICES")</f>
        <v>Top super good listening super structure and well presi thank you in advance for information ki its fast and well written ke best price thanks to LINX SERVICES</v>
      </c>
    </row>
    <row r="521" ht="15.75" customHeight="1">
      <c r="A521" s="2">
        <v>1.0</v>
      </c>
      <c r="B521" s="2" t="s">
        <v>1526</v>
      </c>
      <c r="C521" s="2" t="s">
        <v>1527</v>
      </c>
      <c r="D521" s="2" t="s">
        <v>1034</v>
      </c>
      <c r="E521" s="2" t="s">
        <v>27</v>
      </c>
      <c r="F521" s="2" t="s">
        <v>15</v>
      </c>
      <c r="G521" s="2" t="s">
        <v>1528</v>
      </c>
      <c r="H521" s="2" t="s">
        <v>842</v>
      </c>
      <c r="I521" s="2" t="str">
        <f>IFERROR(__xludf.DUMMYFUNCTION("GOOGLETRANSLATE(C521,""fr"",""en"")"),"Very disappointing customer service. Cold, distant and rarely effective treatment.")</f>
        <v>Very disappointing customer service. Cold, distant and rarely effective treatment.</v>
      </c>
    </row>
    <row r="522" ht="15.75" customHeight="1">
      <c r="A522" s="2">
        <v>4.0</v>
      </c>
      <c r="B522" s="2" t="s">
        <v>1529</v>
      </c>
      <c r="C522" s="2" t="s">
        <v>1530</v>
      </c>
      <c r="D522" s="2" t="s">
        <v>20</v>
      </c>
      <c r="E522" s="2" t="s">
        <v>21</v>
      </c>
      <c r="F522" s="2" t="s">
        <v>15</v>
      </c>
      <c r="G522" s="2" t="s">
        <v>736</v>
      </c>
      <c r="H522" s="2" t="s">
        <v>87</v>
      </c>
      <c r="I522" s="2" t="str">
        <f>IFERROR(__xludf.DUMMYFUNCTION("GOOGLETRANSLATE(C522,""fr"",""en"")"),"The price of my contract suits me completely,
and communication with customer hostesses is perfect")</f>
        <v>The price of my contract suits me completely,
and communication with customer hostesses is perfect</v>
      </c>
    </row>
    <row r="523" ht="15.75" customHeight="1">
      <c r="A523" s="2">
        <v>4.0</v>
      </c>
      <c r="B523" s="2" t="s">
        <v>1531</v>
      </c>
      <c r="C523" s="2" t="s">
        <v>1532</v>
      </c>
      <c r="D523" s="2" t="s">
        <v>32</v>
      </c>
      <c r="E523" s="2" t="s">
        <v>21</v>
      </c>
      <c r="F523" s="2" t="s">
        <v>15</v>
      </c>
      <c r="G523" s="2" t="s">
        <v>1510</v>
      </c>
      <c r="H523" s="2" t="s">
        <v>87</v>
      </c>
      <c r="I523" s="2" t="str">
        <f>IFERROR(__xludf.DUMMYFUNCTION("GOOGLETRANSLATE(C523,""fr"",""en"")"),"The prices suit me for the reception and the very good personal, very friendly telephone service and they are attentive to requests, good luck to all. Cordially")</f>
        <v>The prices suit me for the reception and the very good personal, very friendly telephone service and they are attentive to requests, good luck to all. Cordially</v>
      </c>
    </row>
    <row r="524" ht="15.75" customHeight="1">
      <c r="A524" s="2">
        <v>5.0</v>
      </c>
      <c r="B524" s="2" t="s">
        <v>1533</v>
      </c>
      <c r="C524" s="2" t="s">
        <v>1534</v>
      </c>
      <c r="D524" s="2" t="s">
        <v>670</v>
      </c>
      <c r="E524" s="2" t="s">
        <v>14</v>
      </c>
      <c r="F524" s="2" t="s">
        <v>15</v>
      </c>
      <c r="G524" s="2" t="s">
        <v>1535</v>
      </c>
      <c r="H524" s="2" t="s">
        <v>29</v>
      </c>
      <c r="I524" s="2" t="str">
        <f>IFERROR(__xludf.DUMMYFUNCTION("GOOGLETRANSLATE(C524,""fr"",""en"")"),"I am very satisfied with the performance of this mutual
Automatic reimbursements network Carte blanche Optique 0 remains in charge. Application of the 100% health law and out of 5 behind year 3% I recommend it")</f>
        <v>I am very satisfied with the performance of this mutual
Automatic reimbursements network Carte blanche Optique 0 remains in charge. Application of the 100% health law and out of 5 behind year 3% I recommend it</v>
      </c>
    </row>
    <row r="525" ht="15.75" customHeight="1">
      <c r="A525" s="2">
        <v>3.0</v>
      </c>
      <c r="B525" s="2" t="s">
        <v>1536</v>
      </c>
      <c r="C525" s="2" t="s">
        <v>1537</v>
      </c>
      <c r="D525" s="2" t="s">
        <v>1085</v>
      </c>
      <c r="E525" s="2" t="s">
        <v>27</v>
      </c>
      <c r="F525" s="2" t="s">
        <v>15</v>
      </c>
      <c r="G525" s="2" t="s">
        <v>1538</v>
      </c>
      <c r="H525" s="2" t="s">
        <v>124</v>
      </c>
      <c r="I525" s="2" t="str">
        <f>IFERROR(__xludf.DUMMYFUNCTION("GOOGLETRANSLATE(C525,""fr"",""en"")"),"Having had to manage the death of my mother, the latter having subscribed to life insurance with Cardif, I can assure you that this insurance is the longest to pay. Reception of the file one month after service of the death. Regulation still not made thre"&amp;"e weeks after sending the complete file. All other life insurance subscribed to other insurers have long been paid. The interests that I know stop running on the day of death.")</f>
        <v>Having had to manage the death of my mother, the latter having subscribed to life insurance with Cardif, I can assure you that this insurance is the longest to pay. Reception of the file one month after service of the death. Regulation still not made three weeks after sending the complete file. All other life insurance subscribed to other insurers have long been paid. The interests that I know stop running on the day of death.</v>
      </c>
    </row>
    <row r="526" ht="15.75" customHeight="1">
      <c r="A526" s="2">
        <v>3.0</v>
      </c>
      <c r="B526" s="2" t="s">
        <v>1539</v>
      </c>
      <c r="C526" s="2" t="s">
        <v>1540</v>
      </c>
      <c r="D526" s="2" t="s">
        <v>32</v>
      </c>
      <c r="E526" s="2" t="s">
        <v>21</v>
      </c>
      <c r="F526" s="2" t="s">
        <v>15</v>
      </c>
      <c r="G526" s="2" t="s">
        <v>730</v>
      </c>
      <c r="H526" s="2" t="s">
        <v>38</v>
      </c>
      <c r="I526" s="2" t="str">
        <f>IFERROR(__xludf.DUMMYFUNCTION("GOOGLETRANSLATE(C526,""fr"",""en"")"),"Satisfied for the service. Price are affordable it is well being able to finalize everything on the internet in a few clicks. However, I definitely do so if you have to send supporting parts and how I don't find Linfo")</f>
        <v>Satisfied for the service. Price are affordable it is well being able to finalize everything on the internet in a few clicks. However, I definitely do so if you have to send supporting parts and how I don't find Linfo</v>
      </c>
    </row>
    <row r="527" ht="15.75" customHeight="1">
      <c r="A527" s="2">
        <v>3.0</v>
      </c>
      <c r="B527" s="2" t="s">
        <v>1541</v>
      </c>
      <c r="C527" s="2" t="s">
        <v>1542</v>
      </c>
      <c r="D527" s="2" t="s">
        <v>926</v>
      </c>
      <c r="E527" s="2" t="s">
        <v>52</v>
      </c>
      <c r="F527" s="2" t="s">
        <v>15</v>
      </c>
      <c r="G527" s="2" t="s">
        <v>1543</v>
      </c>
      <c r="H527" s="2" t="s">
        <v>552</v>
      </c>
      <c r="I527" s="2" t="str">
        <f>IFERROR(__xludf.DUMMYFUNCTION("GOOGLETRANSLATE(C527,""fr"",""en"")"),"A little comment to thank the team for their professionalism! I just subscribed for my superb CB1000R and I am super happy with the quality of the services. The salesperson with whom I spoke was a real enthusiast - Romu -! My advisor - Angélique - is atte"&amp;"ntive to the additional requests that I have been able to have and my good indicated all the steps to follow for the contract! It's simple, I highly recommend this insurance!")</f>
        <v>A little comment to thank the team for their professionalism! I just subscribed for my superb CB1000R and I am super happy with the quality of the services. The salesperson with whom I spoke was a real enthusiast - Romu -! My advisor - Angélique - is attentive to the additional requests that I have been able to have and my good indicated all the steps to follow for the contract! It's simple, I highly recommend this insurance!</v>
      </c>
    </row>
    <row r="528" ht="15.75" customHeight="1">
      <c r="A528" s="2">
        <v>3.0</v>
      </c>
      <c r="B528" s="2" t="s">
        <v>1544</v>
      </c>
      <c r="C528" s="2" t="s">
        <v>1545</v>
      </c>
      <c r="D528" s="2" t="s">
        <v>106</v>
      </c>
      <c r="E528" s="2" t="s">
        <v>14</v>
      </c>
      <c r="F528" s="2" t="s">
        <v>15</v>
      </c>
      <c r="G528" s="2" t="s">
        <v>1546</v>
      </c>
      <c r="H528" s="2" t="s">
        <v>842</v>
      </c>
      <c r="I528" s="2" t="str">
        <f>IFERROR(__xludf.DUMMYFUNCTION("GOOGLETRANSLATE(C528,""fr"",""en"")"),"Hello, I sent a termination letter after receiving my schedule dated October 24, but sent only on 12/12/2016. I received the notice of receipt stamps by Neoliane on 12/19, but when I finally managed to have someone on the phone, the person tells me that t"&amp;"here is no trace of my request for termination in my file . Worse, he tells me that Neoliane is not affected by the Châtel law, while my contract ended on 12/31/2016. What should I do to obtain a confirmation of termination quickly. Thanks")</f>
        <v>Hello, I sent a termination letter after receiving my schedule dated October 24, but sent only on 12/12/2016. I received the notice of receipt stamps by Neoliane on 12/19, but when I finally managed to have someone on the phone, the person tells me that there is no trace of my request for termination in my file . Worse, he tells me that Neoliane is not affected by the Châtel law, while my contract ended on 12/31/2016. What should I do to obtain a confirmation of termination quickly. Thanks</v>
      </c>
    </row>
    <row r="529" ht="15.75" customHeight="1">
      <c r="A529" s="2">
        <v>3.0</v>
      </c>
      <c r="B529" s="2" t="s">
        <v>1547</v>
      </c>
      <c r="C529" s="2" t="s">
        <v>1548</v>
      </c>
      <c r="D529" s="2" t="s">
        <v>20</v>
      </c>
      <c r="E529" s="2" t="s">
        <v>21</v>
      </c>
      <c r="F529" s="2" t="s">
        <v>15</v>
      </c>
      <c r="G529" s="2" t="s">
        <v>1549</v>
      </c>
      <c r="H529" s="2" t="s">
        <v>95</v>
      </c>
      <c r="I529" s="2" t="str">
        <f>IFERROR(__xludf.DUMMYFUNCTION("GOOGLETRANSLATE(C529,""fr"",""en"")"),"satisfied, of course, I wish you a good day awaiting finalization
want to receive my sincere greetings I expect from you thank you")</f>
        <v>satisfied, of course, I wish you a good day awaiting finalization
want to receive my sincere greetings I expect from you thank you</v>
      </c>
    </row>
    <row r="530" ht="15.75" customHeight="1">
      <c r="A530" s="2">
        <v>1.0</v>
      </c>
      <c r="B530" s="2" t="s">
        <v>1550</v>
      </c>
      <c r="C530" s="2" t="s">
        <v>1551</v>
      </c>
      <c r="D530" s="2" t="s">
        <v>80</v>
      </c>
      <c r="E530" s="2" t="s">
        <v>14</v>
      </c>
      <c r="F530" s="2" t="s">
        <v>15</v>
      </c>
      <c r="G530" s="2" t="s">
        <v>1552</v>
      </c>
      <c r="H530" s="2" t="s">
        <v>447</v>
      </c>
      <c r="I530" s="2" t="str">
        <f>IFERROR(__xludf.DUMMYFUNCTION("GOOGLETRANSLATE(C530,""fr"",""en"")"),"Impossible to join them, price overpriced even for a young person, to be not recommended very strongly !!! I am really disappointed being a teacher, there is no or very little interest to attach themselves to it!")</f>
        <v>Impossible to join them, price overpriced even for a young person, to be not recommended very strongly !!! I am really disappointed being a teacher, there is no or very little interest to attach themselves to it!</v>
      </c>
    </row>
    <row r="531" ht="15.75" customHeight="1">
      <c r="A531" s="2">
        <v>1.0</v>
      </c>
      <c r="B531" s="2" t="s">
        <v>1553</v>
      </c>
      <c r="C531" s="2" t="s">
        <v>1554</v>
      </c>
      <c r="D531" s="2" t="s">
        <v>282</v>
      </c>
      <c r="E531" s="2" t="s">
        <v>283</v>
      </c>
      <c r="F531" s="2" t="s">
        <v>15</v>
      </c>
      <c r="G531" s="2" t="s">
        <v>1555</v>
      </c>
      <c r="H531" s="2" t="s">
        <v>385</v>
      </c>
      <c r="I531" s="2" t="str">
        <f>IFERROR(__xludf.DUMMYFUNCTION("GOOGLETRANSLATE(C531,""fr"",""en"")"),"Very bad insurance for animals, it has been several times that they do not reimburse me the veterinarian fees for my female dog, you pay for nothing, I strongly recommend it")</f>
        <v>Very bad insurance for animals, it has been several times that they do not reimburse me the veterinarian fees for my female dog, you pay for nothing, I strongly recommend it</v>
      </c>
    </row>
    <row r="532" ht="15.75" customHeight="1">
      <c r="A532" s="2">
        <v>4.0</v>
      </c>
      <c r="B532" s="2" t="s">
        <v>1556</v>
      </c>
      <c r="C532" s="2" t="s">
        <v>1557</v>
      </c>
      <c r="D532" s="2" t="s">
        <v>20</v>
      </c>
      <c r="E532" s="2" t="s">
        <v>21</v>
      </c>
      <c r="F532" s="2" t="s">
        <v>15</v>
      </c>
      <c r="G532" s="2" t="s">
        <v>1558</v>
      </c>
      <c r="H532" s="2" t="s">
        <v>597</v>
      </c>
      <c r="I532" s="2" t="str">
        <f>IFERROR(__xludf.DUMMYFUNCTION("GOOGLETRANSLATE(C532,""fr"",""en"")"),"I am satisfied with my contract The very attractive price of your service reception very cordial speed kindness patience I am very satisfied cordially")</f>
        <v>I am satisfied with my contract The very attractive price of your service reception very cordial speed kindness patience I am very satisfied cordially</v>
      </c>
    </row>
    <row r="533" ht="15.75" customHeight="1">
      <c r="A533" s="2">
        <v>1.0</v>
      </c>
      <c r="B533" s="2" t="s">
        <v>1559</v>
      </c>
      <c r="C533" s="2" t="s">
        <v>1560</v>
      </c>
      <c r="D533" s="2" t="s">
        <v>1561</v>
      </c>
      <c r="E533" s="2" t="s">
        <v>27</v>
      </c>
      <c r="F533" s="2" t="s">
        <v>15</v>
      </c>
      <c r="G533" s="2" t="s">
        <v>421</v>
      </c>
      <c r="H533" s="2" t="s">
        <v>422</v>
      </c>
      <c r="I533" s="2" t="str">
        <f>IFERROR(__xludf.DUMMYFUNCTION("GOOGLETRANSLATE(C533,""fr"",""en"")"),"Request for partial buyout on life insurance sent on July 10. The agent asks me for a paper to justify the extension at 15 years of the validity of my identity card, which is useless. Then long wait .. Despite many telephonic calls: finally August 06, I l"&amp;"earn - insisting - that they await the payment of the contribution of August to process my request!?! Always nothing fired to date .. very decreed by swisslife. Lack of professionalism and little reactivity, the Credit Agricole Debloque in 6 days maxi I t"&amp;"herefore decide to the Swisslife company. Run away!!!")</f>
        <v>Request for partial buyout on life insurance sent on July 10. The agent asks me for a paper to justify the extension at 15 years of the validity of my identity card, which is useless. Then long wait .. Despite many telephonic calls: finally August 06, I learn - insisting - that they await the payment of the contribution of August to process my request!?! Always nothing fired to date .. very decreed by swisslife. Lack of professionalism and little reactivity, the Credit Agricole Debloque in 6 days maxi I therefore decide to the Swisslife company. Run away!!!</v>
      </c>
    </row>
    <row r="534" ht="15.75" customHeight="1">
      <c r="A534" s="2">
        <v>4.0</v>
      </c>
      <c r="B534" s="2" t="s">
        <v>1562</v>
      </c>
      <c r="C534" s="2" t="s">
        <v>1563</v>
      </c>
      <c r="D534" s="2" t="s">
        <v>32</v>
      </c>
      <c r="E534" s="2" t="s">
        <v>21</v>
      </c>
      <c r="F534" s="2" t="s">
        <v>15</v>
      </c>
      <c r="G534" s="2" t="s">
        <v>1018</v>
      </c>
      <c r="H534" s="2" t="s">
        <v>48</v>
      </c>
      <c r="I534" s="2" t="str">
        <f>IFERROR(__xludf.DUMMYFUNCTION("GOOGLETRANSLATE(C534,""fr"",""en"")"),"The service is very satisfactory, but I still think that it is a little expensive. Indeed if I did not have a discount for good driving for 5 years, I will pay a subscription of almost 1000 euros")</f>
        <v>The service is very satisfactory, but I still think that it is a little expensive. Indeed if I did not have a discount for good driving for 5 years, I will pay a subscription of almost 1000 euros</v>
      </c>
    </row>
    <row r="535" ht="15.75" customHeight="1">
      <c r="A535" s="2">
        <v>4.0</v>
      </c>
      <c r="B535" s="2" t="s">
        <v>1564</v>
      </c>
      <c r="C535" s="2" t="s">
        <v>1565</v>
      </c>
      <c r="D535" s="2" t="s">
        <v>32</v>
      </c>
      <c r="E535" s="2" t="s">
        <v>21</v>
      </c>
      <c r="F535" s="2" t="s">
        <v>15</v>
      </c>
      <c r="G535" s="2" t="s">
        <v>90</v>
      </c>
      <c r="H535" s="2" t="s">
        <v>38</v>
      </c>
      <c r="I535" s="2" t="str">
        <f>IFERROR(__xludf.DUMMYFUNCTION("GOOGLETRANSLATE(C535,""fr"",""en"")"),"I have nothing to say special apart from the fact that customer service is very responsive but I find, however, that there is a lack of logic in the processes. Indeed, contract signed by my name then resumed by my ex -roommate but without informing myself"&amp;" that I had to terminate my contract.")</f>
        <v>I have nothing to say special apart from the fact that customer service is very responsive but I find, however, that there is a lack of logic in the processes. Indeed, contract signed by my name then resumed by my ex -roommate but without informing myself that I had to terminate my contract.</v>
      </c>
    </row>
    <row r="536" ht="15.75" customHeight="1">
      <c r="A536" s="2">
        <v>2.0</v>
      </c>
      <c r="B536" s="2" t="s">
        <v>1566</v>
      </c>
      <c r="C536" s="2" t="s">
        <v>1567</v>
      </c>
      <c r="D536" s="2" t="s">
        <v>150</v>
      </c>
      <c r="E536" s="2" t="s">
        <v>21</v>
      </c>
      <c r="F536" s="2" t="s">
        <v>15</v>
      </c>
      <c r="G536" s="2" t="s">
        <v>421</v>
      </c>
      <c r="H536" s="2" t="s">
        <v>422</v>
      </c>
      <c r="I536" s="2" t="str">
        <f>IFERROR(__xludf.DUMMYFUNCTION("GOOGLETRANSLATE(C536,""fr"",""en"")"),"26 July 2018 Falling down the Angers highway, big hassle and at the end of the 5th appeal or everything was fine I come across an incompetent that caught my problem changing this kind of bad woman her")</f>
        <v>26 July 2018 Falling down the Angers highway, big hassle and at the end of the 5th appeal or everything was fine I come across an incompetent that caught my problem changing this kind of bad woman her</v>
      </c>
    </row>
    <row r="537" ht="15.75" customHeight="1">
      <c r="A537" s="2">
        <v>4.0</v>
      </c>
      <c r="B537" s="2" t="s">
        <v>1568</v>
      </c>
      <c r="C537" s="2" t="s">
        <v>1569</v>
      </c>
      <c r="D537" s="2" t="s">
        <v>139</v>
      </c>
      <c r="E537" s="2" t="s">
        <v>21</v>
      </c>
      <c r="F537" s="2" t="s">
        <v>15</v>
      </c>
      <c r="G537" s="2" t="s">
        <v>214</v>
      </c>
      <c r="H537" s="2" t="s">
        <v>58</v>
      </c>
      <c r="I537" s="2" t="str">
        <f>IFERROR(__xludf.DUMMYFUNCTION("GOOGLETRANSLATE(C537,""fr"",""en"")"),"I am very very satisfied with the GMF. You are and you have always been there for my family and me at any time. This is the reason why my family and I are grateful and faithful to you.")</f>
        <v>I am very very satisfied with the GMF. You are and you have always been there for my family and me at any time. This is the reason why my family and I are grateful and faithful to you.</v>
      </c>
    </row>
    <row r="538" ht="15.75" customHeight="1">
      <c r="A538" s="2">
        <v>1.0</v>
      </c>
      <c r="B538" s="2" t="s">
        <v>1570</v>
      </c>
      <c r="C538" s="2" t="s">
        <v>1571</v>
      </c>
      <c r="D538" s="2" t="s">
        <v>146</v>
      </c>
      <c r="E538" s="2" t="s">
        <v>52</v>
      </c>
      <c r="F538" s="2" t="s">
        <v>15</v>
      </c>
      <c r="G538" s="2" t="s">
        <v>1572</v>
      </c>
      <c r="H538" s="2" t="s">
        <v>110</v>
      </c>
      <c r="I538" s="2" t="str">
        <f>IFERROR(__xludf.DUMMYFUNCTION("GOOGLETRANSLATE(C538,""fr"",""en"")"),"I have been insured at April Moto for several years in all risks. I punctured last week 200 km from my home and when I call the audience here is the answer: you are not assured for puncture !!! a nightmare! Since then I have been looking to reach them by "&amp;"email or phone but no response. I obviously change an insurer.
")</f>
        <v>I have been insured at April Moto for several years in all risks. I punctured last week 200 km from my home and when I call the audience here is the answer: you are not assured for puncture !!! a nightmare! Since then I have been looking to reach them by email or phone but no response. I obviously change an insurer.
</v>
      </c>
    </row>
    <row r="539" ht="15.75" customHeight="1">
      <c r="A539" s="2">
        <v>2.0</v>
      </c>
      <c r="B539" s="2" t="s">
        <v>1573</v>
      </c>
      <c r="C539" s="2" t="s">
        <v>1574</v>
      </c>
      <c r="D539" s="2" t="s">
        <v>106</v>
      </c>
      <c r="E539" s="2" t="s">
        <v>14</v>
      </c>
      <c r="F539" s="2" t="s">
        <v>15</v>
      </c>
      <c r="G539" s="2" t="s">
        <v>288</v>
      </c>
      <c r="H539" s="2" t="s">
        <v>95</v>
      </c>
      <c r="I539" s="2" t="str">
        <f>IFERROR(__xludf.DUMMYFUNCTION("GOOGLETRANSLATE(C539,""fr"",""en"")"),"Mutual that is more concerned with making money ""to return"" than to respond to letters, emails, ...
In addition to delay the reimbursements as much as possible, they require abusive documents.
Mutual to flee")</f>
        <v>Mutual that is more concerned with making money "to return" than to respond to letters, emails, ...
In addition to delay the reimbursements as much as possible, they require abusive documents.
Mutual to flee</v>
      </c>
    </row>
    <row r="540" ht="15.75" customHeight="1">
      <c r="A540" s="2">
        <v>2.0</v>
      </c>
      <c r="B540" s="2" t="s">
        <v>1575</v>
      </c>
      <c r="C540" s="2" t="s">
        <v>1576</v>
      </c>
      <c r="D540" s="2" t="s">
        <v>222</v>
      </c>
      <c r="E540" s="2" t="s">
        <v>21</v>
      </c>
      <c r="F540" s="2" t="s">
        <v>15</v>
      </c>
      <c r="G540" s="2" t="s">
        <v>1577</v>
      </c>
      <c r="H540" s="2" t="s">
        <v>195</v>
      </c>
      <c r="I540" s="2" t="str">
        <f>IFERROR(__xludf.DUMMYFUNCTION("GOOGLETRANSLATE(C540,""fr"",""en"")"),"I have subscribed by phone they make a mistake they recognize it thanks to listening to calls but it is qd even you who pay the consequences I am extremely disappointed I will wait impatient 1 year to terminate my contract and that of my son")</f>
        <v>I have subscribed by phone they make a mistake they recognize it thanks to listening to calls but it is qd even you who pay the consequences I am extremely disappointed I will wait impatient 1 year to terminate my contract and that of my son</v>
      </c>
    </row>
    <row r="541" ht="15.75" customHeight="1">
      <c r="A541" s="2">
        <v>2.0</v>
      </c>
      <c r="B541" s="2" t="s">
        <v>1578</v>
      </c>
      <c r="C541" s="2" t="s">
        <v>1579</v>
      </c>
      <c r="D541" s="2" t="s">
        <v>20</v>
      </c>
      <c r="E541" s="2" t="s">
        <v>21</v>
      </c>
      <c r="F541" s="2" t="s">
        <v>15</v>
      </c>
      <c r="G541" s="2" t="s">
        <v>1580</v>
      </c>
      <c r="H541" s="2" t="s">
        <v>136</v>
      </c>
      <c r="I541" s="2" t="str">
        <f>IFERROR(__xludf.DUMMYFUNCTION("GOOGLETRANSLATE(C541,""fr"",""en"")"),"I did not have a claim but just a monthly levy which was not honored by my bank on the date of presentation ... For 48.00 euros, I was harassed constantly several times a day, by SMS, By telephone call, by email, everything went there ... I thought for a "&amp;"moment that I had killed father and mother and the neighbor at the same time. And to finish it all, I am charged 20 euros in costs (for 48.00 euros) for less than 10 days of non -payment and we close it all by a registered letter threatening of formal not"&amp;"ice knowing all the same that between unpaid has been regularized. Conclusion just for 48.00 euros is the end of the world at home, I imagine when there is a claim, we must threaten you to make your license!
Flee this insurer ... I just did it!
")</f>
        <v>I did not have a claim but just a monthly levy which was not honored by my bank on the date of presentation ... For 48.00 euros, I was harassed constantly several times a day, by SMS, By telephone call, by email, everything went there ... I thought for a moment that I had killed father and mother and the neighbor at the same time. And to finish it all, I am charged 20 euros in costs (for 48.00 euros) for less than 10 days of non -payment and we close it all by a registered letter threatening of formal notice knowing all the same that between unpaid has been regularized. Conclusion just for 48.00 euros is the end of the world at home, I imagine when there is a claim, we must threaten you to make your license!
Flee this insurer ... I just did it!
</v>
      </c>
    </row>
    <row r="542" ht="15.75" customHeight="1">
      <c r="A542" s="2">
        <v>4.0</v>
      </c>
      <c r="B542" s="2" t="s">
        <v>1581</v>
      </c>
      <c r="C542" s="2" t="s">
        <v>1582</v>
      </c>
      <c r="D542" s="2" t="s">
        <v>32</v>
      </c>
      <c r="E542" s="2" t="s">
        <v>21</v>
      </c>
      <c r="F542" s="2" t="s">
        <v>15</v>
      </c>
      <c r="G542" s="2" t="s">
        <v>1082</v>
      </c>
      <c r="H542" s="2" t="s">
        <v>54</v>
      </c>
      <c r="I542" s="2" t="str">
        <f>IFERROR(__xludf.DUMMYFUNCTION("GOOGLETRANSLATE(C542,""fr"",""en"")"),"OK
Tresatait and Jesper not to have surprises.
Jesper that we can do a other insurance like asurance dhabitta, but finison in this contrast.")</f>
        <v>OK
Tresatait and Jesper not to have surprises.
Jesper that we can do a other insurance like asurance dhabitta, but finison in this contrast.</v>
      </c>
    </row>
    <row r="543" ht="15.75" customHeight="1">
      <c r="A543" s="2">
        <v>3.0</v>
      </c>
      <c r="B543" s="2" t="s">
        <v>1583</v>
      </c>
      <c r="C543" s="2" t="s">
        <v>1584</v>
      </c>
      <c r="D543" s="2" t="s">
        <v>20</v>
      </c>
      <c r="E543" s="2" t="s">
        <v>21</v>
      </c>
      <c r="F543" s="2" t="s">
        <v>15</v>
      </c>
      <c r="G543" s="2" t="s">
        <v>1585</v>
      </c>
      <c r="H543" s="2" t="s">
        <v>1079</v>
      </c>
      <c r="I543" s="2" t="str">
        <f>IFERROR(__xludf.DUMMYFUNCTION("GOOGLETRANSLATE(C543,""fr"",""en"")"),"very good insurance")</f>
        <v>very good insurance</v>
      </c>
    </row>
    <row r="544" ht="15.75" customHeight="1">
      <c r="A544" s="2">
        <v>4.0</v>
      </c>
      <c r="B544" s="2" t="s">
        <v>1586</v>
      </c>
      <c r="C544" s="2" t="s">
        <v>1587</v>
      </c>
      <c r="D544" s="2" t="s">
        <v>127</v>
      </c>
      <c r="E544" s="2" t="s">
        <v>128</v>
      </c>
      <c r="F544" s="2" t="s">
        <v>15</v>
      </c>
      <c r="G544" s="2" t="s">
        <v>443</v>
      </c>
      <c r="H544" s="2" t="s">
        <v>48</v>
      </c>
      <c r="I544" s="2" t="str">
        <f>IFERROR(__xludf.DUMMYFUNCTION("GOOGLETRANSLATE(C544,""fr"",""en"")"),"I am very satisfied with my interlocutor who was very professional, attentive and available. Very clear answers.
All this despite the complicated context of the computer server fire.
")</f>
        <v>I am very satisfied with my interlocutor who was very professional, attentive and available. Very clear answers.
All this despite the complicated context of the computer server fire.
</v>
      </c>
    </row>
    <row r="545" ht="15.75" customHeight="1">
      <c r="A545" s="2">
        <v>1.0</v>
      </c>
      <c r="B545" s="2" t="s">
        <v>1588</v>
      </c>
      <c r="C545" s="2" t="s">
        <v>1589</v>
      </c>
      <c r="D545" s="2" t="s">
        <v>139</v>
      </c>
      <c r="E545" s="2" t="s">
        <v>42</v>
      </c>
      <c r="F545" s="2" t="s">
        <v>15</v>
      </c>
      <c r="G545" s="2" t="s">
        <v>1590</v>
      </c>
      <c r="H545" s="2" t="s">
        <v>82</v>
      </c>
      <c r="I545" s="2" t="str">
        <f>IFERROR(__xludf.DUMMYFUNCTION("GOOGLETRANSLATE(C545,""fr"",""en"")"),"GMF ensure inhuman! It has been more than 2 years since our house has crashed because of a dry natural disaster. And for all this time, the GMF us ""ballad"" between mail and expert. We are tired and my mother in depression because of this insurance. They"&amp;" normally only had a few months to give us an answer ...
run away!!")</f>
        <v>GMF ensure inhuman! It has been more than 2 years since our house has crashed because of a dry natural disaster. And for all this time, the GMF us "ballad" between mail and expert. We are tired and my mother in depression because of this insurance. They normally only had a few months to give us an answer ...
run away!!</v>
      </c>
    </row>
    <row r="546" ht="15.75" customHeight="1">
      <c r="A546" s="2">
        <v>3.0</v>
      </c>
      <c r="B546" s="2" t="s">
        <v>1591</v>
      </c>
      <c r="C546" s="2" t="s">
        <v>1592</v>
      </c>
      <c r="D546" s="2" t="s">
        <v>139</v>
      </c>
      <c r="E546" s="2" t="s">
        <v>21</v>
      </c>
      <c r="F546" s="2" t="s">
        <v>15</v>
      </c>
      <c r="G546" s="2" t="s">
        <v>409</v>
      </c>
      <c r="H546" s="2" t="s">
        <v>54</v>
      </c>
      <c r="I546" s="2" t="str">
        <f>IFERROR(__xludf.DUMMYFUNCTION("GOOGLETRANSLATE(C546,""fr"",""en"")"),"I am half satisfied because I was stolen the stolen the bike of my son in my garden shed and my house assurrance does not cover the reimbursement costs")</f>
        <v>I am half satisfied because I was stolen the stolen the bike of my son in my garden shed and my house assurrance does not cover the reimbursement costs</v>
      </c>
    </row>
    <row r="547" ht="15.75" customHeight="1">
      <c r="A547" s="2">
        <v>5.0</v>
      </c>
      <c r="B547" s="2" t="s">
        <v>1593</v>
      </c>
      <c r="C547" s="2" t="s">
        <v>1594</v>
      </c>
      <c r="D547" s="2" t="s">
        <v>20</v>
      </c>
      <c r="E547" s="2" t="s">
        <v>21</v>
      </c>
      <c r="F547" s="2" t="s">
        <v>15</v>
      </c>
      <c r="G547" s="2" t="s">
        <v>1595</v>
      </c>
      <c r="H547" s="2" t="s">
        <v>179</v>
      </c>
      <c r="I547" s="2" t="str">
        <f>IFERROR(__xludf.DUMMYFUNCTION("GOOGLETRANSLATE(C547,""fr"",""en"")"),"Very satisfied with the telephone service as well as the prices offered. The advisor was very available, and extremely attentive to our questions and needs.")</f>
        <v>Very satisfied with the telephone service as well as the prices offered. The advisor was very available, and extremely attentive to our questions and needs.</v>
      </c>
    </row>
    <row r="548" ht="15.75" customHeight="1">
      <c r="A548" s="2">
        <v>2.0</v>
      </c>
      <c r="B548" s="2" t="s">
        <v>1596</v>
      </c>
      <c r="C548" s="2" t="s">
        <v>1597</v>
      </c>
      <c r="D548" s="2" t="s">
        <v>122</v>
      </c>
      <c r="E548" s="2" t="s">
        <v>42</v>
      </c>
      <c r="F548" s="2" t="s">
        <v>15</v>
      </c>
      <c r="G548" s="2" t="s">
        <v>159</v>
      </c>
      <c r="H548" s="2" t="s">
        <v>34</v>
      </c>
      <c r="I548" s="2" t="str">
        <f>IFERROR(__xludf.DUMMYFUNCTION("GOOGLETRANSLATE(C548,""fr"",""en"")"),"The matmut she does not assure at all !!!
 The Matmut leads to letters with A/R in their building, their expert ignores what he comes to do with you, the deadlines are purely indicative, the management of claims is laborious, a lot of interlocutors for v"&amp;"ery few results ... ..it is shameful!??")</f>
        <v>The matmut she does not assure at all !!!
 The Matmut leads to letters with A/R in their building, their expert ignores what he comes to do with you, the deadlines are purely indicative, the management of claims is laborious, a lot of interlocutors for very few results ... ..it is shameful!??</v>
      </c>
    </row>
    <row r="549" ht="15.75" customHeight="1">
      <c r="A549" s="2">
        <v>5.0</v>
      </c>
      <c r="B549" s="2" t="s">
        <v>1598</v>
      </c>
      <c r="C549" s="2" t="s">
        <v>1599</v>
      </c>
      <c r="D549" s="2" t="s">
        <v>32</v>
      </c>
      <c r="E549" s="2" t="s">
        <v>21</v>
      </c>
      <c r="F549" s="2" t="s">
        <v>15</v>
      </c>
      <c r="G549" s="2" t="s">
        <v>827</v>
      </c>
      <c r="H549" s="2" t="s">
        <v>54</v>
      </c>
      <c r="I549" s="2" t="str">
        <f>IFERROR(__xludf.DUMMYFUNCTION("GOOGLETRANSLATE(C549,""fr"",""en"")"),"Simple and practical for now! See to add options in the future. So I will need advice in the days that follow in relation to the age of this car knowing that I also assure a Peugeot")</f>
        <v>Simple and practical for now! See to add options in the future. So I will need advice in the days that follow in relation to the age of this car knowing that I also assure a Peugeot</v>
      </c>
    </row>
    <row r="550" ht="15.75" customHeight="1">
      <c r="A550" s="2">
        <v>1.0</v>
      </c>
      <c r="B550" s="2" t="s">
        <v>1600</v>
      </c>
      <c r="C550" s="2" t="s">
        <v>1601</v>
      </c>
      <c r="D550" s="2" t="s">
        <v>32</v>
      </c>
      <c r="E550" s="2" t="s">
        <v>21</v>
      </c>
      <c r="F550" s="2" t="s">
        <v>15</v>
      </c>
      <c r="G550" s="2" t="s">
        <v>425</v>
      </c>
      <c r="H550" s="2" t="s">
        <v>38</v>
      </c>
      <c r="I550" s="2" t="str">
        <f>IFERROR(__xludf.DUMMYFUNCTION("GOOGLETRANSLATE(C550,""fr"",""en"")"),"Good evening I have been insured at Direct Insurance for 3 years and I had no claim. I have a 407 V6 HDI COUPE FINISION GRIFFE
I am assured of any risk and I pay 100 € each me to ensure my very well maintained vehicle since it has been in my possession. "&amp;"He had belonged to only one person before me. I bought it at the auction from Alcopa Auction in Lyon. Unfortunately my vehicle was sold out and the interior. So I dropped it off in the garage so that the expert can see it and after that I was shocked by t"&amp;"he amount of expertise € 1000 knowing that my vehicle is 2006 and that it is on the side of € 5,000. The expert did not ask me for any bills at all no purchase invoice I bought it less than 3 years ago only and I made a lot of costs I conclude that the ex"&amp;"pert does not do correctly His work he just seeks to quantify very very very low so that the insurance pays very little Lassué knowing that with the franchise I am below 500 € I am shocked and outraged. So I advise you to be very very careful before ensur"&amp;"ing this kind of insurance.")</f>
        <v>Good evening I have been insured at Direct Insurance for 3 years and I had no claim. I have a 407 V6 HDI COUPE FINISION GRIFFE
I am assured of any risk and I pay 100 € each me to ensure my very well maintained vehicle since it has been in my possession. He had belonged to only one person before me. I bought it at the auction from Alcopa Auction in Lyon. Unfortunately my vehicle was sold out and the interior. So I dropped it off in the garage so that the expert can see it and after that I was shocked by the amount of expertise € 1000 knowing that my vehicle is 2006 and that it is on the side of € 5,000. The expert did not ask me for any bills at all no purchase invoice I bought it less than 3 years ago only and I made a lot of costs I conclude that the expert does not do correctly His work he just seeks to quantify very very very low so that the insurance pays very little Lassué knowing that with the franchise I am below 500 € I am shocked and outraged. So I advise you to be very very careful before ensuring this kind of insurance.</v>
      </c>
    </row>
    <row r="551" ht="15.75" customHeight="1">
      <c r="A551" s="2">
        <v>4.0</v>
      </c>
      <c r="B551" s="2" t="s">
        <v>1602</v>
      </c>
      <c r="C551" s="2" t="s">
        <v>1603</v>
      </c>
      <c r="D551" s="2" t="s">
        <v>75</v>
      </c>
      <c r="E551" s="2" t="s">
        <v>14</v>
      </c>
      <c r="F551" s="2" t="s">
        <v>15</v>
      </c>
      <c r="G551" s="2" t="s">
        <v>1604</v>
      </c>
      <c r="H551" s="2" t="s">
        <v>77</v>
      </c>
      <c r="I551" s="2" t="str">
        <f>IFERROR(__xludf.DUMMYFUNCTION("GOOGLETRANSLATE(C551,""fr"",""en"")"),"Mutual which is always listening to the insured
No complaints
Very satisfied with services and reimbursements
On the phone, they answer quickly and are very friendly")</f>
        <v>Mutual which is always listening to the insured
No complaints
Very satisfied with services and reimbursements
On the phone, they answer quickly and are very friendly</v>
      </c>
    </row>
    <row r="552" ht="15.75" customHeight="1">
      <c r="A552" s="2">
        <v>4.0</v>
      </c>
      <c r="B552" s="2" t="s">
        <v>1605</v>
      </c>
      <c r="C552" s="2" t="s">
        <v>1606</v>
      </c>
      <c r="D552" s="2" t="s">
        <v>41</v>
      </c>
      <c r="E552" s="2" t="s">
        <v>42</v>
      </c>
      <c r="F552" s="2" t="s">
        <v>15</v>
      </c>
      <c r="G552" s="2" t="s">
        <v>1607</v>
      </c>
      <c r="H552" s="2" t="s">
        <v>331</v>
      </c>
      <c r="I552" s="2" t="str">
        <f>IFERROR(__xludf.DUMMYFUNCTION("GOOGLETRANSLATE(C552,""fr"",""en"")"),"I asked the MAAF for civil liability, claimed online simple to use.
Taking into account and rapid treatment.
In short nothing to say, serious and effective")</f>
        <v>I asked the MAAF for civil liability, claimed online simple to use.
Taking into account and rapid treatment.
In short nothing to say, serious and effective</v>
      </c>
    </row>
    <row r="553" ht="15.75" customHeight="1">
      <c r="A553" s="2">
        <v>1.0</v>
      </c>
      <c r="B553" s="2" t="s">
        <v>1608</v>
      </c>
      <c r="C553" s="2" t="s">
        <v>1609</v>
      </c>
      <c r="D553" s="2" t="s">
        <v>314</v>
      </c>
      <c r="E553" s="2" t="s">
        <v>21</v>
      </c>
      <c r="F553" s="2" t="s">
        <v>15</v>
      </c>
      <c r="G553" s="2" t="s">
        <v>1216</v>
      </c>
      <c r="H553" s="2" t="s">
        <v>454</v>
      </c>
      <c r="I553" s="2" t="str">
        <f>IFERROR(__xludf.DUMMYFUNCTION("GOOGLETRANSLATE(C553,""fr"",""en"")"),"For payment it is immediately if not insured and for the refund you have to wait and they use generously in passing or other companies certainly more capable of satisfying you
insurance to avoid")</f>
        <v>For payment it is immediately if not insured and for the refund you have to wait and they use generously in passing or other companies certainly more capable of satisfying you
insurance to avoid</v>
      </c>
    </row>
    <row r="554" ht="15.75" customHeight="1">
      <c r="A554" s="2">
        <v>4.0</v>
      </c>
      <c r="B554" s="2" t="s">
        <v>1610</v>
      </c>
      <c r="C554" s="2" t="s">
        <v>1611</v>
      </c>
      <c r="D554" s="2" t="s">
        <v>32</v>
      </c>
      <c r="E554" s="2" t="s">
        <v>21</v>
      </c>
      <c r="F554" s="2" t="s">
        <v>15</v>
      </c>
      <c r="G554" s="2" t="s">
        <v>1259</v>
      </c>
      <c r="H554" s="2" t="s">
        <v>48</v>
      </c>
      <c r="I554" s="2" t="str">
        <f>IFERROR(__xludf.DUMMYFUNCTION("GOOGLETRANSLATE(C554,""fr"",""en"")"),"The prices suit me, and it was very easy to change insurance for my Opel Corsa vehicle. I hope Direct Insurance will be present in the event of a claim.
Cordially")</f>
        <v>The prices suit me, and it was very easy to change insurance for my Opel Corsa vehicle. I hope Direct Insurance will be present in the event of a claim.
Cordially</v>
      </c>
    </row>
    <row r="555" ht="15.75" customHeight="1">
      <c r="A555" s="2">
        <v>5.0</v>
      </c>
      <c r="B555" s="2" t="s">
        <v>1612</v>
      </c>
      <c r="C555" s="2" t="s">
        <v>1613</v>
      </c>
      <c r="D555" s="2" t="s">
        <v>139</v>
      </c>
      <c r="E555" s="2" t="s">
        <v>21</v>
      </c>
      <c r="F555" s="2" t="s">
        <v>15</v>
      </c>
      <c r="G555" s="2" t="s">
        <v>302</v>
      </c>
      <c r="H555" s="2" t="s">
        <v>54</v>
      </c>
      <c r="I555" s="2" t="str">
        <f>IFERROR(__xludf.DUMMYFUNCTION("GOOGLETRANSLATE(C555,""fr"",""en"")"),"I was very well informed on the part of the repayable on the phone who knew how to take my file in the best benefit for me the main thing being to grade the customer
To keep the person in charge for its pleasant serviabilite M Daniel Lefevre")</f>
        <v>I was very well informed on the part of the repayable on the phone who knew how to take my file in the best benefit for me the main thing being to grade the customer
To keep the person in charge for its pleasant serviabilite M Daniel Lefevre</v>
      </c>
    </row>
    <row r="556" ht="15.75" customHeight="1">
      <c r="A556" s="2">
        <v>2.0</v>
      </c>
      <c r="B556" s="2" t="s">
        <v>1614</v>
      </c>
      <c r="C556" s="2" t="s">
        <v>1615</v>
      </c>
      <c r="D556" s="2" t="s">
        <v>32</v>
      </c>
      <c r="E556" s="2" t="s">
        <v>21</v>
      </c>
      <c r="F556" s="2" t="s">
        <v>15</v>
      </c>
      <c r="G556" s="2" t="s">
        <v>87</v>
      </c>
      <c r="H556" s="2" t="s">
        <v>87</v>
      </c>
      <c r="I556" s="2" t="str">
        <f>IFERROR(__xludf.DUMMYFUNCTION("GOOGLETRANSLATE(C556,""fr"",""en"")"),"I am satisfied without being to the extent or I did not have to appeal to you it is complicated to make an opinion so I will give an average opinion of 3 stars in terms of satisfaction. In addition after an increase of € 23, without disaster, it is diffic"&amp;"ult for me to put a note greater than 2.
Good reception,
Cordially
Yan wolf")</f>
        <v>I am satisfied without being to the extent or I did not have to appeal to you it is complicated to make an opinion so I will give an average opinion of 3 stars in terms of satisfaction. In addition after an increase of € 23, without disaster, it is difficult for me to put a note greater than 2.
Good reception,
Cordially
Yan wolf</v>
      </c>
    </row>
    <row r="557" ht="15.75" customHeight="1">
      <c r="A557" s="2">
        <v>4.0</v>
      </c>
      <c r="B557" s="2" t="s">
        <v>1616</v>
      </c>
      <c r="C557" s="2" t="s">
        <v>1617</v>
      </c>
      <c r="D557" s="2" t="s">
        <v>20</v>
      </c>
      <c r="E557" s="2" t="s">
        <v>21</v>
      </c>
      <c r="F557" s="2" t="s">
        <v>15</v>
      </c>
      <c r="G557" s="2" t="s">
        <v>1618</v>
      </c>
      <c r="H557" s="2" t="s">
        <v>23</v>
      </c>
      <c r="I557" s="2" t="str">
        <f>IFERROR(__xludf.DUMMYFUNCTION("GOOGLETRANSLATE(C557,""fr"",""en"")"),"Interface very well present very easy to use, very simple and very fast, ensure during the day without problem, top reactivity, thank you")</f>
        <v>Interface very well present very easy to use, very simple and very fast, ensure during the day without problem, top reactivity, thank you</v>
      </c>
    </row>
    <row r="558" ht="15.75" customHeight="1">
      <c r="A558" s="2">
        <v>1.0</v>
      </c>
      <c r="B558" s="2" t="s">
        <v>1619</v>
      </c>
      <c r="C558" s="2" t="s">
        <v>1620</v>
      </c>
      <c r="D558" s="2" t="s">
        <v>146</v>
      </c>
      <c r="E558" s="2" t="s">
        <v>52</v>
      </c>
      <c r="F558" s="2" t="s">
        <v>15</v>
      </c>
      <c r="G558" s="2" t="s">
        <v>1055</v>
      </c>
      <c r="H558" s="2" t="s">
        <v>306</v>
      </c>
      <c r="I558" s="2" t="str">
        <f>IFERROR(__xludf.DUMMYFUNCTION("GOOGLETRANSLATE(C558,""fr"",""en"")"),"Biker friends go your way. accident that occurred there soon 3 months. 100% responsible for the opposing party. Moto declared VEI the expert offers a sum which does not correspond to the acquisition of an identical vehicle. Impossible to reach the expert "&amp;"during the 30 days before finding me with the carcass on the arms, suddenly obliged to accept the offer. Then you have to cry every week at the insurer to get news. I learn by Hazzard that all who is bodily injury I still have to deal with someone else. I"&amp;" am on stop from the start and I am waiting to know if I have to be operated on. Last week I recall insurance where he taught me that the expert is good to send all the papers. Still not having an answer I remind today. He just saw that my file was well a"&amp;"rrived but that he is lying on their server so not treated. So they are present to take the money every month but in case of damage it does not deal with anything. must be treated either with the expert then with another subsidiary for what is bodily etc."&amp;" could we wait for the refund check to see how much they will give me for the motorcycle + equipment and the I fear the worst. As said at the beginning Friends Motard go your way after almost 10 years with them and 1st damage I know what to stick to.
")</f>
        <v>Biker friends go your way. accident that occurred there soon 3 months. 100% responsible for the opposing party. Moto declared VEI the expert offers a sum which does not correspond to the acquisition of an identical vehicle. Impossible to reach the expert during the 30 days before finding me with the carcass on the arms, suddenly obliged to accept the offer. Then you have to cry every week at the insurer to get news. I learn by Hazzard that all who is bodily injury I still have to deal with someone else. I am on stop from the start and I am waiting to know if I have to be operated on. Last week I recall insurance where he taught me that the expert is good to send all the papers. Still not having an answer I remind today. He just saw that my file was well arrived but that he is lying on their server so not treated. So they are present to take the money every month but in case of damage it does not deal with anything. must be treated either with the expert then with another subsidiary for what is bodily etc. could we wait for the refund check to see how much they will give me for the motorcycle + equipment and the I fear the worst. As said at the beginning Friends Motard go your way after almost 10 years with them and 1st damage I know what to stick to.
</v>
      </c>
    </row>
    <row r="559" ht="15.75" customHeight="1">
      <c r="A559" s="2">
        <v>1.0</v>
      </c>
      <c r="B559" s="2" t="s">
        <v>1621</v>
      </c>
      <c r="C559" s="2" t="s">
        <v>1622</v>
      </c>
      <c r="D559" s="2" t="s">
        <v>32</v>
      </c>
      <c r="E559" s="2" t="s">
        <v>21</v>
      </c>
      <c r="F559" s="2" t="s">
        <v>15</v>
      </c>
      <c r="G559" s="2" t="s">
        <v>1623</v>
      </c>
      <c r="H559" s="2" t="s">
        <v>48</v>
      </c>
      <c r="I559" s="2" t="str">
        <f>IFERROR(__xludf.DUMMYFUNCTION("GOOGLETRANSLATE(C559,""fr"",""en"")"),"Hello,
I am really unhappy regarding the price increase in my home contract.
I asked one of your remote control on the phone a commercial gesture refused to me.
I find it unacceptable.
I plan to terminate my home contract as well as my car contract in"&amp;" the coming days.")</f>
        <v>Hello,
I am really unhappy regarding the price increase in my home contract.
I asked one of your remote control on the phone a commercial gesture refused to me.
I find it unacceptable.
I plan to terminate my home contract as well as my car contract in the coming days.</v>
      </c>
    </row>
    <row r="560" ht="15.75" customHeight="1">
      <c r="A560" s="2">
        <v>5.0</v>
      </c>
      <c r="B560" s="2" t="s">
        <v>1624</v>
      </c>
      <c r="C560" s="2" t="s">
        <v>1625</v>
      </c>
      <c r="D560" s="2" t="s">
        <v>32</v>
      </c>
      <c r="E560" s="2" t="s">
        <v>21</v>
      </c>
      <c r="F560" s="2" t="s">
        <v>15</v>
      </c>
      <c r="G560" s="2" t="s">
        <v>900</v>
      </c>
      <c r="H560" s="2" t="s">
        <v>179</v>
      </c>
      <c r="I560" s="2" t="str">
        <f>IFERROR(__xludf.DUMMYFUNCTION("GOOGLETRANSLATE(C560,""fr"",""en"")"),"I am very satisfied with the product.
Prices suit me.
Nothing to report for the moment, everything goes perfectly.
We will see following a disaster if everything goes as well.
No reason to doubt it.")</f>
        <v>I am very satisfied with the product.
Prices suit me.
Nothing to report for the moment, everything goes perfectly.
We will see following a disaster if everything goes as well.
No reason to doubt it.</v>
      </c>
    </row>
    <row r="561" ht="15.75" customHeight="1">
      <c r="A561" s="2">
        <v>1.0</v>
      </c>
      <c r="B561" s="2" t="s">
        <v>1626</v>
      </c>
      <c r="C561" s="2" t="s">
        <v>1627</v>
      </c>
      <c r="D561" s="2" t="s">
        <v>139</v>
      </c>
      <c r="E561" s="2" t="s">
        <v>21</v>
      </c>
      <c r="F561" s="2" t="s">
        <v>15</v>
      </c>
      <c r="G561" s="2" t="s">
        <v>497</v>
      </c>
      <c r="H561" s="2" t="s">
        <v>454</v>
      </c>
      <c r="I561" s="2" t="str">
        <f>IFERROR(__xludf.DUMMYFUNCTION("GOOGLETRANSLATE(C561,""fr"",""en"")"),"Following a reverse step, a motorist collided in my parking vehicle. I did not have a loan vehicle and, I had to wait three weeks between passing of experts and works! In recent days, persistent in the GMF, ... for the purchase of a new vehicle, I contact"&amp;"ed the adequate service by Internet and telephone, ... four interlocutors, four different bell sounds and the selected vehicles not Available, .. Result, loss of time and ... money ... finished for me GMF while I was a member since ... 1992! ... Times cha"&amp;"nge, customer service ... Also !!!")</f>
        <v>Following a reverse step, a motorist collided in my parking vehicle. I did not have a loan vehicle and, I had to wait three weeks between passing of experts and works! In recent days, persistent in the GMF, ... for the purchase of a new vehicle, I contacted the adequate service by Internet and telephone, ... four interlocutors, four different bell sounds and the selected vehicles not Available, .. Result, loss of time and ... money ... finished for me GMF while I was a member since ... 1992! ... Times change, customer service ... Also !!!</v>
      </c>
    </row>
    <row r="562" ht="15.75" customHeight="1">
      <c r="A562" s="2">
        <v>1.0</v>
      </c>
      <c r="B562" s="2" t="s">
        <v>1628</v>
      </c>
      <c r="C562" s="2" t="s">
        <v>1629</v>
      </c>
      <c r="D562" s="2" t="s">
        <v>93</v>
      </c>
      <c r="E562" s="2" t="s">
        <v>544</v>
      </c>
      <c r="F562" s="2" t="s">
        <v>15</v>
      </c>
      <c r="G562" s="2" t="s">
        <v>191</v>
      </c>
      <c r="H562" s="2" t="s">
        <v>48</v>
      </c>
      <c r="I562" s="2" t="str">
        <f>IFERROR(__xludf.DUMMYFUNCTION("GOOGLETRANSLATE(C562,""fr"",""en"")"),"It does not pay what is due, it is innacceptable. I brought all the necessary elements but passed over and depriving myself of my allowances despite the healing therefore not consolidated")</f>
        <v>It does not pay what is due, it is innacceptable. I brought all the necessary elements but passed over and depriving myself of my allowances despite the healing therefore not consolidated</v>
      </c>
    </row>
    <row r="563" ht="15.75" customHeight="1">
      <c r="A563" s="2">
        <v>5.0</v>
      </c>
      <c r="B563" s="2" t="s">
        <v>1630</v>
      </c>
      <c r="C563" s="2" t="s">
        <v>1631</v>
      </c>
      <c r="D563" s="2" t="s">
        <v>51</v>
      </c>
      <c r="E563" s="2" t="s">
        <v>52</v>
      </c>
      <c r="F563" s="2" t="s">
        <v>15</v>
      </c>
      <c r="G563" s="2" t="s">
        <v>272</v>
      </c>
      <c r="H563" s="2" t="s">
        <v>77</v>
      </c>
      <c r="I563" s="2" t="str">
        <f>IFERROR(__xludf.DUMMYFUNCTION("GOOGLETRANSLATE(C563,""fr"",""en"")"),"Listening people.
After looking for other insurers. The prices are competitive.
The contracts are clear ...
I recommend AMV insurance to those around me.
")</f>
        <v>Listening people.
After looking for other insurers. The prices are competitive.
The contracts are clear ...
I recommend AMV insurance to those around me.
</v>
      </c>
    </row>
    <row r="564" ht="15.75" customHeight="1">
      <c r="A564" s="2">
        <v>4.0</v>
      </c>
      <c r="B564" s="2" t="s">
        <v>1632</v>
      </c>
      <c r="C564" s="2" t="s">
        <v>1633</v>
      </c>
      <c r="D564" s="2" t="s">
        <v>146</v>
      </c>
      <c r="E564" s="2" t="s">
        <v>52</v>
      </c>
      <c r="F564" s="2" t="s">
        <v>15</v>
      </c>
      <c r="G564" s="2" t="s">
        <v>87</v>
      </c>
      <c r="H564" s="2" t="s">
        <v>87</v>
      </c>
      <c r="I564" s="2" t="str">
        <f>IFERROR(__xludf.DUMMYFUNCTION("GOOGLETRANSLATE(C564,""fr"",""en"")"),"The price is good, but lack of flexibility with salespeople, I would expect a small commercial gesture, but they are fixed on their price grids, too bad.")</f>
        <v>The price is good, but lack of flexibility with salespeople, I would expect a small commercial gesture, but they are fixed on their price grids, too bad.</v>
      </c>
    </row>
    <row r="565" ht="15.75" customHeight="1">
      <c r="A565" s="2">
        <v>5.0</v>
      </c>
      <c r="B565" s="2" t="s">
        <v>1634</v>
      </c>
      <c r="C565" s="2" t="s">
        <v>1635</v>
      </c>
      <c r="D565" s="2" t="s">
        <v>32</v>
      </c>
      <c r="E565" s="2" t="s">
        <v>21</v>
      </c>
      <c r="F565" s="2" t="s">
        <v>15</v>
      </c>
      <c r="G565" s="2" t="s">
        <v>214</v>
      </c>
      <c r="H565" s="2" t="s">
        <v>58</v>
      </c>
      <c r="I565" s="2" t="str">
        <f>IFERROR(__xludf.DUMMYFUNCTION("GOOGLETRANSLATE(C565,""fr"",""en"")"),"Frankly I am satisfied with the simple and practical service and also it is not worth moving to register at home, same price suit me. Thanks")</f>
        <v>Frankly I am satisfied with the simple and practical service and also it is not worth moving to register at home, same price suit me. Thanks</v>
      </c>
    </row>
    <row r="566" ht="15.75" customHeight="1">
      <c r="A566" s="2">
        <v>4.0</v>
      </c>
      <c r="B566" s="2" t="s">
        <v>1636</v>
      </c>
      <c r="C566" s="2" t="s">
        <v>1637</v>
      </c>
      <c r="D566" s="2" t="s">
        <v>13</v>
      </c>
      <c r="E566" s="2" t="s">
        <v>14</v>
      </c>
      <c r="F566" s="2" t="s">
        <v>15</v>
      </c>
      <c r="G566" s="2" t="s">
        <v>1091</v>
      </c>
      <c r="H566" s="2" t="s">
        <v>54</v>
      </c>
      <c r="I566" s="2" t="str">
        <f>IFERROR(__xludf.DUMMYFUNCTION("GOOGLETRANSLATE(C566,""fr"",""en"")"),"Information requested by telephone in Raware, concerning the sessions of the osteopath and the package for thermal cures. I was well informed thank you")</f>
        <v>Information requested by telephone in Raware, concerning the sessions of the osteopath and the package for thermal cures. I was well informed thank you</v>
      </c>
    </row>
    <row r="567" ht="15.75" customHeight="1">
      <c r="A567" s="2">
        <v>1.0</v>
      </c>
      <c r="B567" s="2" t="s">
        <v>1638</v>
      </c>
      <c r="C567" s="2" t="s">
        <v>1639</v>
      </c>
      <c r="D567" s="2" t="s">
        <v>106</v>
      </c>
      <c r="E567" s="2" t="s">
        <v>14</v>
      </c>
      <c r="F567" s="2" t="s">
        <v>15</v>
      </c>
      <c r="G567" s="2" t="s">
        <v>1640</v>
      </c>
      <c r="H567" s="2" t="s">
        <v>77</v>
      </c>
      <c r="I567" s="2" t="str">
        <f>IFERROR(__xludf.DUMMYFUNCTION("GOOGLETRANSLATE(C567,""fr"",""en"")"),"Neoliane is worth nothing. I took the 7sur 8 option to be super well reimbursed on the teeth and well they are zero from null. Besides 3 months after my registration, I took another mutual for the end of the year. Do not know how to open a quote, do not u"&amp;"nderstand it, do not receive it, in short incapable. I hate this mutual health, neoliane = 0")</f>
        <v>Neoliane is worth nothing. I took the 7sur 8 option to be super well reimbursed on the teeth and well they are zero from null. Besides 3 months after my registration, I took another mutual for the end of the year. Do not know how to open a quote, do not understand it, do not receive it, in short incapable. I hate this mutual health, neoliane = 0</v>
      </c>
    </row>
    <row r="568" ht="15.75" customHeight="1">
      <c r="A568" s="2">
        <v>1.0</v>
      </c>
      <c r="B568" s="2" t="s">
        <v>1641</v>
      </c>
      <c r="C568" s="2" t="s">
        <v>1642</v>
      </c>
      <c r="D568" s="2" t="s">
        <v>37</v>
      </c>
      <c r="E568" s="2" t="s">
        <v>21</v>
      </c>
      <c r="F568" s="2" t="s">
        <v>15</v>
      </c>
      <c r="G568" s="2" t="s">
        <v>1643</v>
      </c>
      <c r="H568" s="2" t="s">
        <v>936</v>
      </c>
      <c r="I568" s="2" t="str">
        <f>IFERROR(__xludf.DUMMYFUNCTION("GOOGLETRANSLATE(C568,""fr"",""en"")"),"I am not at all satisfied. Avoid at all costs, it is better to pay a little more elsewhere than being treated in this way. In addition this will allow you to be really assured.
A customer service and a just inadmissible welcome, I have never been treated"&amp;" in this way !!!
You want to terminate we do not allow you and we do not assure you your new accommodation !!!
No customer follow -up to explain to you how things are going and when you call to find a solution you find yourself with an arrogant and inco"&amp;"mpetent telecheord of television that only seeks to have the upper hand instead of guiding you and doing its job for which it is paid !!!
Well done, you make great promises but you have to be able to follow, customer service is the basis !!!
")</f>
        <v>I am not at all satisfied. Avoid at all costs, it is better to pay a little more elsewhere than being treated in this way. In addition this will allow you to be really assured.
A customer service and a just inadmissible welcome, I have never been treated in this way !!!
You want to terminate we do not allow you and we do not assure you your new accommodation !!!
No customer follow -up to explain to you how things are going and when you call to find a solution you find yourself with an arrogant and incompetent telecheord of television that only seeks to have the upper hand instead of guiding you and doing its job for which it is paid !!!
Well done, you make great promises but you have to be able to follow, customer service is the basis !!!
</v>
      </c>
    </row>
    <row r="569" ht="15.75" customHeight="1">
      <c r="A569" s="2">
        <v>3.0</v>
      </c>
      <c r="B569" s="2" t="s">
        <v>1644</v>
      </c>
      <c r="C569" s="2" t="s">
        <v>1645</v>
      </c>
      <c r="D569" s="2" t="s">
        <v>32</v>
      </c>
      <c r="E569" s="2" t="s">
        <v>21</v>
      </c>
      <c r="F569" s="2" t="s">
        <v>15</v>
      </c>
      <c r="G569" s="2" t="s">
        <v>827</v>
      </c>
      <c r="H569" s="2" t="s">
        <v>54</v>
      </c>
      <c r="I569" s="2" t="str">
        <f>IFERROR(__xludf.DUMMYFUNCTION("GOOGLETRANSLATE(C569,""fr"",""en"")"),"The prices are very attractive with good conditions
The subscription is very fast and well explained
The choices are wise and well thought out
The options are well suited")</f>
        <v>The prices are very attractive with good conditions
The subscription is very fast and well explained
The choices are wise and well thought out
The options are well suited</v>
      </c>
    </row>
    <row r="570" ht="15.75" customHeight="1">
      <c r="A570" s="2">
        <v>4.0</v>
      </c>
      <c r="B570" s="2" t="s">
        <v>1646</v>
      </c>
      <c r="C570" s="2" t="s">
        <v>1647</v>
      </c>
      <c r="D570" s="2" t="s">
        <v>75</v>
      </c>
      <c r="E570" s="2" t="s">
        <v>14</v>
      </c>
      <c r="F570" s="2" t="s">
        <v>15</v>
      </c>
      <c r="G570" s="2" t="s">
        <v>1648</v>
      </c>
      <c r="H570" s="2" t="s">
        <v>1064</v>
      </c>
      <c r="I570" s="2" t="str">
        <f>IFERROR(__xludf.DUMMYFUNCTION("GOOGLETRANSLATE(C570,""fr"",""en"")"),"Mutual accessible by internet and telephone
Welcome telephone
accessible at any time
fast and effective")</f>
        <v>Mutual accessible by internet and telephone
Welcome telephone
accessible at any time
fast and effective</v>
      </c>
    </row>
    <row r="571" ht="15.75" customHeight="1">
      <c r="A571" s="2">
        <v>2.0</v>
      </c>
      <c r="B571" s="2" t="s">
        <v>1649</v>
      </c>
      <c r="C571" s="2" t="s">
        <v>1650</v>
      </c>
      <c r="D571" s="2" t="s">
        <v>139</v>
      </c>
      <c r="E571" s="2" t="s">
        <v>42</v>
      </c>
      <c r="F571" s="2" t="s">
        <v>15</v>
      </c>
      <c r="G571" s="2" t="s">
        <v>1316</v>
      </c>
      <c r="H571" s="2" t="s">
        <v>38</v>
      </c>
      <c r="I571" s="2" t="str">
        <f>IFERROR(__xludf.DUMMYFUNCTION("GOOGLETRANSLATE(C571,""fr"",""en"")"),"Very easy to open a contract. Obstacle course to be reimbursed. Received the quote 5 times for a broken glass of bay window and claim not to have received it while I drink them in the messages. So do not want to repay the invoice because claim not to have"&amp;" the quote. Each call to customer service put me on hold and hang up. Disaster service never responds")</f>
        <v>Very easy to open a contract. Obstacle course to be reimbursed. Received the quote 5 times for a broken glass of bay window and claim not to have received it while I drink them in the messages. So do not want to repay the invoice because claim not to have the quote. Each call to customer service put me on hold and hang up. Disaster service never responds</v>
      </c>
    </row>
    <row r="572" ht="15.75" customHeight="1">
      <c r="A572" s="2">
        <v>5.0</v>
      </c>
      <c r="B572" s="2" t="s">
        <v>1651</v>
      </c>
      <c r="C572" s="2" t="s">
        <v>1652</v>
      </c>
      <c r="D572" s="2" t="s">
        <v>20</v>
      </c>
      <c r="E572" s="2" t="s">
        <v>21</v>
      </c>
      <c r="F572" s="2" t="s">
        <v>15</v>
      </c>
      <c r="G572" s="2" t="s">
        <v>1653</v>
      </c>
      <c r="H572" s="2" t="s">
        <v>504</v>
      </c>
      <c r="I572" s="2" t="str">
        <f>IFERROR(__xludf.DUMMYFUNCTION("GOOGLETRANSLATE(C572,""fr"",""en"")"),"Attractive prices compared to other auto insurance companies
Always available to listen to you and your requests
")</f>
        <v>Attractive prices compared to other auto insurance companies
Always available to listen to you and your requests
</v>
      </c>
    </row>
    <row r="573" ht="15.75" customHeight="1">
      <c r="A573" s="2">
        <v>4.0</v>
      </c>
      <c r="B573" s="2" t="s">
        <v>1654</v>
      </c>
      <c r="C573" s="2" t="s">
        <v>1655</v>
      </c>
      <c r="D573" s="2" t="s">
        <v>20</v>
      </c>
      <c r="E573" s="2" t="s">
        <v>21</v>
      </c>
      <c r="F573" s="2" t="s">
        <v>15</v>
      </c>
      <c r="G573" s="2" t="s">
        <v>1656</v>
      </c>
      <c r="H573" s="2" t="s">
        <v>58</v>
      </c>
      <c r="I573" s="2" t="str">
        <f>IFERROR(__xludf.DUMMYFUNCTION("GOOGLETRANSLATE(C573,""fr"",""en"")"),"I am really satisfied with the mi in place service, it is simple, efficient and super practical ...
The prices suit me and the assistance and top service")</f>
        <v>I am really satisfied with the mi in place service, it is simple, efficient and super practical ...
The prices suit me and the assistance and top service</v>
      </c>
    </row>
    <row r="574" ht="15.75" customHeight="1">
      <c r="A574" s="2">
        <v>4.0</v>
      </c>
      <c r="B574" s="2" t="s">
        <v>1657</v>
      </c>
      <c r="C574" s="2" t="s">
        <v>1658</v>
      </c>
      <c r="D574" s="2" t="s">
        <v>20</v>
      </c>
      <c r="E574" s="2" t="s">
        <v>21</v>
      </c>
      <c r="F574" s="2" t="s">
        <v>15</v>
      </c>
      <c r="G574" s="2" t="s">
        <v>179</v>
      </c>
      <c r="H574" s="2" t="s">
        <v>179</v>
      </c>
      <c r="I574" s="2" t="str">
        <f>IFERROR(__xludf.DUMMYFUNCTION("GOOGLETRANSLATE(C574,""fr"",""en"")"),"I am satisfied with the service and the price of this insurance. Your site is practical to use and simple. The information is clear and precise")</f>
        <v>I am satisfied with the service and the price of this insurance. Your site is practical to use and simple. The information is clear and precise</v>
      </c>
    </row>
    <row r="575" ht="15.75" customHeight="1">
      <c r="A575" s="2">
        <v>3.0</v>
      </c>
      <c r="B575" s="2" t="s">
        <v>1659</v>
      </c>
      <c r="C575" s="2" t="s">
        <v>1660</v>
      </c>
      <c r="D575" s="2" t="s">
        <v>122</v>
      </c>
      <c r="E575" s="2" t="s">
        <v>21</v>
      </c>
      <c r="F575" s="2" t="s">
        <v>15</v>
      </c>
      <c r="G575" s="2" t="s">
        <v>1661</v>
      </c>
      <c r="H575" s="2" t="s">
        <v>17</v>
      </c>
      <c r="I575" s="2" t="str">
        <f>IFERROR(__xludf.DUMMYFUNCTION("GOOGLETRANSLATE(C575,""fr"",""en"")"),"Insured since 1979 in the same agency in Cherbourg (50) my mom was caught up by a correspondent on the phone. After having laughed at her because she did not understand that she had to pay a deductible following voluntary degradations on her vehicle with "&amp;"an identified and challenged author, the latter asked her who she was so that she could imagine that we are changing a law For herself, while adding: ""But Madam you will be reimbursed for your franchise, who knows in 2 years maybe"" while laughing! What "&amp;"arrogance and what lack of respect when you are in disarray, with a degraded vehicle and having to pay almost 300 euros. A simple ""understand madam that in our clauses things do not happen like that, we are sorry for your disaster and will not fail to re"&amp;"imburse your franchise from the past judgment"" .. Well no, we prefer to make fun of a client Faithful since 1979 by lowering it and laughing. Dear Mr, that I would like to have to do to your mom if one day she was in an uncomfortable situation ...
I hop"&amp;"e your Cherbourg manager will force you to apologize for her.")</f>
        <v>Insured since 1979 in the same agency in Cherbourg (50) my mom was caught up by a correspondent on the phone. After having laughed at her because she did not understand that she had to pay a deductible following voluntary degradations on her vehicle with an identified and challenged author, the latter asked her who she was so that she could imagine that we are changing a law For herself, while adding: "But Madam you will be reimbursed for your franchise, who knows in 2 years maybe" while laughing! What arrogance and what lack of respect when you are in disarray, with a degraded vehicle and having to pay almost 300 euros. A simple "understand madam that in our clauses things do not happen like that, we are sorry for your disaster and will not fail to reimburse your franchise from the past judgment" .. Well no, we prefer to make fun of a client Faithful since 1979 by lowering it and laughing. Dear Mr, that I would like to have to do to your mom if one day she was in an uncomfortable situation ...
I hope your Cherbourg manager will force you to apologize for her.</v>
      </c>
    </row>
    <row r="576" ht="15.75" customHeight="1">
      <c r="A576" s="2">
        <v>3.0</v>
      </c>
      <c r="B576" s="2" t="s">
        <v>1662</v>
      </c>
      <c r="C576" s="2" t="s">
        <v>1663</v>
      </c>
      <c r="D576" s="2" t="s">
        <v>186</v>
      </c>
      <c r="E576" s="2" t="s">
        <v>21</v>
      </c>
      <c r="F576" s="2" t="s">
        <v>15</v>
      </c>
      <c r="G576" s="2" t="s">
        <v>1664</v>
      </c>
      <c r="H576" s="2" t="s">
        <v>385</v>
      </c>
      <c r="I576" s="2" t="str">
        <f>IFERROR(__xludf.DUMMYFUNCTION("GOOGLETRANSLATE(C576,""fr"",""en"")"),"After a rejection I was forced to pay 1 insurance year ago to not be ensured.mate the error coming their share I have no ease of payment I set 1300 in bank check")</f>
        <v>After a rejection I was forced to pay 1 insurance year ago to not be ensured.mate the error coming their share I have no ease of payment I set 1300 in bank check</v>
      </c>
    </row>
    <row r="577" ht="15.75" customHeight="1">
      <c r="A577" s="2">
        <v>1.0</v>
      </c>
      <c r="B577" s="2" t="s">
        <v>1665</v>
      </c>
      <c r="C577" s="2" t="s">
        <v>1666</v>
      </c>
      <c r="D577" s="2" t="s">
        <v>146</v>
      </c>
      <c r="E577" s="2" t="s">
        <v>52</v>
      </c>
      <c r="F577" s="2" t="s">
        <v>15</v>
      </c>
      <c r="G577" s="2" t="s">
        <v>1667</v>
      </c>
      <c r="H577" s="2" t="s">
        <v>29</v>
      </c>
      <c r="I577" s="2" t="str">
        <f>IFERROR(__xludf.DUMMYFUNCTION("GOOGLETRANSLATE(C577,""fr"",""en"")"),"I was assumed at April and I decide it to you. I had 1 motorbike accident 1 car my cut the road while I was driving on my track at 20 km/h so the car was 100% responsible but April not seen as It put me 50/50 what a shame. After sold my motorcycle at the "&amp;"end of July I sent the transfer certificate but they continue to remove the money in August and September 2 times 45 euro but to be reimbursed they put 2 MONTH AND M ONTS DISTRIBUTION 1 SELECTION OF 66 euro. Who is the loser in history is good because it "&amp;"is your customers and I hope that people who will read these opinions they irrings see elsewhere")</f>
        <v>I was assumed at April and I decide it to you. I had 1 motorbike accident 1 car my cut the road while I was driving on my track at 20 km/h so the car was 100% responsible but April not seen as It put me 50/50 what a shame. After sold my motorcycle at the end of July I sent the transfer certificate but they continue to remove the money in August and September 2 times 45 euro but to be reimbursed they put 2 MONTH AND M ONTS DISTRIBUTION 1 SELECTION OF 66 euro. Who is the loser in history is good because it is your customers and I hope that people who will read these opinions they irrings see elsewhere</v>
      </c>
    </row>
    <row r="578" ht="15.75" customHeight="1">
      <c r="A578" s="2">
        <v>1.0</v>
      </c>
      <c r="B578" s="2" t="s">
        <v>1668</v>
      </c>
      <c r="C578" s="2" t="s">
        <v>1669</v>
      </c>
      <c r="D578" s="2" t="s">
        <v>41</v>
      </c>
      <c r="E578" s="2" t="s">
        <v>21</v>
      </c>
      <c r="F578" s="2" t="s">
        <v>15</v>
      </c>
      <c r="G578" s="2" t="s">
        <v>1670</v>
      </c>
      <c r="H578" s="2" t="s">
        <v>156</v>
      </c>
      <c r="I578" s="2" t="str">
        <f>IFERROR(__xludf.DUMMYFUNCTION("GOOGLETRANSLATE(C578,""fr"",""en"")"),"Very disappointed vehicle rugged for a year and still not repaired because the vehicle was parking and I at the third party")</f>
        <v>Very disappointed vehicle rugged for a year and still not repaired because the vehicle was parking and I at the third party</v>
      </c>
    </row>
    <row r="579" ht="15.75" customHeight="1">
      <c r="A579" s="2">
        <v>4.0</v>
      </c>
      <c r="B579" s="2" t="s">
        <v>1671</v>
      </c>
      <c r="C579" s="2" t="s">
        <v>1672</v>
      </c>
      <c r="D579" s="2" t="s">
        <v>20</v>
      </c>
      <c r="E579" s="2" t="s">
        <v>21</v>
      </c>
      <c r="F579" s="2" t="s">
        <v>15</v>
      </c>
      <c r="G579" s="2" t="s">
        <v>1673</v>
      </c>
      <c r="H579" s="2" t="s">
        <v>179</v>
      </c>
      <c r="I579" s="2" t="str">
        <f>IFERROR(__xludf.DUMMYFUNCTION("GOOGLETRANSLATE(C579,""fr"",""en"")"),"I am satisfied with this simple and effective service with attractive prices in addition to being ensured in one click! I find it earlier.
Cordially,
Mr DUVAL")</f>
        <v>I am satisfied with this simple and effective service with attractive prices in addition to being ensured in one click! I find it earlier.
Cordially,
Mr DUVAL</v>
      </c>
    </row>
    <row r="580" ht="15.75" customHeight="1">
      <c r="A580" s="2">
        <v>3.0</v>
      </c>
      <c r="B580" s="2" t="s">
        <v>1674</v>
      </c>
      <c r="C580" s="2" t="s">
        <v>1675</v>
      </c>
      <c r="D580" s="2" t="s">
        <v>32</v>
      </c>
      <c r="E580" s="2" t="s">
        <v>21</v>
      </c>
      <c r="F580" s="2" t="s">
        <v>15</v>
      </c>
      <c r="G580" s="2" t="s">
        <v>1187</v>
      </c>
      <c r="H580" s="2" t="s">
        <v>38</v>
      </c>
      <c r="I580" s="2" t="str">
        <f>IFERROR(__xludf.DUMMYFUNCTION("GOOGLETRANSLATE(C580,""fr"",""en"")"),"Satisfied with the price and the ease of subscription of the contract.
Nevertheless disappointed that the payment of the monthly contribution returns more expensive 0que the price of the annual subscription")</f>
        <v>Satisfied with the price and the ease of subscription of the contract.
Nevertheless disappointed that the payment of the monthly contribution returns more expensive 0que the price of the annual subscription</v>
      </c>
    </row>
    <row r="581" ht="15.75" customHeight="1">
      <c r="A581" s="2">
        <v>1.0</v>
      </c>
      <c r="B581" s="2" t="s">
        <v>1676</v>
      </c>
      <c r="C581" s="2" t="s">
        <v>1677</v>
      </c>
      <c r="D581" s="2" t="s">
        <v>314</v>
      </c>
      <c r="E581" s="2" t="s">
        <v>21</v>
      </c>
      <c r="F581" s="2" t="s">
        <v>15</v>
      </c>
      <c r="G581" s="2" t="s">
        <v>1678</v>
      </c>
      <c r="H581" s="2" t="s">
        <v>552</v>
      </c>
      <c r="I581" s="2" t="str">
        <f>IFERROR(__xludf.DUMMYFUNCTION("GOOGLETRANSLATE(C581,""fr"",""en"")"),"I completely recommend ... contract signed 1 and a half months ago, sending the green card 3 times that I still have not received! Very unpleasant advisers on the phone who do not hesitate to scream on you on the phone. They really take us for goats, and "&amp;"obviously no way to terminate despite the fact that they are wrong and do not send me my green card, since it is not 1 year since I am at home ... in short I strongly advise against, unless you want to waste your time, your money and as a bonus, be taken "&amp;"for a fool.
")</f>
        <v>I completely recommend ... contract signed 1 and a half months ago, sending the green card 3 times that I still have not received! Very unpleasant advisers on the phone who do not hesitate to scream on you on the phone. They really take us for goats, and obviously no way to terminate despite the fact that they are wrong and do not send me my green card, since it is not 1 year since I am at home ... in short I strongly advise against, unless you want to waste your time, your money and as a bonus, be taken for a fool.
</v>
      </c>
    </row>
    <row r="582" ht="15.75" customHeight="1">
      <c r="A582" s="2">
        <v>5.0</v>
      </c>
      <c r="B582" s="2" t="s">
        <v>1679</v>
      </c>
      <c r="C582" s="2" t="s">
        <v>1680</v>
      </c>
      <c r="D582" s="2" t="s">
        <v>32</v>
      </c>
      <c r="E582" s="2" t="s">
        <v>21</v>
      </c>
      <c r="F582" s="2" t="s">
        <v>15</v>
      </c>
      <c r="G582" s="2" t="s">
        <v>266</v>
      </c>
      <c r="H582" s="2" t="s">
        <v>179</v>
      </c>
      <c r="I582" s="2" t="str">
        <f>IFERROR(__xludf.DUMMYFUNCTION("GOOGLETRANSLATE(C582,""fr"",""en"")"),"People in listening, aid in the observation, many options as a vehicle loan, reactivity, dialogues and low prices, I recommend direct insurance")</f>
        <v>People in listening, aid in the observation, many options as a vehicle loan, reactivity, dialogues and low prices, I recommend direct insurance</v>
      </c>
    </row>
    <row r="583" ht="15.75" customHeight="1">
      <c r="A583" s="2">
        <v>1.0</v>
      </c>
      <c r="B583" s="2" t="s">
        <v>1681</v>
      </c>
      <c r="C583" s="2" t="s">
        <v>1682</v>
      </c>
      <c r="D583" s="2" t="s">
        <v>251</v>
      </c>
      <c r="E583" s="2" t="s">
        <v>14</v>
      </c>
      <c r="F583" s="2" t="s">
        <v>15</v>
      </c>
      <c r="G583" s="2" t="s">
        <v>972</v>
      </c>
      <c r="H583" s="2" t="s">
        <v>87</v>
      </c>
      <c r="I583" s="2" t="str">
        <f>IFERROR(__xludf.DUMMYFUNCTION("GOOGLETRANSLATE(C583,""fr"",""en"")"),"Fuy from Harmonie Mutuelle des Big Esc .... T ...!
who plays on words
He terminates my without reasons in full covid when I have the complementary solidarity health under the pretext that my 3 months January February and March I paid them in April 2021."&amp;" They lie by saying that he sent me a revival in February while threw on the phone in March for a card problem. Normally I am at home until July 31, 2021 date of the end of my complementary health solidarity right they are casually cash in April. A shame "&amp;"! I have never received a mail since the 2020 confinement! And he tells me that they have a duplicate! Pitiful I have been with them since 2017! If a person has undergone the same thing I would like to attack them in court here is my email address thank y"&amp;"ou to you reader.
boubou.lamlam@gmail.com")</f>
        <v>Fuy from Harmonie Mutuelle des Big Esc .... T ...!
who plays on words
He terminates my without reasons in full covid when I have the complementary solidarity health under the pretext that my 3 months January February and March I paid them in April 2021. They lie by saying that he sent me a revival in February while threw on the phone in March for a card problem. Normally I am at home until July 31, 2021 date of the end of my complementary health solidarity right they are casually cash in April. A shame ! I have never received a mail since the 2020 confinement! And he tells me that they have a duplicate! Pitiful I have been with them since 2017! If a person has undergone the same thing I would like to attack them in court here is my email address thank you to you reader.
boubou.lamlam@gmail.com</v>
      </c>
    </row>
    <row r="584" ht="15.75" customHeight="1">
      <c r="A584" s="2">
        <v>1.0</v>
      </c>
      <c r="B584" s="2" t="s">
        <v>1683</v>
      </c>
      <c r="C584" s="2" t="s">
        <v>1684</v>
      </c>
      <c r="D584" s="2" t="s">
        <v>469</v>
      </c>
      <c r="E584" s="2" t="s">
        <v>14</v>
      </c>
      <c r="F584" s="2" t="s">
        <v>15</v>
      </c>
      <c r="G584" s="2" t="s">
        <v>1685</v>
      </c>
      <c r="H584" s="2" t="s">
        <v>77</v>
      </c>
      <c r="I584" s="2" t="str">
        <f>IFERROR(__xludf.DUMMYFUNCTION("GOOGLETRANSLATE(C584,""fr"",""en"")"),"TO FLEE !!!!!
I subscribed to this mutual insurance company via my company in January 2019, I resigned in August 2019, and since it's been 1 year and a half now that I have been fighting to have my reimbursements although I sent emails, called many Once,"&amp;" sent letters in recommended, when you call them, you wait 20 minutes at least to have an incompetent employee who does not bring you any solution (after having put you on hold for minimum 15 minutes, time to contact another service supposedly ), beware d"&amp;"epending on the calls you obviously have completely different versions on your situation. I was deducted each month in the amount of 36.45 euros but for the reimbursements strangely your affiliation file disappears ... I intend to start legal proceedings."&amp;" A word of advice do not go there !!!!!!!!!!!!!!!!!!!")</f>
        <v>TO FLEE !!!!!
I subscribed to this mutual insurance company via my company in January 2019, I resigned in August 2019, and since it's been 1 year and a half now that I have been fighting to have my reimbursements although I sent emails, called many Once, sent letters in recommended, when you call them, you wait 20 minutes at least to have an incompetent employee who does not bring you any solution (after having put you on hold for minimum 15 minutes, time to contact another service supposedly ), beware depending on the calls you obviously have completely different versions on your situation. I was deducted each month in the amount of 36.45 euros but for the reimbursements strangely your affiliation file disappears ... I intend to start legal proceedings. A word of advice do not go there !!!!!!!!!!!!!!!!!!!</v>
      </c>
    </row>
    <row r="585" ht="15.75" customHeight="1">
      <c r="A585" s="2">
        <v>3.0</v>
      </c>
      <c r="B585" s="2" t="s">
        <v>1686</v>
      </c>
      <c r="C585" s="2" t="s">
        <v>1687</v>
      </c>
      <c r="D585" s="2" t="s">
        <v>32</v>
      </c>
      <c r="E585" s="2" t="s">
        <v>21</v>
      </c>
      <c r="F585" s="2" t="s">
        <v>15</v>
      </c>
      <c r="G585" s="2" t="s">
        <v>1688</v>
      </c>
      <c r="H585" s="2" t="s">
        <v>385</v>
      </c>
      <c r="I585" s="2" t="str">
        <f>IFERROR(__xludf.DUMMYFUNCTION("GOOGLETRANSLATE(C585,""fr"",""en"")"),"I am quite satisfied with the service I am waiting to see now for a quote for 2 vehicles
Speed ​​and easy to understand
Nothing more to say")</f>
        <v>I am quite satisfied with the service I am waiting to see now for a quote for 2 vehicles
Speed ​​and easy to understand
Nothing more to say</v>
      </c>
    </row>
    <row r="586" ht="15.75" customHeight="1">
      <c r="A586" s="2">
        <v>4.0</v>
      </c>
      <c r="B586" s="2" t="s">
        <v>1689</v>
      </c>
      <c r="C586" s="2" t="s">
        <v>1690</v>
      </c>
      <c r="D586" s="2" t="s">
        <v>146</v>
      </c>
      <c r="E586" s="2" t="s">
        <v>52</v>
      </c>
      <c r="F586" s="2" t="s">
        <v>15</v>
      </c>
      <c r="G586" s="2" t="s">
        <v>1691</v>
      </c>
      <c r="H586" s="2" t="s">
        <v>87</v>
      </c>
      <c r="I586" s="2" t="str">
        <f>IFERROR(__xludf.DUMMYFUNCTION("GOOGLETRANSLATE(C586,""fr"",""en"")"),"For subscription it is rather simple, correct price, now remains to be seen how it will happen. In principle I am very withdrawn from online insurance, for once I trust, I hope not to regret it.")</f>
        <v>For subscription it is rather simple, correct price, now remains to be seen how it will happen. In principle I am very withdrawn from online insurance, for once I trust, I hope not to regret it.</v>
      </c>
    </row>
    <row r="587" ht="15.75" customHeight="1">
      <c r="A587" s="2">
        <v>1.0</v>
      </c>
      <c r="B587" s="2" t="s">
        <v>1692</v>
      </c>
      <c r="C587" s="2" t="s">
        <v>1693</v>
      </c>
      <c r="D587" s="2" t="s">
        <v>32</v>
      </c>
      <c r="E587" s="2" t="s">
        <v>21</v>
      </c>
      <c r="F587" s="2" t="s">
        <v>15</v>
      </c>
      <c r="G587" s="2" t="s">
        <v>1091</v>
      </c>
      <c r="H587" s="2" t="s">
        <v>54</v>
      </c>
      <c r="I587" s="2" t="str">
        <f>IFERROR(__xludf.DUMMYFUNCTION("GOOGLETRANSLATE(C587,""fr"",""en"")")," I think it's expensive I already have two vehicles assured at home.
What could you offer me more interesting in terms of advantageous price and coverage?")</f>
        <v> I think it's expensive I already have two vehicles assured at home.
What could you offer me more interesting in terms of advantageous price and coverage?</v>
      </c>
    </row>
    <row r="588" ht="15.75" customHeight="1">
      <c r="A588" s="2">
        <v>2.0</v>
      </c>
      <c r="B588" s="2" t="s">
        <v>1694</v>
      </c>
      <c r="C588" s="2" t="s">
        <v>1695</v>
      </c>
      <c r="D588" s="2" t="s">
        <v>20</v>
      </c>
      <c r="E588" s="2" t="s">
        <v>21</v>
      </c>
      <c r="F588" s="2" t="s">
        <v>15</v>
      </c>
      <c r="G588" s="2" t="s">
        <v>381</v>
      </c>
      <c r="H588" s="2" t="s">
        <v>179</v>
      </c>
      <c r="I588" s="2" t="str">
        <f>IFERROR(__xludf.DUMMYFUNCTION("GOOGLETRANSLATE(C588,""fr"",""en"")"),"I am satisfied with this insurance it is practical what a positive point is that it is we who make our quote with our choi is we can do it everywhere")</f>
        <v>I am satisfied with this insurance it is practical what a positive point is that it is we who make our quote with our choi is we can do it everywhere</v>
      </c>
    </row>
    <row r="589" ht="15.75" customHeight="1">
      <c r="A589" s="2">
        <v>1.0</v>
      </c>
      <c r="B589" s="2" t="s">
        <v>1696</v>
      </c>
      <c r="C589" s="2" t="s">
        <v>1697</v>
      </c>
      <c r="D589" s="2" t="s">
        <v>113</v>
      </c>
      <c r="E589" s="2" t="s">
        <v>21</v>
      </c>
      <c r="F589" s="2" t="s">
        <v>15</v>
      </c>
      <c r="G589" s="2" t="s">
        <v>998</v>
      </c>
      <c r="H589" s="2" t="s">
        <v>552</v>
      </c>
      <c r="I589" s="2" t="str">
        <f>IFERROR(__xludf.DUMMYFUNCTION("GOOGLETRANSLATE(C589,""fr"",""en"")"),"I called for a car insurance quote. I was asked what job I was doing. I work for Caritas (network aid Catholic - 1903 association with non -religious but religious origin). I was told that I had said ""the word you should not"". And I was explained learne"&amp;"dly that I would pay more because I work for a confessional association ... (delighted to learn it). I did not know that being secular was to be discriminatory towards an association of Christian origin.
I thought that in this modern world everyone knew "&amp;"""living together"" and mutual respect, openness to the other ... Apparently not the maif who likes to stay between Laïcards. Shame on them.")</f>
        <v>I called for a car insurance quote. I was asked what job I was doing. I work for Caritas (network aid Catholic - 1903 association with non -religious but religious origin). I was told that I had said "the word you should not". And I was explained learnedly that I would pay more because I work for a confessional association ... (delighted to learn it). I did not know that being secular was to be discriminatory towards an association of Christian origin.
I thought that in this modern world everyone knew "living together" and mutual respect, openness to the other ... Apparently not the maif who likes to stay between Laïcards. Shame on them.</v>
      </c>
    </row>
    <row r="590" ht="15.75" customHeight="1">
      <c r="A590" s="2">
        <v>4.0</v>
      </c>
      <c r="B590" s="2" t="s">
        <v>1698</v>
      </c>
      <c r="C590" s="2" t="s">
        <v>1699</v>
      </c>
      <c r="D590" s="2" t="s">
        <v>32</v>
      </c>
      <c r="E590" s="2" t="s">
        <v>21</v>
      </c>
      <c r="F590" s="2" t="s">
        <v>15</v>
      </c>
      <c r="G590" s="2" t="s">
        <v>1623</v>
      </c>
      <c r="H590" s="2" t="s">
        <v>48</v>
      </c>
      <c r="I590" s="2" t="str">
        <f>IFERROR(__xludf.DUMMYFUNCTION("GOOGLETRANSLATE(C590,""fr"",""en"")"),"The prices are quite reasonable in comparison with my two previous insurers and customer service is quite reactive, in particular with regard to the sending of documents. However, I put a small remark with regard to the management of the change of insurer"&amp;".")</f>
        <v>The prices are quite reasonable in comparison with my two previous insurers and customer service is quite reactive, in particular with regard to the sending of documents. However, I put a small remark with regard to the management of the change of insurer.</v>
      </c>
    </row>
    <row r="591" ht="15.75" customHeight="1">
      <c r="A591" s="2">
        <v>5.0</v>
      </c>
      <c r="B591" s="2" t="s">
        <v>1700</v>
      </c>
      <c r="C591" s="2" t="s">
        <v>1701</v>
      </c>
      <c r="D591" s="2" t="s">
        <v>20</v>
      </c>
      <c r="E591" s="2" t="s">
        <v>21</v>
      </c>
      <c r="F591" s="2" t="s">
        <v>15</v>
      </c>
      <c r="G591" s="2" t="s">
        <v>53</v>
      </c>
      <c r="H591" s="2" t="s">
        <v>54</v>
      </c>
      <c r="I591" s="2" t="str">
        <f>IFERROR(__xludf.DUMMYFUNCTION("GOOGLETRANSLATE(C591,""fr"",""en"")"),"I am satisfied with the service.
Simple and quick.
Clear explanations and understanding.
The advisor knew how to guide me.
with efficiency and conviviality.")</f>
        <v>I am satisfied with the service.
Simple and quick.
Clear explanations and understanding.
The advisor knew how to guide me.
with efficiency and conviviality.</v>
      </c>
    </row>
    <row r="592" ht="15.75" customHeight="1">
      <c r="A592" s="2">
        <v>3.0</v>
      </c>
      <c r="B592" s="2" t="s">
        <v>1702</v>
      </c>
      <c r="C592" s="2" t="s">
        <v>1703</v>
      </c>
      <c r="D592" s="2" t="s">
        <v>20</v>
      </c>
      <c r="E592" s="2" t="s">
        <v>21</v>
      </c>
      <c r="F592" s="2" t="s">
        <v>15</v>
      </c>
      <c r="G592" s="2" t="s">
        <v>1704</v>
      </c>
      <c r="H592" s="2" t="s">
        <v>179</v>
      </c>
      <c r="I592" s="2" t="str">
        <f>IFERROR(__xludf.DUMMYFUNCTION("GOOGLETRANSLATE(C592,""fr"",""en"")"),"I am very satisfied, happy with your service which is practical, fast and ecological. Could I please give me the address of the headquarters of your management?")</f>
        <v>I am very satisfied, happy with your service which is practical, fast and ecological. Could I please give me the address of the headquarters of your management?</v>
      </c>
    </row>
    <row r="593" ht="15.75" customHeight="1">
      <c r="A593" s="2">
        <v>2.0</v>
      </c>
      <c r="B593" s="2" t="s">
        <v>1705</v>
      </c>
      <c r="C593" s="2" t="s">
        <v>1706</v>
      </c>
      <c r="D593" s="2" t="s">
        <v>32</v>
      </c>
      <c r="E593" s="2" t="s">
        <v>21</v>
      </c>
      <c r="F593" s="2" t="s">
        <v>15</v>
      </c>
      <c r="G593" s="2" t="s">
        <v>1286</v>
      </c>
      <c r="H593" s="2" t="s">
        <v>110</v>
      </c>
      <c r="I593" s="2" t="str">
        <f>IFERROR(__xludf.DUMMYFUNCTION("GOOGLETRANSLATE(C593,""fr"",""en"")"),"Haughty -to -customers with customers. Who answer you that at Direct Insurance we do what we want")</f>
        <v>Haughty -to -customers with customers. Who answer you that at Direct Insurance we do what we want</v>
      </c>
    </row>
    <row r="594" ht="15.75" customHeight="1">
      <c r="A594" s="2">
        <v>1.0</v>
      </c>
      <c r="B594" s="2" t="s">
        <v>1707</v>
      </c>
      <c r="C594" s="2" t="s">
        <v>1708</v>
      </c>
      <c r="D594" s="2" t="s">
        <v>1183</v>
      </c>
      <c r="E594" s="2" t="s">
        <v>544</v>
      </c>
      <c r="F594" s="2" t="s">
        <v>15</v>
      </c>
      <c r="G594" s="2" t="s">
        <v>1709</v>
      </c>
      <c r="H594" s="2" t="s">
        <v>936</v>
      </c>
      <c r="I594" s="2" t="str">
        <f>IFERROR(__xludf.DUMMYFUNCTION("GOOGLETRANSLATE(C594,""fr"",""en"")"),"Impossible to obtain contact after 3 emails on the contact details related to complaints. A disaster to be compensated.
A deaf standard to your distress, unanswered emails. Passemble telephone in 3 months, a customer service never intervened.")</f>
        <v>Impossible to obtain contact after 3 emails on the contact details related to complaints. A disaster to be compensated.
A deaf standard to your distress, unanswered emails. Passemble telephone in 3 months, a customer service never intervened.</v>
      </c>
    </row>
    <row r="595" ht="15.75" customHeight="1">
      <c r="A595" s="2">
        <v>4.0</v>
      </c>
      <c r="B595" s="2" t="s">
        <v>1710</v>
      </c>
      <c r="C595" s="2" t="s">
        <v>1711</v>
      </c>
      <c r="D595" s="2" t="s">
        <v>222</v>
      </c>
      <c r="E595" s="2" t="s">
        <v>21</v>
      </c>
      <c r="F595" s="2" t="s">
        <v>15</v>
      </c>
      <c r="G595" s="2" t="s">
        <v>1712</v>
      </c>
      <c r="H595" s="2" t="s">
        <v>110</v>
      </c>
      <c r="I595" s="2" t="str">
        <f>IFERROR(__xludf.DUMMYFUNCTION("GOOGLETRANSLATE(C595,""fr"",""en"")"),"Quite satisfactory at the level of the price character of the availability of customer advisor and the price of fairly affordable insurance and one of the best on the market of the offer a good quality of intervention in the event of a disaster and excell"&amp;"ent amount refund in the event of a claim")</f>
        <v>Quite satisfactory at the level of the price character of the availability of customer advisor and the price of fairly affordable insurance and one of the best on the market of the offer a good quality of intervention in the event of a disaster and excellent amount refund in the event of a claim</v>
      </c>
    </row>
    <row r="596" ht="15.75" customHeight="1">
      <c r="A596" s="2">
        <v>5.0</v>
      </c>
      <c r="B596" s="2" t="s">
        <v>1713</v>
      </c>
      <c r="C596" s="2" t="s">
        <v>1714</v>
      </c>
      <c r="D596" s="2" t="s">
        <v>20</v>
      </c>
      <c r="E596" s="2" t="s">
        <v>21</v>
      </c>
      <c r="F596" s="2" t="s">
        <v>15</v>
      </c>
      <c r="G596" s="2" t="s">
        <v>856</v>
      </c>
      <c r="H596" s="2" t="s">
        <v>38</v>
      </c>
      <c r="I596" s="2" t="str">
        <f>IFERROR(__xludf.DUMMYFUNCTION("GOOGLETRANSLATE(C596,""fr"",""en"")"),"
Cheer . very fast . Chosen prices. Telephone contact with the staff. Genial. Despite a bad connection of the networks. I choose insurance compared to or service proposes. Choice of service - reasonable price")</f>
        <v>
Cheer . very fast . Chosen prices. Telephone contact with the staff. Genial. Despite a bad connection of the networks. I choose insurance compared to or service proposes. Choice of service - reasonable price</v>
      </c>
    </row>
    <row r="597" ht="15.75" customHeight="1">
      <c r="A597" s="2">
        <v>2.0</v>
      </c>
      <c r="B597" s="2" t="s">
        <v>1715</v>
      </c>
      <c r="C597" s="2" t="s">
        <v>1716</v>
      </c>
      <c r="D597" s="2" t="s">
        <v>32</v>
      </c>
      <c r="E597" s="2" t="s">
        <v>21</v>
      </c>
      <c r="F597" s="2" t="s">
        <v>15</v>
      </c>
      <c r="G597" s="2" t="s">
        <v>202</v>
      </c>
      <c r="H597" s="2" t="s">
        <v>179</v>
      </c>
      <c r="I597" s="2" t="str">
        <f>IFERROR(__xludf.DUMMYFUNCTION("GOOGLETRANSLATE(C597,""fr"",""en"")"),"Very expensive price knowing that I have been a customer for at least 20 years. And that I have 50% bonuses. I thought I would have had at least a family rate
Cordially")</f>
        <v>Very expensive price knowing that I have been a customer for at least 20 years. And that I have 50% bonuses. I thought I would have had at least a family rate
Cordially</v>
      </c>
    </row>
    <row r="598" ht="15.75" customHeight="1">
      <c r="A598" s="2">
        <v>5.0</v>
      </c>
      <c r="B598" s="2" t="s">
        <v>1717</v>
      </c>
      <c r="C598" s="2" t="s">
        <v>1718</v>
      </c>
      <c r="D598" s="2" t="s">
        <v>146</v>
      </c>
      <c r="E598" s="2" t="s">
        <v>52</v>
      </c>
      <c r="F598" s="2" t="s">
        <v>15</v>
      </c>
      <c r="G598" s="2" t="s">
        <v>58</v>
      </c>
      <c r="H598" s="2" t="s">
        <v>58</v>
      </c>
      <c r="I598" s="2" t="str">
        <f>IFERROR(__xludf.DUMMYFUNCTION("GOOGLETRANSLATE(C598,""fr"",""en"")"),"Very well, not very expensive with good things, thank you, I recommend this insurance, a fairly handy and easy site, fast ,.")</f>
        <v>Very well, not very expensive with good things, thank you, I recommend this insurance, a fairly handy and easy site, fast ,.</v>
      </c>
    </row>
    <row r="599" ht="15.75" customHeight="1">
      <c r="A599" s="2">
        <v>3.0</v>
      </c>
      <c r="B599" s="2" t="s">
        <v>1719</v>
      </c>
      <c r="C599" s="2" t="s">
        <v>1720</v>
      </c>
      <c r="D599" s="2" t="s">
        <v>139</v>
      </c>
      <c r="E599" s="2" t="s">
        <v>21</v>
      </c>
      <c r="F599" s="2" t="s">
        <v>15</v>
      </c>
      <c r="G599" s="2" t="s">
        <v>573</v>
      </c>
      <c r="H599" s="2" t="s">
        <v>110</v>
      </c>
      <c r="I599" s="2" t="str">
        <f>IFERROR(__xludf.DUMMYFUNCTION("GOOGLETRANSLATE(C599,""fr"",""en"")"),"For the moment nothing special to report
Correct rate compared to others. Carte explanations when signing auto housing and legal protection contracts")</f>
        <v>For the moment nothing special to report
Correct rate compared to others. Carte explanations when signing auto housing and legal protection contracts</v>
      </c>
    </row>
    <row r="600" ht="15.75" customHeight="1">
      <c r="A600" s="2">
        <v>4.0</v>
      </c>
      <c r="B600" s="2" t="s">
        <v>1721</v>
      </c>
      <c r="C600" s="2" t="s">
        <v>1722</v>
      </c>
      <c r="D600" s="2" t="s">
        <v>32</v>
      </c>
      <c r="E600" s="2" t="s">
        <v>21</v>
      </c>
      <c r="F600" s="2" t="s">
        <v>15</v>
      </c>
      <c r="G600" s="2" t="s">
        <v>747</v>
      </c>
      <c r="H600" s="2" t="s">
        <v>54</v>
      </c>
      <c r="I600" s="2" t="str">
        <f>IFERROR(__xludf.DUMMYFUNCTION("GOOGLETRANSLATE(C600,""fr"",""en"")"),"I am satisfied with the simplicity and the fluidity of the approach on the site. This is my first insurance, the beginning reassures me.
An advisor contacted me, she answered all my questions. I found the offer that interests me.")</f>
        <v>I am satisfied with the simplicity and the fluidity of the approach on the site. This is my first insurance, the beginning reassures me.
An advisor contacted me, she answered all my questions. I found the offer that interests me.</v>
      </c>
    </row>
    <row r="601" ht="15.75" customHeight="1">
      <c r="A601" s="2">
        <v>5.0</v>
      </c>
      <c r="B601" s="2" t="s">
        <v>1723</v>
      </c>
      <c r="C601" s="2" t="s">
        <v>1724</v>
      </c>
      <c r="D601" s="2" t="s">
        <v>20</v>
      </c>
      <c r="E601" s="2" t="s">
        <v>21</v>
      </c>
      <c r="F601" s="2" t="s">
        <v>15</v>
      </c>
      <c r="G601" s="2" t="s">
        <v>1265</v>
      </c>
      <c r="H601" s="2" t="s">
        <v>95</v>
      </c>
      <c r="I601" s="2" t="str">
        <f>IFERROR(__xludf.DUMMYFUNCTION("GOOGLETRANSLATE(C601,""fr"",""en"")"),"Very fast very competent it is very easy and very understandable a big congratulations to the whole team of the Olivier Insurance and very proud to be part of your customers")</f>
        <v>Very fast very competent it is very easy and very understandable a big congratulations to the whole team of the Olivier Insurance and very proud to be part of your customers</v>
      </c>
    </row>
    <row r="602" ht="15.75" customHeight="1">
      <c r="A602" s="2">
        <v>2.0</v>
      </c>
      <c r="B602" s="2" t="s">
        <v>1725</v>
      </c>
      <c r="C602" s="2" t="s">
        <v>1726</v>
      </c>
      <c r="D602" s="2" t="s">
        <v>371</v>
      </c>
      <c r="E602" s="2" t="s">
        <v>52</v>
      </c>
      <c r="F602" s="2" t="s">
        <v>15</v>
      </c>
      <c r="G602" s="2" t="s">
        <v>1727</v>
      </c>
      <c r="H602" s="2" t="s">
        <v>842</v>
      </c>
      <c r="I602" s="2" t="str">
        <f>IFERROR(__xludf.DUMMYFUNCTION("GOOGLETRANSLATE(C602,""fr"",""en"")"),"Incompetent insurance. No green sticker for a year. I am asked for a new bankruptcy order in exchange for the said card while my account is taken monthly.")</f>
        <v>Incompetent insurance. No green sticker for a year. I am asked for a new bankruptcy order in exchange for the said card while my account is taken monthly.</v>
      </c>
    </row>
    <row r="603" ht="15.75" customHeight="1">
      <c r="A603" s="2">
        <v>3.0</v>
      </c>
      <c r="B603" s="2" t="s">
        <v>1728</v>
      </c>
      <c r="C603" s="2" t="s">
        <v>1729</v>
      </c>
      <c r="D603" s="2" t="s">
        <v>32</v>
      </c>
      <c r="E603" s="2" t="s">
        <v>21</v>
      </c>
      <c r="F603" s="2" t="s">
        <v>15</v>
      </c>
      <c r="G603" s="2" t="s">
        <v>736</v>
      </c>
      <c r="H603" s="2" t="s">
        <v>87</v>
      </c>
      <c r="I603" s="2" t="str">
        <f>IFERROR(__xludf.DUMMYFUNCTION("GOOGLETRANSLATE(C603,""fr"",""en"")"),"I am satisfied with the service.
Communication is correct.
The price is a bit high, and my driving years abroad have not been valued.")</f>
        <v>I am satisfied with the service.
Communication is correct.
The price is a bit high, and my driving years abroad have not been valued.</v>
      </c>
    </row>
    <row r="604" ht="15.75" customHeight="1">
      <c r="A604" s="2">
        <v>1.0</v>
      </c>
      <c r="B604" s="2" t="s">
        <v>1730</v>
      </c>
      <c r="C604" s="2" t="s">
        <v>1731</v>
      </c>
      <c r="D604" s="2" t="s">
        <v>1085</v>
      </c>
      <c r="E604" s="2" t="s">
        <v>27</v>
      </c>
      <c r="F604" s="2" t="s">
        <v>15</v>
      </c>
      <c r="G604" s="2" t="s">
        <v>1732</v>
      </c>
      <c r="H604" s="2" t="s">
        <v>804</v>
      </c>
      <c r="I604" s="2" t="str">
        <f>IFERROR(__xludf.DUMMYFUNCTION("GOOGLETRANSLATE(C604,""fr"",""en"")"),"Very bad service")</f>
        <v>Very bad service</v>
      </c>
    </row>
    <row r="605" ht="15.75" customHeight="1">
      <c r="A605" s="2">
        <v>1.0</v>
      </c>
      <c r="B605" s="2" t="s">
        <v>1733</v>
      </c>
      <c r="C605" s="2" t="s">
        <v>1734</v>
      </c>
      <c r="D605" s="2" t="s">
        <v>1034</v>
      </c>
      <c r="E605" s="2" t="s">
        <v>27</v>
      </c>
      <c r="F605" s="2" t="s">
        <v>15</v>
      </c>
      <c r="G605" s="2" t="s">
        <v>1735</v>
      </c>
      <c r="H605" s="2" t="s">
        <v>48</v>
      </c>
      <c r="I605" s="2" t="str">
        <f>IFERROR(__xludf.DUMMYFUNCTION("GOOGLETRANSLATE(C605,""fr"",""en"")"),"The advisor of my companion sent a photo of his Decolved during the containment should I report it? Or file a complaint? We will denounce all the contracts is this real motive to anticipate the breakdown of contracts?")</f>
        <v>The advisor of my companion sent a photo of his Decolved during the containment should I report it? Or file a complaint? We will denounce all the contracts is this real motive to anticipate the breakdown of contracts?</v>
      </c>
    </row>
    <row r="606" ht="15.75" customHeight="1">
      <c r="A606" s="2">
        <v>2.0</v>
      </c>
      <c r="B606" s="2" t="s">
        <v>1736</v>
      </c>
      <c r="C606" s="2" t="s">
        <v>1737</v>
      </c>
      <c r="D606" s="2" t="s">
        <v>32</v>
      </c>
      <c r="E606" s="2" t="s">
        <v>21</v>
      </c>
      <c r="F606" s="2" t="s">
        <v>15</v>
      </c>
      <c r="G606" s="2" t="s">
        <v>214</v>
      </c>
      <c r="H606" s="2" t="s">
        <v>58</v>
      </c>
      <c r="I606" s="2" t="str">
        <f>IFERROR(__xludf.DUMMYFUNCTION("GOOGLETRANSLATE(C606,""fr"",""en"")"),"The service is good but for the insurance price I find that it is a little dear compared to the type, age, taken from the argus of the insured car.")</f>
        <v>The service is good but for the insurance price I find that it is a little dear compared to the type, age, taken from the argus of the insured car.</v>
      </c>
    </row>
    <row r="607" ht="15.75" customHeight="1">
      <c r="A607" s="2">
        <v>5.0</v>
      </c>
      <c r="B607" s="2" t="s">
        <v>1738</v>
      </c>
      <c r="C607" s="2" t="s">
        <v>1739</v>
      </c>
      <c r="D607" s="2" t="s">
        <v>146</v>
      </c>
      <c r="E607" s="2" t="s">
        <v>52</v>
      </c>
      <c r="F607" s="2" t="s">
        <v>15</v>
      </c>
      <c r="G607" s="2" t="s">
        <v>291</v>
      </c>
      <c r="H607" s="2" t="s">
        <v>54</v>
      </c>
      <c r="I607" s="2" t="str">
        <f>IFERROR(__xludf.DUMMYFUNCTION("GOOGLETRANSLATE(C607,""fr"",""en"")"),"The price suits me easy to use big economy compared to my previous insurer
To put it simply I would recommend April Moto to my loved ones without hesitation")</f>
        <v>The price suits me easy to use big economy compared to my previous insurer
To put it simply I would recommend April Moto to my loved ones without hesitation</v>
      </c>
    </row>
    <row r="608" ht="15.75" customHeight="1">
      <c r="A608" s="2">
        <v>1.0</v>
      </c>
      <c r="B608" s="2" t="s">
        <v>1740</v>
      </c>
      <c r="C608" s="2" t="s">
        <v>1741</v>
      </c>
      <c r="D608" s="2" t="s">
        <v>122</v>
      </c>
      <c r="E608" s="2" t="s">
        <v>21</v>
      </c>
      <c r="F608" s="2" t="s">
        <v>15</v>
      </c>
      <c r="G608" s="2" t="s">
        <v>1742</v>
      </c>
      <c r="H608" s="2" t="s">
        <v>23</v>
      </c>
      <c r="I608" s="2" t="str">
        <f>IFERROR(__xludf.DUMMYFUNCTION("GOOGLETRANSLATE(C608,""fr"",""en"")"),"I am assured at Matmut I did an insurance contract with them and frankly to flee to flee to flee at the time of very pleasant registration but when it comes to a sinister masks fall it more A month that I expect to be able to reimburse me my disaster that"&amp;" I have had but to date there are even more as many ashants ashamed to flee flee")</f>
        <v>I am assured at Matmut I did an insurance contract with them and frankly to flee to flee to flee at the time of very pleasant registration but when it comes to a sinister masks fall it more A month that I expect to be able to reimburse me my disaster that I have had but to date there are even more as many ashants ashamed to flee flee</v>
      </c>
    </row>
    <row r="609" ht="15.75" customHeight="1">
      <c r="A609" s="2">
        <v>2.0</v>
      </c>
      <c r="B609" s="2" t="s">
        <v>1743</v>
      </c>
      <c r="C609" s="2" t="s">
        <v>1744</v>
      </c>
      <c r="D609" s="2" t="s">
        <v>150</v>
      </c>
      <c r="E609" s="2" t="s">
        <v>21</v>
      </c>
      <c r="F609" s="2" t="s">
        <v>15</v>
      </c>
      <c r="G609" s="2" t="s">
        <v>1745</v>
      </c>
      <c r="H609" s="2" t="s">
        <v>99</v>
      </c>
      <c r="I609" s="2" t="str">
        <f>IFERROR(__xludf.DUMMYFUNCTION("GOOGLETRANSLATE(C609,""fr"",""en"")"),"It has been more than 10 years since I was insured at the Macif, I always settled my contributions in time.
Following an accident (answer) but impossible to avoid.
Aquaplaning in an underground car park filmed by the parking lot as well as with a Dashca"&amp;"m. Speed ​​of 5km/h. I end up with a 25%penalty. The Macif did not know anything ... I find it distressing and I really feel for a milk cow ...
I am extremely disappointed, I have several insurances at home, I plan to make the modification of all of my i"&amp;"nsurances because I absolutely understand what to put such if it is not to be listening or even understood.")</f>
        <v>It has been more than 10 years since I was insured at the Macif, I always settled my contributions in time.
Following an accident (answer) but impossible to avoid.
Aquaplaning in an underground car park filmed by the parking lot as well as with a Dashcam. Speed ​​of 5km/h. I end up with a 25%penalty. The Macif did not know anything ... I find it distressing and I really feel for a milk cow ...
I am extremely disappointed, I have several insurances at home, I plan to make the modification of all of my insurances because I absolutely understand what to put such if it is not to be listening or even understood.</v>
      </c>
    </row>
    <row r="610" ht="15.75" customHeight="1">
      <c r="A610" s="2">
        <v>5.0</v>
      </c>
      <c r="B610" s="2" t="s">
        <v>1746</v>
      </c>
      <c r="C610" s="2" t="s">
        <v>1747</v>
      </c>
      <c r="D610" s="2" t="s">
        <v>106</v>
      </c>
      <c r="E610" s="2" t="s">
        <v>14</v>
      </c>
      <c r="F610" s="2" t="s">
        <v>15</v>
      </c>
      <c r="G610" s="2" t="s">
        <v>841</v>
      </c>
      <c r="H610" s="2" t="s">
        <v>842</v>
      </c>
      <c r="I610" s="2" t="str">
        <f>IFERROR(__xludf.DUMMYFUNCTION("GOOGLETRANSLATE(C610,""fr"",""en"")"),"I looked for a moment with my broker to find a formula that was postponing the optics well and I am very happy to have found Neoliane which allowed me without paying crazy contributions to be able to change my glasses by buying good quality.")</f>
        <v>I looked for a moment with my broker to find a formula that was postponing the optics well and I am very happy to have found Neoliane which allowed me without paying crazy contributions to be able to change my glasses by buying good quality.</v>
      </c>
    </row>
    <row r="611" ht="15.75" customHeight="1">
      <c r="A611" s="2">
        <v>5.0</v>
      </c>
      <c r="B611" s="2" t="s">
        <v>1748</v>
      </c>
      <c r="C611" s="2" t="s">
        <v>1749</v>
      </c>
      <c r="D611" s="2" t="s">
        <v>20</v>
      </c>
      <c r="E611" s="2" t="s">
        <v>21</v>
      </c>
      <c r="F611" s="2" t="s">
        <v>15</v>
      </c>
      <c r="G611" s="2" t="s">
        <v>396</v>
      </c>
      <c r="H611" s="2" t="s">
        <v>23</v>
      </c>
      <c r="I611" s="2" t="str">
        <f>IFERROR(__xludf.DUMMYFUNCTION("GOOGLETRANSLATE(C611,""fr"",""en"")"),"I am satisfied with your very correct inexpensive and very very well accompanied service in the process I am delighted with fast services like yours.")</f>
        <v>I am satisfied with your very correct inexpensive and very very well accompanied service in the process I am delighted with fast services like yours.</v>
      </c>
    </row>
    <row r="612" ht="15.75" customHeight="1">
      <c r="A612" s="2">
        <v>4.0</v>
      </c>
      <c r="B612" s="2" t="s">
        <v>1750</v>
      </c>
      <c r="C612" s="2" t="s">
        <v>1751</v>
      </c>
      <c r="D612" s="2" t="s">
        <v>20</v>
      </c>
      <c r="E612" s="2" t="s">
        <v>21</v>
      </c>
      <c r="F612" s="2" t="s">
        <v>15</v>
      </c>
      <c r="G612" s="2" t="s">
        <v>1752</v>
      </c>
      <c r="H612" s="2" t="s">
        <v>48</v>
      </c>
      <c r="I612" s="2" t="str">
        <f>IFERROR(__xludf.DUMMYFUNCTION("GOOGLETRANSLATE(C612,""fr"",""en"")"),"Simple and practical, attractive rates. The advisers are very kind and explain the different points of the contract very well. There is no incentive to the over-enchorate!")</f>
        <v>Simple and practical, attractive rates. The advisers are very kind and explain the different points of the contract very well. There is no incentive to the over-enchorate!</v>
      </c>
    </row>
    <row r="613" ht="15.75" customHeight="1">
      <c r="A613" s="2">
        <v>1.0</v>
      </c>
      <c r="B613" s="2" t="s">
        <v>1753</v>
      </c>
      <c r="C613" s="2" t="s">
        <v>1754</v>
      </c>
      <c r="D613" s="2" t="s">
        <v>122</v>
      </c>
      <c r="E613" s="2" t="s">
        <v>42</v>
      </c>
      <c r="F613" s="2" t="s">
        <v>15</v>
      </c>
      <c r="G613" s="2" t="s">
        <v>1755</v>
      </c>
      <c r="H613" s="2" t="s">
        <v>876</v>
      </c>
      <c r="I613" s="2" t="str">
        <f>IFERROR(__xludf.DUMMYFUNCTION("GOOGLETRANSLATE(C613,""fr"",""en"")"),"Not at all satisfied before even having a disaster, my home residence home insurance and the legal protection of the Matmut. I recommend to all those who read me for € 5 more at Goupama you have an extraordinary PJ, at Groupama Legal protection is additio"&amp;"nal insurance attached to the person not at the main residence, and which therefore also guarantees your second home among others . You have to take advantage of your main residence to access this PJ. The top, I recommend Groupama and Allianz who seem to "&amp;"have similar guarantees. Unheard of the 21st century there are 19th century insurance contracts to flee.")</f>
        <v>Not at all satisfied before even having a disaster, my home residence home insurance and the legal protection of the Matmut. I recommend to all those who read me for € 5 more at Goupama you have an extraordinary PJ, at Groupama Legal protection is additional insurance attached to the person not at the main residence, and which therefore also guarantees your second home among others . You have to take advantage of your main residence to access this PJ. The top, I recommend Groupama and Allianz who seem to have similar guarantees. Unheard of the 21st century there are 19th century insurance contracts to flee.</v>
      </c>
    </row>
    <row r="614" ht="15.75" customHeight="1">
      <c r="A614" s="2">
        <v>4.0</v>
      </c>
      <c r="B614" s="2" t="s">
        <v>1756</v>
      </c>
      <c r="C614" s="2" t="s">
        <v>1757</v>
      </c>
      <c r="D614" s="2" t="s">
        <v>139</v>
      </c>
      <c r="E614" s="2" t="s">
        <v>21</v>
      </c>
      <c r="F614" s="2" t="s">
        <v>15</v>
      </c>
      <c r="G614" s="2" t="s">
        <v>1758</v>
      </c>
      <c r="H614" s="2" t="s">
        <v>385</v>
      </c>
      <c r="I614" s="2" t="str">
        <f>IFERROR(__xludf.DUMMYFUNCTION("GOOGLETRANSLATE(C614,""fr"",""en"")"),"Very satisfied with this insurer. I called them twice for battery failures, and each time 1/2 hours after a convenience store was there and everything was settled.")</f>
        <v>Very satisfied with this insurer. I called them twice for battery failures, and each time 1/2 hours after a convenience store was there and everything was settled.</v>
      </c>
    </row>
    <row r="615" ht="15.75" customHeight="1">
      <c r="A615" s="2">
        <v>4.0</v>
      </c>
      <c r="B615" s="2" t="s">
        <v>1759</v>
      </c>
      <c r="C615" s="2" t="s">
        <v>1760</v>
      </c>
      <c r="D615" s="2" t="s">
        <v>32</v>
      </c>
      <c r="E615" s="2" t="s">
        <v>21</v>
      </c>
      <c r="F615" s="2" t="s">
        <v>15</v>
      </c>
      <c r="G615" s="2" t="s">
        <v>466</v>
      </c>
      <c r="H615" s="2" t="s">
        <v>179</v>
      </c>
      <c r="I615" s="2" t="str">
        <f>IFERROR(__xludf.DUMMYFUNCTION("GOOGLETRANSLATE(C615,""fr"",""en"")"),"Very good price report, I hope I would be satisfied if necessary., During disaster and for the increase in the next few years. The site is well done.")</f>
        <v>Very good price report, I hope I would be satisfied if necessary., During disaster and for the increase in the next few years. The site is well done.</v>
      </c>
    </row>
    <row r="616" ht="15.75" customHeight="1">
      <c r="A616" s="2">
        <v>4.0</v>
      </c>
      <c r="B616" s="2" t="s">
        <v>1761</v>
      </c>
      <c r="C616" s="2" t="s">
        <v>1762</v>
      </c>
      <c r="D616" s="2" t="s">
        <v>32</v>
      </c>
      <c r="E616" s="2" t="s">
        <v>21</v>
      </c>
      <c r="F616" s="2" t="s">
        <v>15</v>
      </c>
      <c r="G616" s="2" t="s">
        <v>266</v>
      </c>
      <c r="H616" s="2" t="s">
        <v>179</v>
      </c>
      <c r="I616" s="2" t="str">
        <f>IFERROR(__xludf.DUMMYFUNCTION("GOOGLETRANSLATE(C616,""fr"",""en"")"),"satisfied prices and services
Rapidit and simplicity of the Demarches
It would take more speed to contact them at the phone
But clarity in the information, the advisers are in Lecoute")</f>
        <v>satisfied prices and services
Rapidit and simplicity of the Demarches
It would take more speed to contact them at the phone
But clarity in the information, the advisers are in Lecoute</v>
      </c>
    </row>
    <row r="617" ht="15.75" customHeight="1">
      <c r="A617" s="2">
        <v>4.0</v>
      </c>
      <c r="B617" s="2" t="s">
        <v>1763</v>
      </c>
      <c r="C617" s="2" t="s">
        <v>1764</v>
      </c>
      <c r="D617" s="2" t="s">
        <v>75</v>
      </c>
      <c r="E617" s="2" t="s">
        <v>544</v>
      </c>
      <c r="F617" s="2" t="s">
        <v>15</v>
      </c>
      <c r="G617" s="2" t="s">
        <v>443</v>
      </c>
      <c r="H617" s="2" t="s">
        <v>48</v>
      </c>
      <c r="I617" s="2" t="str">
        <f>IFERROR(__xludf.DUMMYFUNCTION("GOOGLETRANSLATE(C617,""fr"",""en"")"),"Very reactive mutual. Advisers always listening to us, sympathetic and professional. The last events concerning me allowed me to judge the services and personally I was absolutely not disappointed. For me most certainly one of the best mutuals I can only "&amp;"congratulate you and encourage you to continue")</f>
        <v>Very reactive mutual. Advisers always listening to us, sympathetic and professional. The last events concerning me allowed me to judge the services and personally I was absolutely not disappointed. For me most certainly one of the best mutuals I can only congratulate you and encourage you to continue</v>
      </c>
    </row>
    <row r="618" ht="15.75" customHeight="1">
      <c r="A618" s="2">
        <v>4.0</v>
      </c>
      <c r="B618" s="2" t="s">
        <v>1765</v>
      </c>
      <c r="C618" s="2" t="s">
        <v>1766</v>
      </c>
      <c r="D618" s="2" t="s">
        <v>146</v>
      </c>
      <c r="E618" s="2" t="s">
        <v>52</v>
      </c>
      <c r="F618" s="2" t="s">
        <v>15</v>
      </c>
      <c r="G618" s="2" t="s">
        <v>409</v>
      </c>
      <c r="H618" s="2" t="s">
        <v>54</v>
      </c>
      <c r="I618" s="2" t="str">
        <f>IFERROR(__xludf.DUMMYFUNCTION("GOOGLETRANSLATE(C618,""fr"",""en"")"),"Satisfied with the people with whom I was able to discuss warm and smiling customer service to see for the future, the prices are correct the former owner of Min vehicle advised me this insurance")</f>
        <v>Satisfied with the people with whom I was able to discuss warm and smiling customer service to see for the future, the prices are correct the former owner of Min vehicle advised me this insurance</v>
      </c>
    </row>
    <row r="619" ht="15.75" customHeight="1">
      <c r="A619" s="2">
        <v>5.0</v>
      </c>
      <c r="B619" s="2" t="s">
        <v>1767</v>
      </c>
      <c r="C619" s="2" t="s">
        <v>1768</v>
      </c>
      <c r="D619" s="2" t="s">
        <v>32</v>
      </c>
      <c r="E619" s="2" t="s">
        <v>21</v>
      </c>
      <c r="F619" s="2" t="s">
        <v>15</v>
      </c>
      <c r="G619" s="2" t="s">
        <v>1027</v>
      </c>
      <c r="H619" s="2" t="s">
        <v>58</v>
      </c>
      <c r="I619" s="2" t="str">
        <f>IFERROR(__xludf.DUMMYFUNCTION("GOOGLETRANSLATE(C619,""fr"",""en"")"),"Everything is nickel. Clearly, the prices are advantageous and the speed of subscription is appreciable. I highly recommend for new beneficiaries")</f>
        <v>Everything is nickel. Clearly, the prices are advantageous and the speed of subscription is appreciable. I highly recommend for new beneficiaries</v>
      </c>
    </row>
    <row r="620" ht="15.75" customHeight="1">
      <c r="A620" s="2">
        <v>2.0</v>
      </c>
      <c r="B620" s="2" t="s">
        <v>1769</v>
      </c>
      <c r="C620" s="2" t="s">
        <v>1770</v>
      </c>
      <c r="D620" s="2" t="s">
        <v>543</v>
      </c>
      <c r="E620" s="2" t="s">
        <v>14</v>
      </c>
      <c r="F620" s="2" t="s">
        <v>15</v>
      </c>
      <c r="G620" s="2" t="s">
        <v>151</v>
      </c>
      <c r="H620" s="2" t="s">
        <v>152</v>
      </c>
      <c r="I620" s="2" t="str">
        <f>IFERROR(__xludf.DUMMYFUNCTION("GOOGLETRANSLATE(C620,""fr"",""en"")"),"Still awaiting reimbursements for care, pruning mainly for IVF) having taken place in December 2018 .... Multiple recovery, registered mail ... Nothing is doing it ... invoices supposedly non -compliant (coming from a clinic which has been a storefront fo"&amp;"r decades) but for which reimbursements have already been made, but for derisory amounts on the other hand ... for the more important amounts it is more problematic ....
Refunds had to be made on 27.03.19 ... Still nothing today on 02.04.2019")</f>
        <v>Still awaiting reimbursements for care, pruning mainly for IVF) having taken place in December 2018 .... Multiple recovery, registered mail ... Nothing is doing it ... invoices supposedly non -compliant (coming from a clinic which has been a storefront for decades) but for which reimbursements have already been made, but for derisory amounts on the other hand ... for the more important amounts it is more problematic ....
Refunds had to be made on 27.03.19 ... Still nothing today on 02.04.2019</v>
      </c>
    </row>
    <row r="621" ht="15.75" customHeight="1">
      <c r="A621" s="2">
        <v>5.0</v>
      </c>
      <c r="B621" s="2" t="s">
        <v>1771</v>
      </c>
      <c r="C621" s="2" t="s">
        <v>1772</v>
      </c>
      <c r="D621" s="2" t="s">
        <v>222</v>
      </c>
      <c r="E621" s="2" t="s">
        <v>42</v>
      </c>
      <c r="F621" s="2" t="s">
        <v>15</v>
      </c>
      <c r="G621" s="2" t="s">
        <v>227</v>
      </c>
      <c r="H621" s="2" t="s">
        <v>228</v>
      </c>
      <c r="I621" s="2" t="str">
        <f>IFERROR(__xludf.DUMMYFUNCTION("GOOGLETRANSLATE(C621,""fr"",""en"")"),"Whether via telephone advisers or agency services I am very satisfied with my home insurance at home. Formerly at Suravenir du CMSO, I had the chance by going to AXA to find higher guarantees for a 30% cheaper rate. Having had a claim before I have good m"&amp;"emory of both the speed of the work and on their content. A completely flooded living room following a storm which was completely redone according to our tastes and not according to the prices. Insurance that knows how to listen to both listening and conf"&amp;"irming their words should be noted.")</f>
        <v>Whether via telephone advisers or agency services I am very satisfied with my home insurance at home. Formerly at Suravenir du CMSO, I had the chance by going to AXA to find higher guarantees for a 30% cheaper rate. Having had a claim before I have good memory of both the speed of the work and on their content. A completely flooded living room following a storm which was completely redone according to our tastes and not according to the prices. Insurance that knows how to listen to both listening and confirming their words should be noted.</v>
      </c>
    </row>
    <row r="622" ht="15.75" customHeight="1">
      <c r="A622" s="2">
        <v>5.0</v>
      </c>
      <c r="B622" s="2" t="s">
        <v>1773</v>
      </c>
      <c r="C622" s="2" t="s">
        <v>1774</v>
      </c>
      <c r="D622" s="2" t="s">
        <v>75</v>
      </c>
      <c r="E622" s="2" t="s">
        <v>14</v>
      </c>
      <c r="F622" s="2" t="s">
        <v>15</v>
      </c>
      <c r="G622" s="2" t="s">
        <v>1775</v>
      </c>
      <c r="H622" s="2" t="s">
        <v>331</v>
      </c>
      <c r="I622" s="2" t="str">
        <f>IFERROR(__xludf.DUMMYFUNCTION("GOOGLETRANSLATE(C622,""fr"",""en"")"),"Excellent telephone reception and support for my requests by advisers to listen to members. Correct telephone waiting time despite the current health crisis. Otherwise the principle of being remembered by an advisor is something very appreciable.")</f>
        <v>Excellent telephone reception and support for my requests by advisers to listen to members. Correct telephone waiting time despite the current health crisis. Otherwise the principle of being remembered by an advisor is something very appreciable.</v>
      </c>
    </row>
    <row r="623" ht="15.75" customHeight="1">
      <c r="A623" s="2">
        <v>2.0</v>
      </c>
      <c r="B623" s="2" t="s">
        <v>1776</v>
      </c>
      <c r="C623" s="2" t="s">
        <v>1777</v>
      </c>
      <c r="D623" s="2" t="s">
        <v>314</v>
      </c>
      <c r="E623" s="2" t="s">
        <v>21</v>
      </c>
      <c r="F623" s="2" t="s">
        <v>15</v>
      </c>
      <c r="G623" s="2" t="s">
        <v>1778</v>
      </c>
      <c r="H623" s="2" t="s">
        <v>458</v>
      </c>
      <c r="I623" s="2" t="str">
        <f>IFERROR(__xludf.DUMMYFUNCTION("GOOGLETRANSLATE(C623,""fr"",""en"")"),"Everything is going well to pay and open the file, but everything complicates afterwards, the file is never complete regular request for additional documents after sending and confirmation of the reception of documents, new requests for documents and stil"&amp;"l no green card. The interlocutor on the phone does not want to know anything, returned the documents, he does not know how to say that")</f>
        <v>Everything is going well to pay and open the file, but everything complicates afterwards, the file is never complete regular request for additional documents after sending and confirmation of the reception of documents, new requests for documents and still no green card. The interlocutor on the phone does not want to know anything, returned the documents, he does not know how to say that</v>
      </c>
    </row>
    <row r="624" ht="15.75" customHeight="1">
      <c r="A624" s="2">
        <v>1.0</v>
      </c>
      <c r="B624" s="2" t="s">
        <v>1779</v>
      </c>
      <c r="C624" s="2" t="s">
        <v>1780</v>
      </c>
      <c r="D624" s="2" t="s">
        <v>32</v>
      </c>
      <c r="E624" s="2" t="s">
        <v>21</v>
      </c>
      <c r="F624" s="2" t="s">
        <v>15</v>
      </c>
      <c r="G624" s="2" t="s">
        <v>48</v>
      </c>
      <c r="H624" s="2" t="s">
        <v>48</v>
      </c>
      <c r="I624" s="2" t="str">
        <f>IFERROR(__xludf.DUMMYFUNCTION("GOOGLETRANSLATE(C624,""fr"",""en"")"),"I have two declared sinister in which I am not responsible and I did not receive reimbursements.
Too expensive and bad service.
I would not recommend this insurer to anyone")</f>
        <v>I have two declared sinister in which I am not responsible and I did not receive reimbursements.
Too expensive and bad service.
I would not recommend this insurer to anyone</v>
      </c>
    </row>
    <row r="625" ht="15.75" customHeight="1">
      <c r="A625" s="2">
        <v>5.0</v>
      </c>
      <c r="B625" s="2" t="s">
        <v>1781</v>
      </c>
      <c r="C625" s="2" t="s">
        <v>1782</v>
      </c>
      <c r="D625" s="2" t="s">
        <v>32</v>
      </c>
      <c r="E625" s="2" t="s">
        <v>21</v>
      </c>
      <c r="F625" s="2" t="s">
        <v>15</v>
      </c>
      <c r="G625" s="2" t="s">
        <v>409</v>
      </c>
      <c r="H625" s="2" t="s">
        <v>54</v>
      </c>
      <c r="I625" s="2" t="str">
        <f>IFERROR(__xludf.DUMMYFUNCTION("GOOGLETRANSLATE(C625,""fr"",""en"")"),"I am satisfied with the price, the subscription is simple and quick and the advisor of good advice,
I recommend direct insurance,
I hope to stay at home for a long time
thank you
Cordially")</f>
        <v>I am satisfied with the price, the subscription is simple and quick and the advisor of good advice,
I recommend direct insurance,
I hope to stay at home for a long time
thank you
Cordially</v>
      </c>
    </row>
    <row r="626" ht="15.75" customHeight="1">
      <c r="A626" s="2">
        <v>4.0</v>
      </c>
      <c r="B626" s="2" t="s">
        <v>1783</v>
      </c>
      <c r="C626" s="2" t="s">
        <v>1784</v>
      </c>
      <c r="D626" s="2" t="s">
        <v>20</v>
      </c>
      <c r="E626" s="2" t="s">
        <v>21</v>
      </c>
      <c r="F626" s="2" t="s">
        <v>15</v>
      </c>
      <c r="G626" s="2" t="s">
        <v>1785</v>
      </c>
      <c r="H626" s="2" t="s">
        <v>23</v>
      </c>
      <c r="I626" s="2" t="str">
        <f>IFERROR(__xludf.DUMMYFUNCTION("GOOGLETRANSLATE(C626,""fr"",""en"")"),"Very good advisor thank you for your explanations for a new contract
At an attractive price for a third -party insurance thank you to all of you.")</f>
        <v>Very good advisor thank you for your explanations for a new contract
At an attractive price for a third -party insurance thank you to all of you.</v>
      </c>
    </row>
    <row r="627" ht="15.75" customHeight="1">
      <c r="A627" s="2">
        <v>1.0</v>
      </c>
      <c r="B627" s="2" t="s">
        <v>1786</v>
      </c>
      <c r="C627" s="2" t="s">
        <v>1787</v>
      </c>
      <c r="D627" s="2" t="s">
        <v>61</v>
      </c>
      <c r="E627" s="2" t="s">
        <v>42</v>
      </c>
      <c r="F627" s="2" t="s">
        <v>15</v>
      </c>
      <c r="G627" s="2" t="s">
        <v>1788</v>
      </c>
      <c r="H627" s="2" t="s">
        <v>228</v>
      </c>
      <c r="I627" s="2" t="str">
        <f>IFERROR(__xludf.DUMMYFUNCTION("GOOGLETRANSLATE(C627,""fr"",""en"")"),"The worst loss care one year after still no response after selling insurance all benef for them")</f>
        <v>The worst loss care one year after still no response after selling insurance all benef for them</v>
      </c>
    </row>
    <row r="628" ht="15.75" customHeight="1">
      <c r="A628" s="2">
        <v>2.0</v>
      </c>
      <c r="B628" s="2" t="s">
        <v>1789</v>
      </c>
      <c r="C628" s="2" t="s">
        <v>1790</v>
      </c>
      <c r="D628" s="2" t="s">
        <v>139</v>
      </c>
      <c r="E628" s="2" t="s">
        <v>21</v>
      </c>
      <c r="F628" s="2" t="s">
        <v>15</v>
      </c>
      <c r="G628" s="2" t="s">
        <v>835</v>
      </c>
      <c r="H628" s="2" t="s">
        <v>38</v>
      </c>
      <c r="I628" s="2" t="str">
        <f>IFERROR(__xludf.DUMMYFUNCTION("GOOGLETRANSLATE(C628,""fr"",""en"")"),"I am not satisfied with your price after several years of adherent it turns out that the prices for the new members are more advantageous I ask the question must be seen elsewhere to have better fares
Cordially")</f>
        <v>I am not satisfied with your price after several years of adherent it turns out that the prices for the new members are more advantageous I ask the question must be seen elsewhere to have better fares
Cordially</v>
      </c>
    </row>
    <row r="629" ht="15.75" customHeight="1">
      <c r="A629" s="2">
        <v>5.0</v>
      </c>
      <c r="B629" s="2" t="s">
        <v>1791</v>
      </c>
      <c r="C629" s="2" t="s">
        <v>1792</v>
      </c>
      <c r="D629" s="2" t="s">
        <v>20</v>
      </c>
      <c r="E629" s="2" t="s">
        <v>21</v>
      </c>
      <c r="F629" s="2" t="s">
        <v>15</v>
      </c>
      <c r="G629" s="2" t="s">
        <v>1793</v>
      </c>
      <c r="H629" s="2" t="s">
        <v>58</v>
      </c>
      <c r="I629" s="2" t="str">
        <f>IFERROR(__xludf.DUMMYFUNCTION("GOOGLETRANSLATE(C629,""fr"",""en"")"),"I highly recommend the olive assurance. They are responsive, it reserves all their customers the best possible reception. And nothing to say in terms of price.")</f>
        <v>I highly recommend the olive assurance. They are responsive, it reserves all their customers the best possible reception. And nothing to say in terms of price.</v>
      </c>
    </row>
    <row r="630" ht="15.75" customHeight="1">
      <c r="A630" s="2">
        <v>1.0</v>
      </c>
      <c r="B630" s="2" t="s">
        <v>1794</v>
      </c>
      <c r="C630" s="2" t="s">
        <v>1795</v>
      </c>
      <c r="D630" s="2" t="s">
        <v>139</v>
      </c>
      <c r="E630" s="2" t="s">
        <v>42</v>
      </c>
      <c r="F630" s="2" t="s">
        <v>15</v>
      </c>
      <c r="G630" s="2" t="s">
        <v>1796</v>
      </c>
      <c r="H630" s="2" t="s">
        <v>378</v>
      </c>
      <c r="I630" s="2" t="str">
        <f>IFERROR(__xludf.DUMMYFUNCTION("GOOGLETRANSLATE(C630,""fr"",""en"")"),"If you don't have a claim, everything is fine.
As soon as you have a problem, the sinister service finds apologies so as not to compensate. They are very strong to exempt themselves from their duty.
pay more but go see elsewhere")</f>
        <v>If you don't have a claim, everything is fine.
As soon as you have a problem, the sinister service finds apologies so as not to compensate. They are very strong to exempt themselves from their duty.
pay more but go see elsewhere</v>
      </c>
    </row>
    <row r="631" ht="15.75" customHeight="1">
      <c r="A631" s="2">
        <v>5.0</v>
      </c>
      <c r="B631" s="2" t="s">
        <v>1797</v>
      </c>
      <c r="C631" s="2" t="s">
        <v>1798</v>
      </c>
      <c r="D631" s="2" t="s">
        <v>20</v>
      </c>
      <c r="E631" s="2" t="s">
        <v>21</v>
      </c>
      <c r="F631" s="2" t="s">
        <v>15</v>
      </c>
      <c r="G631" s="2" t="s">
        <v>172</v>
      </c>
      <c r="H631" s="2" t="s">
        <v>58</v>
      </c>
      <c r="I631" s="2" t="str">
        <f>IFERROR(__xludf.DUMMYFUNCTION("GOOGLETRANSLATE(C631,""fr"",""en"")"),"I am satisfied with the service… the prices thank you very much for your welcome and your kindness thank you cordially have a good day to you you have good insurance")</f>
        <v>I am satisfied with the service… the prices thank you very much for your welcome and your kindness thank you cordially have a good day to you you have good insurance</v>
      </c>
    </row>
    <row r="632" ht="15.75" customHeight="1">
      <c r="A632" s="2">
        <v>1.0</v>
      </c>
      <c r="B632" s="2" t="s">
        <v>1799</v>
      </c>
      <c r="C632" s="2" t="s">
        <v>1800</v>
      </c>
      <c r="D632" s="2" t="s">
        <v>186</v>
      </c>
      <c r="E632" s="2" t="s">
        <v>21</v>
      </c>
      <c r="F632" s="2" t="s">
        <v>15</v>
      </c>
      <c r="G632" s="2" t="s">
        <v>1801</v>
      </c>
      <c r="H632" s="2" t="s">
        <v>597</v>
      </c>
      <c r="I632" s="2" t="str">
        <f>IFERROR(__xludf.DUMMYFUNCTION("GOOGLETRANSLATE(C632,""fr"",""en"")"),"No correct follow -up, after 2 water damage in March and September my file was taken care of by a person who was on a training course
Result The 2 files were mixed, following a request for sending the automatic laundromat bill to check if I had not publi"&amp;"shed it myself because it did not include a stamp or signature but all the necessary information
The laundromat manager I asked if he could put me a stamp, replied that he did not and that the invoices he provided to the companies were accepted by the ac"&amp;"counts, I So sent the original to Nanterre thinking that it would be fast, unfortunately Nanterre checks this invoice and sending to Aix, it sometimes requires between 15 days and a month, in the meantime, I am 75 years old and a small retirement, current"&amp;"ly I am uncovered in view of the expenses that I have made for 4 months")</f>
        <v>No correct follow -up, after 2 water damage in March and September my file was taken care of by a person who was on a training course
Result The 2 files were mixed, following a request for sending the automatic laundromat bill to check if I had not published it myself because it did not include a stamp or signature but all the necessary information
The laundromat manager I asked if he could put me a stamp, replied that he did not and that the invoices he provided to the companies were accepted by the accounts, I So sent the original to Nanterre thinking that it would be fast, unfortunately Nanterre checks this invoice and sending to Aix, it sometimes requires between 15 days and a month, in the meantime, I am 75 years old and a small retirement, currently I am uncovered in view of the expenses that I have made for 4 months</v>
      </c>
    </row>
    <row r="633" ht="15.75" customHeight="1">
      <c r="A633" s="2">
        <v>2.0</v>
      </c>
      <c r="B633" s="2" t="s">
        <v>1802</v>
      </c>
      <c r="C633" s="2" t="s">
        <v>1803</v>
      </c>
      <c r="D633" s="2" t="s">
        <v>37</v>
      </c>
      <c r="E633" s="2" t="s">
        <v>21</v>
      </c>
      <c r="F633" s="2" t="s">
        <v>15</v>
      </c>
      <c r="G633" s="2" t="s">
        <v>1804</v>
      </c>
      <c r="H633" s="2" t="s">
        <v>331</v>
      </c>
      <c r="I633" s="2" t="str">
        <f>IFERROR(__xludf.DUMMYFUNCTION("GOOGLETRANSLATE(C633,""fr"",""en"")"),"I was terminated after a few months of insurance, a break in ice and an accident in parking (not responsible with an outlet for an identified author).
I am neither a bad payer nor a crook.
I have a 50% bonus for a while and never had any problems. Reall"&amp;"y disappointed !")</f>
        <v>I was terminated after a few months of insurance, a break in ice and an accident in parking (not responsible with an outlet for an identified author).
I am neither a bad payer nor a crook.
I have a 50% bonus for a while and never had any problems. Really disappointed !</v>
      </c>
    </row>
    <row r="634" ht="15.75" customHeight="1">
      <c r="A634" s="2">
        <v>2.0</v>
      </c>
      <c r="B634" s="2" t="s">
        <v>1805</v>
      </c>
      <c r="C634" s="2" t="s">
        <v>1806</v>
      </c>
      <c r="D634" s="2" t="s">
        <v>51</v>
      </c>
      <c r="E634" s="2" t="s">
        <v>52</v>
      </c>
      <c r="F634" s="2" t="s">
        <v>15</v>
      </c>
      <c r="G634" s="2" t="s">
        <v>1558</v>
      </c>
      <c r="H634" s="2" t="s">
        <v>58</v>
      </c>
      <c r="I634" s="2" t="str">
        <f>IFERROR(__xludf.DUMMYFUNCTION("GOOGLETRANSLATE(C634,""fr"",""en"")"),"First of all cheap May be careful where you have a problem, not its at all they do everything so as not to pay they say that they are missing from the documents when they are in their possession")</f>
        <v>First of all cheap May be careful where you have a problem, not its at all they do everything so as not to pay they say that they are missing from the documents when they are in their possession</v>
      </c>
    </row>
    <row r="635" ht="15.75" customHeight="1">
      <c r="A635" s="2">
        <v>5.0</v>
      </c>
      <c r="B635" s="2" t="s">
        <v>1807</v>
      </c>
      <c r="C635" s="2" t="s">
        <v>1808</v>
      </c>
      <c r="D635" s="2" t="s">
        <v>32</v>
      </c>
      <c r="E635" s="2" t="s">
        <v>21</v>
      </c>
      <c r="F635" s="2" t="s">
        <v>15</v>
      </c>
      <c r="G635" s="2" t="s">
        <v>838</v>
      </c>
      <c r="H635" s="2" t="s">
        <v>179</v>
      </c>
      <c r="I635" s="2" t="str">
        <f>IFERROR(__xludf.DUMMYFUNCTION("GOOGLETRANSLATE(C635,""fr"",""en"")"),"I am very satisfied with my insurance and the prices really mini celon our choice really thank you and I recommend very good insurance and am very happy")</f>
        <v>I am very satisfied with my insurance and the prices really mini celon our choice really thank you and I recommend very good insurance and am very happy</v>
      </c>
    </row>
    <row r="636" ht="15.75" customHeight="1">
      <c r="A636" s="2">
        <v>3.0</v>
      </c>
      <c r="B636" s="2" t="s">
        <v>1809</v>
      </c>
      <c r="C636" s="2" t="s">
        <v>1810</v>
      </c>
      <c r="D636" s="2" t="s">
        <v>32</v>
      </c>
      <c r="E636" s="2" t="s">
        <v>21</v>
      </c>
      <c r="F636" s="2" t="s">
        <v>15</v>
      </c>
      <c r="G636" s="2" t="s">
        <v>450</v>
      </c>
      <c r="H636" s="2" t="s">
        <v>95</v>
      </c>
      <c r="I636" s="2" t="str">
        <f>IFERROR(__xludf.DUMMYFUNCTION("GOOGLETRANSLATE(C636,""fr"",""en"")"),"I was a little destabilized by your site which offered different prices for the same guarantees, it is true that I was in // on 2 different windows ....
Will you be able to remember because I have other insured vehicles and perhaps by bringing together t"&amp;"he contracts I will be able to save a few tens or even hundreds of euros?
Thanks.
Cordially.
Bruno Plantade")</f>
        <v>I was a little destabilized by your site which offered different prices for the same guarantees, it is true that I was in // on 2 different windows ....
Will you be able to remember because I have other insured vehicles and perhaps by bringing together the contracts I will be able to save a few tens or even hundreds of euros?
Thanks.
Cordially.
Bruno Plantade</v>
      </c>
    </row>
    <row r="637" ht="15.75" customHeight="1">
      <c r="A637" s="2">
        <v>1.0</v>
      </c>
      <c r="B637" s="2" t="s">
        <v>1811</v>
      </c>
      <c r="C637" s="2" t="s">
        <v>1812</v>
      </c>
      <c r="D637" s="2" t="s">
        <v>469</v>
      </c>
      <c r="E637" s="2" t="s">
        <v>14</v>
      </c>
      <c r="F637" s="2" t="s">
        <v>15</v>
      </c>
      <c r="G637" s="2" t="s">
        <v>1813</v>
      </c>
      <c r="H637" s="2" t="s">
        <v>110</v>
      </c>
      <c r="I637" s="2" t="str">
        <f>IFERROR(__xludf.DUMMYFUNCTION("GOOGLETRANSLATE(C637,""fr"",""en"")"),"A mutual that shines with its incompetence. Request for an extension of company warranty via the Evin law carried out on April 30, via the Internet Impossible, a ghost site !!!! No recognition recognitions, referring with error message occurred. Come on, "&amp;"send by post ... without response of course. Passage through the pharmacy, where I am told that I have no more rights since 06/30/20 ?????? I am retired since 07/01/20, and that is why I had anticipated the famous Evin law. Telephone call at Mercer to obt"&amp;"ain explanations, I will have to wait at least more than 10 minutes, and therefore I try at the same time (always on the phone) to connect again to the Mercernet site, which is still as ""ghost "".
Hourra !!!!! After 45 minutes, we finally deign to take "&amp;"my call, to tell me, that at the moment, given the context, Mercer is overwhelmed !!!! Well then !!!! All this to explain to me, that in fact, my letter of April 30 is in their possession, but strangely on July 15, my file is not made. 2 and a half months"&amp;", and nothing is done ?????? At Mercer, it shouldn't be ""teleworking"", but rather ""teleworking"", which does not change much. Courage ... let's flee !!! And never come back !!!
No regrets !!")</f>
        <v>A mutual that shines with its incompetence. Request for an extension of company warranty via the Evin law carried out on April 30, via the Internet Impossible, a ghost site !!!! No recognition recognitions, referring with error message occurred. Come on, send by post ... without response of course. Passage through the pharmacy, where I am told that I have no more rights since 06/30/20 ?????? I am retired since 07/01/20, and that is why I had anticipated the famous Evin law. Telephone call at Mercer to obtain explanations, I will have to wait at least more than 10 minutes, and therefore I try at the same time (always on the phone) to connect again to the Mercernet site, which is still as "ghost ".
Hourra !!!!! After 45 minutes, we finally deign to take my call, to tell me, that at the moment, given the context, Mercer is overwhelmed !!!! Well then !!!! All this to explain to me, that in fact, my letter of April 30 is in their possession, but strangely on July 15, my file is not made. 2 and a half months, and nothing is done ?????? At Mercer, it shouldn't be "teleworking", but rather "teleworking", which does not change much. Courage ... let's flee !!! And never come back !!!
No regrets !!</v>
      </c>
    </row>
    <row r="638" ht="15.75" customHeight="1">
      <c r="A638" s="2">
        <v>1.0</v>
      </c>
      <c r="B638" s="2" t="s">
        <v>1814</v>
      </c>
      <c r="C638" s="2" t="s">
        <v>1815</v>
      </c>
      <c r="D638" s="2" t="s">
        <v>32</v>
      </c>
      <c r="E638" s="2" t="s">
        <v>21</v>
      </c>
      <c r="F638" s="2" t="s">
        <v>15</v>
      </c>
      <c r="G638" s="2" t="s">
        <v>685</v>
      </c>
      <c r="H638" s="2" t="s">
        <v>685</v>
      </c>
      <c r="I638" s="2" t="str">
        <f>IFERROR(__xludf.DUMMYFUNCTION("GOOGLETRANSLATE(C638,""fr"",""en"")"),"A disaster ! My 7 -year -old mother has just moved from Belgium to France. I advised him direct insurance. Bad idea ! One month's provisional insurance is quickly in place, but the problems then arrive. Da claims a statement of claims. We send it. It is a"&amp;" Belgian model which however takes up (in French) all the required elements (name, insurance dates and indication of claims - namely nothing in more than 10 years). My mother benefits from the minimum penalty bonus in Belgium and she therefore expected to"&amp;" benefit from BM 0.50 in France. Well no, the document is refused several times without explanation. After two calls to customer service it appears that DA refuses the Belgian declaration and decides to apply to my mother (who I remind you never had an ac"&amp;"cident in her life) the maximum penalty bonus (young driver!) Which has a huge impact on the price. In the meantime, I have contacted other insurances which accept without problem the Belgian document and the equivalence of the penalty bonus. I send an em"&amp;"ail to DA to report this fact to them and tell them that we refuse the new price offer and ask them to reconsider their position. They answer me that they cannot accept the termination of the contract because I did not send any recommended !! ??? It is a "&amp;"deaf dialogue with people who do not understand anything about what they are asked/tells them. I dare not imagine what would happen in the event of a problem .....")</f>
        <v>A disaster ! My 7 -year -old mother has just moved from Belgium to France. I advised him direct insurance. Bad idea ! One month's provisional insurance is quickly in place, but the problems then arrive. Da claims a statement of claims. We send it. It is a Belgian model which however takes up (in French) all the required elements (name, insurance dates and indication of claims - namely nothing in more than 10 years). My mother benefits from the minimum penalty bonus in Belgium and she therefore expected to benefit from BM 0.50 in France. Well no, the document is refused several times without explanation. After two calls to customer service it appears that DA refuses the Belgian declaration and decides to apply to my mother (who I remind you never had an accident in her life) the maximum penalty bonus (young driver!) Which has a huge impact on the price. In the meantime, I have contacted other insurances which accept without problem the Belgian document and the equivalence of the penalty bonus. I send an email to DA to report this fact to them and tell them that we refuse the new price offer and ask them to reconsider their position. They answer me that they cannot accept the termination of the contract because I did not send any recommended !! ??? It is a deaf dialogue with people who do not understand anything about what they are asked/tells them. I dare not imagine what would happen in the event of a problem .....</v>
      </c>
    </row>
    <row r="639" ht="15.75" customHeight="1">
      <c r="A639" s="2">
        <v>2.0</v>
      </c>
      <c r="B639" s="2" t="s">
        <v>1816</v>
      </c>
      <c r="C639" s="2" t="s">
        <v>1817</v>
      </c>
      <c r="D639" s="2" t="s">
        <v>282</v>
      </c>
      <c r="E639" s="2" t="s">
        <v>283</v>
      </c>
      <c r="F639" s="2" t="s">
        <v>15</v>
      </c>
      <c r="G639" s="2" t="s">
        <v>1364</v>
      </c>
      <c r="H639" s="2" t="s">
        <v>458</v>
      </c>
      <c r="I639" s="2" t="str">
        <f>IFERROR(__xludf.DUMMYFUNCTION("GOOGLETRANSLATE(C639,""fr"",""en"")"),"The welcome was very warm. Very good contact with the advisor.
However, I sent the care sheets (under followed mail which was received) to be reimbursed, respecting the deadlines and by sending all the papers that needed in accordance with the contract.
"&amp;"
It must be nearly 3 weeks, I have still not been reimbursed ... I wanted to know how long it was necessary to wait, the deadlines seem to me to be long.")</f>
        <v>The welcome was very warm. Very good contact with the advisor.
However, I sent the care sheets (under followed mail which was received) to be reimbursed, respecting the deadlines and by sending all the papers that needed in accordance with the contract.
It must be nearly 3 weeks, I have still not been reimbursed ... I wanted to know how long it was necessary to wait, the deadlines seem to me to be long.</v>
      </c>
    </row>
    <row r="640" ht="15.75" customHeight="1">
      <c r="A640" s="2">
        <v>2.0</v>
      </c>
      <c r="B640" s="2" t="s">
        <v>1818</v>
      </c>
      <c r="C640" s="2" t="s">
        <v>1819</v>
      </c>
      <c r="D640" s="2" t="s">
        <v>75</v>
      </c>
      <c r="E640" s="2" t="s">
        <v>544</v>
      </c>
      <c r="F640" s="2" t="s">
        <v>15</v>
      </c>
      <c r="G640" s="2" t="s">
        <v>53</v>
      </c>
      <c r="H640" s="2" t="s">
        <v>58</v>
      </c>
      <c r="I640" s="2" t="str">
        <f>IFERROR(__xludf.DUMMYFUNCTION("GOOGLETRANSLATE(C640,""fr"",""en"")"),"Reimbursement times are excessive. 3 weeks minimum! When you wait for a lack of salary it is problematic every month. Better elsewhere when I phone, I have always had an excellent welcome.")</f>
        <v>Reimbursement times are excessive. 3 weeks minimum! When you wait for a lack of salary it is problematic every month. Better elsewhere when I phone, I have always had an excellent welcome.</v>
      </c>
    </row>
    <row r="641" ht="15.75" customHeight="1">
      <c r="A641" s="2">
        <v>3.0</v>
      </c>
      <c r="B641" s="2" t="s">
        <v>1820</v>
      </c>
      <c r="C641" s="2" t="s">
        <v>1821</v>
      </c>
      <c r="D641" s="2" t="s">
        <v>20</v>
      </c>
      <c r="E641" s="2" t="s">
        <v>21</v>
      </c>
      <c r="F641" s="2" t="s">
        <v>15</v>
      </c>
      <c r="G641" s="2" t="s">
        <v>1822</v>
      </c>
      <c r="H641" s="2" t="s">
        <v>136</v>
      </c>
      <c r="I641" s="2" t="str">
        <f>IFERROR(__xludf.DUMMYFUNCTION("GOOGLETRANSLATE(C641,""fr"",""en"")"),"I have been a customer at the Olivier Insurance for 6 years with no claim. The day I wanted to terminate my contract because I sold my vehicle, I sent my termination request by sending the official document for the sale of my vehicle. The Olivier Assuranc"&amp;"e then told me about a procedural defect because they supposedly wanted a document from the prefecture. As if I had that to lose half a day at the prefecture. In addition, I consider it in my responsibility to want to terminate my insurance contract follo"&amp;"wing the sale of my vehicle. Today, they claim the payment of several months of contributions and even threaten me with a collection company and endless reminders. We walk on the head ! These practices are scandalous. The Olivier Insurance simply refuses "&amp;"the termination of my contract following the sale of my vehicle, as I had to pay their contributions for life. It's a shame. 2 members of my family also have a contract with this insurance and I can tell you that we will also terminate them asap. In fact "&amp;"it is insurance that simply refuses that you leave them, as if you had engaged for 10 years and which therefore asks you to pay again and again, with the bonus threats of recovery, because I have been in The obligation to ask my bank to stop the samples. "&amp;"These are unacceptable methods. Insurance to avoid absolutely. I can tell you that I wait for them at the turn with my lawyer if they want to continue in their stupidity.
Hallucing situation while I contributed for around € 10,000 in 6 years without any "&amp;"claim. Disgusting.
")</f>
        <v>I have been a customer at the Olivier Insurance for 6 years with no claim. The day I wanted to terminate my contract because I sold my vehicle, I sent my termination request by sending the official document for the sale of my vehicle. The Olivier Assurance then told me about a procedural defect because they supposedly wanted a document from the prefecture. As if I had that to lose half a day at the prefecture. In addition, I consider it in my responsibility to want to terminate my insurance contract following the sale of my vehicle. Today, they claim the payment of several months of contributions and even threaten me with a collection company and endless reminders. We walk on the head ! These practices are scandalous. The Olivier Insurance simply refuses the termination of my contract following the sale of my vehicle, as I had to pay their contributions for life. It's a shame. 2 members of my family also have a contract with this insurance and I can tell you that we will also terminate them asap. In fact it is insurance that simply refuses that you leave them, as if you had engaged for 10 years and which therefore asks you to pay again and again, with the bonus threats of recovery, because I have been in The obligation to ask my bank to stop the samples. These are unacceptable methods. Insurance to avoid absolutely. I can tell you that I wait for them at the turn with my lawyer if they want to continue in their stupidity.
Hallucing situation while I contributed for around € 10,000 in 6 years without any claim. Disgusting.
</v>
      </c>
    </row>
    <row r="642" ht="15.75" customHeight="1">
      <c r="A642" s="2">
        <v>1.0</v>
      </c>
      <c r="B642" s="2" t="s">
        <v>1823</v>
      </c>
      <c r="C642" s="2" t="s">
        <v>1824</v>
      </c>
      <c r="D642" s="2" t="s">
        <v>469</v>
      </c>
      <c r="E642" s="2" t="s">
        <v>14</v>
      </c>
      <c r="F642" s="2" t="s">
        <v>15</v>
      </c>
      <c r="G642" s="2" t="s">
        <v>1825</v>
      </c>
      <c r="H642" s="2" t="s">
        <v>936</v>
      </c>
      <c r="I642" s="2" t="str">
        <f>IFERROR(__xludf.DUMMYFUNCTION("GOOGLETRANSLATE(C642,""fr"",""en"")"),"Hello,
Mercer Mutuelle is definitely the worst customer experience I have met to date. Mercer decided that she no longer reimburses his members? I have two optical invoices not reimbursed for more than two months. The management center tells me to wait"&amp;" for each call, that they deal with my refund and that I do not have to worry. For 2 months and despite reminders by email and telephone ... I have still not been reimbursed because they process my file. It's just scandalous. All supporting documents have"&amp;" been sent. Over € 600 not reimbursed to date. Should we go to court? I pay how my Christmas gifts with such an abyssal monant in my budget?
I let you show myself that you are a serious company.")</f>
        <v>Hello,
Mercer Mutuelle is definitely the worst customer experience I have met to date. Mercer decided that she no longer reimburses his members? I have two optical invoices not reimbursed for more than two months. The management center tells me to wait for each call, that they deal with my refund and that I do not have to worry. For 2 months and despite reminders by email and telephone ... I have still not been reimbursed because they process my file. It's just scandalous. All supporting documents have been sent. Over € 600 not reimbursed to date. Should we go to court? I pay how my Christmas gifts with such an abyssal monant in my budget?
I let you show myself that you are a serious company.</v>
      </c>
    </row>
    <row r="643" ht="15.75" customHeight="1">
      <c r="A643" s="2">
        <v>1.0</v>
      </c>
      <c r="B643" s="2" t="s">
        <v>1826</v>
      </c>
      <c r="C643" s="2" t="s">
        <v>1827</v>
      </c>
      <c r="D643" s="2" t="s">
        <v>150</v>
      </c>
      <c r="E643" s="2" t="s">
        <v>21</v>
      </c>
      <c r="F643" s="2" t="s">
        <v>15</v>
      </c>
      <c r="G643" s="2" t="s">
        <v>1828</v>
      </c>
      <c r="H643" s="2" t="s">
        <v>77</v>
      </c>
      <c r="I643" s="2" t="str">
        <f>IFERROR(__xludf.DUMMYFUNCTION("GOOGLETRANSLATE(C643,""fr"",""en"")"),"I have several contracts at the Macif: 3 vehicles, 5 dwellings including 2 cottages having had a drop in activity in 2020 from to the COVVI, a little campsite used in 2020, despite my request the MACIF to refuse a drop in co -corisations Unlike other insu"&amp;"rances .... Conclusion I will leave the Macif for all these contracts")</f>
        <v>I have several contracts at the Macif: 3 vehicles, 5 dwellings including 2 cottages having had a drop in activity in 2020 from to the COVVI, a little campsite used in 2020, despite my request the MACIF to refuse a drop in co -corisations Unlike other insurances .... Conclusion I will leave the Macif for all these contracts</v>
      </c>
    </row>
    <row r="644" ht="15.75" customHeight="1">
      <c r="A644" s="2">
        <v>5.0</v>
      </c>
      <c r="B644" s="2" t="s">
        <v>1829</v>
      </c>
      <c r="C644" s="2" t="s">
        <v>1830</v>
      </c>
      <c r="D644" s="2" t="s">
        <v>127</v>
      </c>
      <c r="E644" s="2" t="s">
        <v>128</v>
      </c>
      <c r="F644" s="2" t="s">
        <v>15</v>
      </c>
      <c r="G644" s="2" t="s">
        <v>679</v>
      </c>
      <c r="H644" s="2" t="s">
        <v>87</v>
      </c>
      <c r="I644" s="2" t="str">
        <f>IFERROR(__xludf.DUMMYFUNCTION("GOOGLETRANSLATE(C644,""fr"",""en"")"),"I follow very satisfied with the service, a good follow -up of the file. I was contacted by the advisers very quickly. The price is very attractive, I highly recommend")</f>
        <v>I follow very satisfied with the service, a good follow -up of the file. I was contacted by the advisers very quickly. The price is very attractive, I highly recommend</v>
      </c>
    </row>
    <row r="645" ht="15.75" customHeight="1">
      <c r="A645" s="2">
        <v>2.0</v>
      </c>
      <c r="B645" s="2" t="s">
        <v>1831</v>
      </c>
      <c r="C645" s="2" t="s">
        <v>1832</v>
      </c>
      <c r="D645" s="2" t="s">
        <v>146</v>
      </c>
      <c r="E645" s="2" t="s">
        <v>52</v>
      </c>
      <c r="F645" s="2" t="s">
        <v>15</v>
      </c>
      <c r="G645" s="2" t="s">
        <v>1833</v>
      </c>
      <c r="H645" s="2" t="s">
        <v>38</v>
      </c>
      <c r="I645" s="2" t="str">
        <f>IFERROR(__xludf.DUMMYFUNCTION("GOOGLETRANSLATE(C645,""fr"",""en"")"),"A little high price for a 50 cm3
A little high price for a 50 cm3
A little high price for a 50 cm3
A little high price for a 50 cm3
A little high price for a 50 cm3")</f>
        <v>A little high price for a 50 cm3
A little high price for a 50 cm3
A little high price for a 50 cm3
A little high price for a 50 cm3
A little high price for a 50 cm3</v>
      </c>
    </row>
    <row r="646" ht="15.75" customHeight="1">
      <c r="A646" s="2">
        <v>5.0</v>
      </c>
      <c r="B646" s="2" t="s">
        <v>1834</v>
      </c>
      <c r="C646" s="2" t="s">
        <v>1835</v>
      </c>
      <c r="D646" s="2" t="s">
        <v>20</v>
      </c>
      <c r="E646" s="2" t="s">
        <v>21</v>
      </c>
      <c r="F646" s="2" t="s">
        <v>15</v>
      </c>
      <c r="G646" s="2" t="s">
        <v>879</v>
      </c>
      <c r="H646" s="2" t="s">
        <v>58</v>
      </c>
      <c r="I646" s="2" t="str">
        <f>IFERROR(__xludf.DUMMYFUNCTION("GOOGLETRANSLATE(C646,""fr"",""en"")"),"The welcome is great.
The prices are not all attractive, too bad
Otherwise prices for several contracts are possible.
What I appreciate the most is welcome with French people")</f>
        <v>The welcome is great.
The prices are not all attractive, too bad
Otherwise prices for several contracts are possible.
What I appreciate the most is welcome with French people</v>
      </c>
    </row>
    <row r="647" ht="15.75" customHeight="1">
      <c r="A647" s="2">
        <v>1.0</v>
      </c>
      <c r="B647" s="2" t="s">
        <v>1836</v>
      </c>
      <c r="C647" s="2" t="s">
        <v>1837</v>
      </c>
      <c r="D647" s="2" t="s">
        <v>469</v>
      </c>
      <c r="E647" s="2" t="s">
        <v>14</v>
      </c>
      <c r="F647" s="2" t="s">
        <v>15</v>
      </c>
      <c r="G647" s="2" t="s">
        <v>1838</v>
      </c>
      <c r="H647" s="2" t="s">
        <v>447</v>
      </c>
      <c r="I647" s="2" t="str">
        <f>IFERROR(__xludf.DUMMYFUNCTION("GOOGLETRANSLATE(C647,""fr"",""en"")"),"Very slow service and total disorganization. I joined in December 2016 and I received my third -party payment card only in February. For more than two weeks now, I have been waiting for them to record my Mutual Caf, of course I have no refund since Decemb"&amp;"er.")</f>
        <v>Very slow service and total disorganization. I joined in December 2016 and I received my third -party payment card only in February. For more than two weeks now, I have been waiting for them to record my Mutual Caf, of course I have no refund since December.</v>
      </c>
    </row>
    <row r="648" ht="15.75" customHeight="1">
      <c r="A648" s="2">
        <v>5.0</v>
      </c>
      <c r="B648" s="2" t="s">
        <v>1839</v>
      </c>
      <c r="C648" s="2" t="s">
        <v>1840</v>
      </c>
      <c r="D648" s="2" t="s">
        <v>314</v>
      </c>
      <c r="E648" s="2" t="s">
        <v>21</v>
      </c>
      <c r="F648" s="2" t="s">
        <v>15</v>
      </c>
      <c r="G648" s="2" t="s">
        <v>1841</v>
      </c>
      <c r="H648" s="2" t="s">
        <v>156</v>
      </c>
      <c r="I648" s="2" t="str">
        <f>IFERROR(__xludf.DUMMYFUNCTION("GOOGLETRANSLATE(C648,""fr"",""en"")"),"Active Insurance is just insurance like the others. They just have a lot of procedure to respect and so far I have not yet had problems with them.
Price level it goes
Excellent welcome and service")</f>
        <v>Active Insurance is just insurance like the others. They just have a lot of procedure to respect and so far I have not yet had problems with them.
Price level it goes
Excellent welcome and service</v>
      </c>
    </row>
    <row r="649" ht="15.75" customHeight="1">
      <c r="A649" s="2">
        <v>2.0</v>
      </c>
      <c r="B649" s="2" t="s">
        <v>1842</v>
      </c>
      <c r="C649" s="2" t="s">
        <v>1843</v>
      </c>
      <c r="D649" s="2" t="s">
        <v>139</v>
      </c>
      <c r="E649" s="2" t="s">
        <v>21</v>
      </c>
      <c r="F649" s="2" t="s">
        <v>15</v>
      </c>
      <c r="G649" s="2" t="s">
        <v>956</v>
      </c>
      <c r="H649" s="2" t="s">
        <v>95</v>
      </c>
      <c r="I649" s="2" t="str">
        <f>IFERROR(__xludf.DUMMYFUNCTION("GOOGLETRANSLATE(C649,""fr"",""en"")"),"Pending since 9:45 am when it is 2:30 p.m. to have a repatriation with a taxi !!!! And we are still waiting…. No one calls. We are forced to call for information. It's unbearable !!!!")</f>
        <v>Pending since 9:45 am when it is 2:30 p.m. to have a repatriation with a taxi !!!! And we are still waiting…. No one calls. We are forced to call for information. It's unbearable !!!!</v>
      </c>
    </row>
    <row r="650" ht="15.75" customHeight="1">
      <c r="A650" s="2">
        <v>5.0</v>
      </c>
      <c r="B650" s="2" t="s">
        <v>1844</v>
      </c>
      <c r="C650" s="2" t="s">
        <v>1845</v>
      </c>
      <c r="D650" s="2" t="s">
        <v>32</v>
      </c>
      <c r="E650" s="2" t="s">
        <v>21</v>
      </c>
      <c r="F650" s="2" t="s">
        <v>15</v>
      </c>
      <c r="G650" s="2" t="s">
        <v>381</v>
      </c>
      <c r="H650" s="2" t="s">
        <v>179</v>
      </c>
      <c r="I650" s="2" t="str">
        <f>IFERROR(__xludf.DUMMYFUNCTION("GOOGLETRANSLATE(C650,""fr"",""en"")"),"I am very satisfied with your service of listening advisers is very professional I will recommend direct insurance to my friends and family")</f>
        <v>I am very satisfied with your service of listening advisers is very professional I will recommend direct insurance to my friends and family</v>
      </c>
    </row>
    <row r="651" ht="15.75" customHeight="1">
      <c r="A651" s="2">
        <v>5.0</v>
      </c>
      <c r="B651" s="2" t="s">
        <v>1846</v>
      </c>
      <c r="C651" s="2" t="s">
        <v>1847</v>
      </c>
      <c r="D651" s="2" t="s">
        <v>150</v>
      </c>
      <c r="E651" s="2" t="s">
        <v>21</v>
      </c>
      <c r="F651" s="2" t="s">
        <v>15</v>
      </c>
      <c r="G651" s="2" t="s">
        <v>1848</v>
      </c>
      <c r="H651" s="2" t="s">
        <v>876</v>
      </c>
      <c r="I651" s="2" t="str">
        <f>IFERROR(__xludf.DUMMYFUNCTION("GOOGLETRANSLATE(C651,""fr"",""en"")"),"Fully satisfied for the moment! I declared a single non -responsible claim, which was treated effectively.")</f>
        <v>Fully satisfied for the moment! I declared a single non -responsible claim, which was treated effectively.</v>
      </c>
    </row>
    <row r="652" ht="15.75" customHeight="1">
      <c r="A652" s="2">
        <v>5.0</v>
      </c>
      <c r="B652" s="2" t="s">
        <v>1849</v>
      </c>
      <c r="C652" s="2" t="s">
        <v>1850</v>
      </c>
      <c r="D652" s="2" t="s">
        <v>32</v>
      </c>
      <c r="E652" s="2" t="s">
        <v>21</v>
      </c>
      <c r="F652" s="2" t="s">
        <v>15</v>
      </c>
      <c r="G652" s="2" t="s">
        <v>57</v>
      </c>
      <c r="H652" s="2" t="s">
        <v>58</v>
      </c>
      <c r="I652" s="2" t="str">
        <f>IFERROR(__xludf.DUMMYFUNCTION("GOOGLETRANSLATE(C652,""fr"",""en"")"),"Simple quick and not expensive, satisfied for the moment. Attractive prices, I am now waiting to see if it will be as simple when I need direct insurance services")</f>
        <v>Simple quick and not expensive, satisfied for the moment. Attractive prices, I am now waiting to see if it will be as simple when I need direct insurance services</v>
      </c>
    </row>
    <row r="653" ht="15.75" customHeight="1">
      <c r="A653" s="2">
        <v>3.0</v>
      </c>
      <c r="B653" s="2" t="s">
        <v>1851</v>
      </c>
      <c r="C653" s="2" t="s">
        <v>1852</v>
      </c>
      <c r="D653" s="2" t="s">
        <v>32</v>
      </c>
      <c r="E653" s="2" t="s">
        <v>21</v>
      </c>
      <c r="F653" s="2" t="s">
        <v>15</v>
      </c>
      <c r="G653" s="2" t="s">
        <v>1853</v>
      </c>
      <c r="H653" s="2" t="s">
        <v>48</v>
      </c>
      <c r="I653" s="2" t="str">
        <f>IFERROR(__xludf.DUMMYFUNCTION("GOOGLETRANSLATE(C653,""fr"",""en"")"),"Too bad that you have to pay three months in advance and that there are file fees when it is we who come to you
I will see for motorcycle and home")</f>
        <v>Too bad that you have to pay three months in advance and that there are file fees when it is we who come to you
I will see for motorcycle and home</v>
      </c>
    </row>
    <row r="654" ht="15.75" customHeight="1">
      <c r="A654" s="2">
        <v>5.0</v>
      </c>
      <c r="B654" s="2" t="s">
        <v>1854</v>
      </c>
      <c r="C654" s="2" t="s">
        <v>1855</v>
      </c>
      <c r="D654" s="2" t="s">
        <v>20</v>
      </c>
      <c r="E654" s="2" t="s">
        <v>21</v>
      </c>
      <c r="F654" s="2" t="s">
        <v>15</v>
      </c>
      <c r="G654" s="2" t="s">
        <v>1856</v>
      </c>
      <c r="H654" s="2" t="s">
        <v>95</v>
      </c>
      <c r="I654" s="2" t="str">
        <f>IFERROR(__xludf.DUMMYFUNCTION("GOOGLETRANSLATE(C654,""fr"",""en"")"),"I am very satisfied with the implementation of the file and its follow -up. The price is very correct for a young driver and the guarantees offered are interesting.")</f>
        <v>I am very satisfied with the implementation of the file and its follow -up. The price is very correct for a young driver and the guarantees offered are interesting.</v>
      </c>
    </row>
    <row r="655" ht="15.75" customHeight="1">
      <c r="A655" s="2">
        <v>1.0</v>
      </c>
      <c r="B655" s="2" t="s">
        <v>1857</v>
      </c>
      <c r="C655" s="2" t="s">
        <v>1858</v>
      </c>
      <c r="D655" s="2" t="s">
        <v>314</v>
      </c>
      <c r="E655" s="2" t="s">
        <v>21</v>
      </c>
      <c r="F655" s="2" t="s">
        <v>15</v>
      </c>
      <c r="G655" s="2" t="s">
        <v>1859</v>
      </c>
      <c r="H655" s="2" t="s">
        <v>1372</v>
      </c>
      <c r="I655" s="2" t="str">
        <f>IFERROR(__xludf.DUMMYFUNCTION("GOOGLETRANSLATE(C655,""fr"",""en"")"),"I got fooled by this car insurance. After a year of engagement, they rebuilt me ​​to sign a contract which therefore re -engaged to a year (90 € of termination fees if I want to break the contract) and more they did not stop The old contract which was the"&amp;"refore taken from my account, leading to an overdraft. So I pay 2 auto insurance for 1 vehicle and am committed for another year with them.")</f>
        <v>I got fooled by this car insurance. After a year of engagement, they rebuilt me ​​to sign a contract which therefore re -engaged to a year (90 € of termination fees if I want to break the contract) and more they did not stop The old contract which was therefore taken from my account, leading to an overdraft. So I pay 2 auto insurance for 1 vehicle and am committed for another year with them.</v>
      </c>
    </row>
    <row r="656" ht="15.75" customHeight="1">
      <c r="A656" s="2">
        <v>5.0</v>
      </c>
      <c r="B656" s="2" t="s">
        <v>1860</v>
      </c>
      <c r="C656" s="2" t="s">
        <v>1861</v>
      </c>
      <c r="D656" s="2" t="s">
        <v>20</v>
      </c>
      <c r="E656" s="2" t="s">
        <v>21</v>
      </c>
      <c r="F656" s="2" t="s">
        <v>15</v>
      </c>
      <c r="G656" s="2" t="s">
        <v>1862</v>
      </c>
      <c r="H656" s="2" t="s">
        <v>58</v>
      </c>
      <c r="I656" s="2" t="str">
        <f>IFERROR(__xludf.DUMMYFUNCTION("GOOGLETRANSLATE(C656,""fr"",""en"")")," I am very satisfied with the services of Olivier Assurance of the quality of the service, listening, of the good advice at the top
A good price for young driver")</f>
        <v> I am very satisfied with the services of Olivier Assurance of the quality of the service, listening, of the good advice at the top
A good price for young driver</v>
      </c>
    </row>
    <row r="657" ht="15.75" customHeight="1">
      <c r="A657" s="2">
        <v>5.0</v>
      </c>
      <c r="B657" s="2" t="s">
        <v>1863</v>
      </c>
      <c r="C657" s="2" t="s">
        <v>1864</v>
      </c>
      <c r="D657" s="2" t="s">
        <v>32</v>
      </c>
      <c r="E657" s="2" t="s">
        <v>21</v>
      </c>
      <c r="F657" s="2" t="s">
        <v>15</v>
      </c>
      <c r="G657" s="2" t="s">
        <v>1673</v>
      </c>
      <c r="H657" s="2" t="s">
        <v>179</v>
      </c>
      <c r="I657" s="2" t="str">
        <f>IFERROR(__xludf.DUMMYFUNCTION("GOOGLETRANSLATE(C657,""fr"",""en"")"),"Good service, happy! Very quickly, simple, good service, paradise for cars;
I have no longer grandchose to add, it was a perfect service, thank you!")</f>
        <v>Good service, happy! Very quickly, simple, good service, paradise for cars;
I have no longer grandchose to add, it was a perfect service, thank you!</v>
      </c>
    </row>
    <row r="658" ht="15.75" customHeight="1">
      <c r="A658" s="2">
        <v>1.0</v>
      </c>
      <c r="B658" s="2" t="s">
        <v>1865</v>
      </c>
      <c r="C658" s="2" t="s">
        <v>1866</v>
      </c>
      <c r="D658" s="2" t="s">
        <v>85</v>
      </c>
      <c r="E658" s="2" t="s">
        <v>14</v>
      </c>
      <c r="F658" s="2" t="s">
        <v>15</v>
      </c>
      <c r="G658" s="2" t="s">
        <v>1867</v>
      </c>
      <c r="H658" s="2" t="s">
        <v>34</v>
      </c>
      <c r="I658" s="2" t="str">
        <f>IFERROR(__xludf.DUMMYFUNCTION("GOOGLETRANSLATE(C658,""fr"",""en"")"),"Very disappointed by this mutual which takes the monthly payment is imported when sometimes several at the same time what hurts the wallet. During my subscription I made a error in the date of the blow they deducted 3 months more we were in February when "&amp;"I subscribed they took me at once November and January ... they have of course of course not wanted to reimburse me. And continued to take me when I just left them ....")</f>
        <v>Very disappointed by this mutual which takes the monthly payment is imported when sometimes several at the same time what hurts the wallet. During my subscription I made a error in the date of the blow they deducted 3 months more we were in February when I subscribed they took me at once November and January ... they have of course of course not wanted to reimburse me. And continued to take me when I just left them ....</v>
      </c>
    </row>
    <row r="659" ht="15.75" customHeight="1">
      <c r="A659" s="2">
        <v>1.0</v>
      </c>
      <c r="B659" s="2" t="s">
        <v>1868</v>
      </c>
      <c r="C659" s="2" t="s">
        <v>1869</v>
      </c>
      <c r="D659" s="2" t="s">
        <v>325</v>
      </c>
      <c r="E659" s="2" t="s">
        <v>283</v>
      </c>
      <c r="F659" s="2" t="s">
        <v>15</v>
      </c>
      <c r="G659" s="2" t="s">
        <v>1870</v>
      </c>
      <c r="H659" s="2" t="s">
        <v>29</v>
      </c>
      <c r="I659" s="2" t="str">
        <f>IFERROR(__xludf.DUMMYFUNCTION("GOOGLETRANSLATE(C659,""fr"",""en"")"),"I have my puppy to which we have detect a coxo femoral dysplasia, ""health and the only insurance that supports dysplasia"", yes they take it in an index of ""gravity"" ranging from 0 to 0.5 (and dozens of 'Other patterns), as much to say an innoperable d"&amp;"og, strangely mine has 0.98, I had however supported during the first telephone appointment that my dog ​​would be taken care of without worries, telling me that she was sure and not mentioning Especially not the prerequisite of the index, only the age to"&amp;" which dysplasia is detected. Anyway, a time of withdrawal to the insurance contract higher than the waiting time for a response so unnecessary insurance to pay for 1 years. Thank you Santévet :)")</f>
        <v>I have my puppy to which we have detect a coxo femoral dysplasia, "health and the only insurance that supports dysplasia", yes they take it in an index of "gravity" ranging from 0 to 0.5 (and dozens of 'Other patterns), as much to say an innoperable dog, strangely mine has 0.98, I had however supported during the first telephone appointment that my dog ​​would be taken care of without worries, telling me that she was sure and not mentioning Especially not the prerequisite of the index, only the age to which dysplasia is detected. Anyway, a time of withdrawal to the insurance contract higher than the waiting time for a response so unnecessary insurance to pay for 1 years. Thank you Santévet :)</v>
      </c>
    </row>
    <row r="660" ht="15.75" customHeight="1">
      <c r="A660" s="2">
        <v>1.0</v>
      </c>
      <c r="B660" s="2" t="s">
        <v>1871</v>
      </c>
      <c r="C660" s="2" t="s">
        <v>1872</v>
      </c>
      <c r="D660" s="2" t="s">
        <v>251</v>
      </c>
      <c r="E660" s="2" t="s">
        <v>14</v>
      </c>
      <c r="F660" s="2" t="s">
        <v>15</v>
      </c>
      <c r="G660" s="2" t="s">
        <v>1873</v>
      </c>
      <c r="H660" s="2" t="s">
        <v>406</v>
      </c>
      <c r="I660" s="2" t="str">
        <f>IFERROR(__xludf.DUMMYFUNCTION("GOOGLETRANSLATE(C660,""fr"",""en"")"),"I do not recommend mutual harmony. Mismanagement. Calls are not traced therefore problem of monitoring the file. The information is incoherent between customer service and agencies. High prices given the proposed guarantees and significant increases in th"&amp;"e contribution from one year to the next.")</f>
        <v>I do not recommend mutual harmony. Mismanagement. Calls are not traced therefore problem of monitoring the file. The information is incoherent between customer service and agencies. High prices given the proposed guarantees and significant increases in the contribution from one year to the next.</v>
      </c>
    </row>
    <row r="661" ht="15.75" customHeight="1">
      <c r="A661" s="2">
        <v>3.0</v>
      </c>
      <c r="B661" s="2" t="s">
        <v>1874</v>
      </c>
      <c r="C661" s="2" t="s">
        <v>1875</v>
      </c>
      <c r="D661" s="2" t="s">
        <v>32</v>
      </c>
      <c r="E661" s="2" t="s">
        <v>21</v>
      </c>
      <c r="F661" s="2" t="s">
        <v>15</v>
      </c>
      <c r="G661" s="2" t="s">
        <v>1876</v>
      </c>
      <c r="H661" s="2" t="s">
        <v>1877</v>
      </c>
      <c r="I661" s="2" t="str">
        <f>IFERROR(__xludf.DUMMYFUNCTION("GOOGLETRANSLATE(C661,""fr"",""en"")"),"Insurance taken in 01/2020. Initially, you have to pay 3 months in advance or € 250 for the 1T. On March 10, it takes € 84 to cover April 10 to May 10 and do not want to reimburse me")</f>
        <v>Insurance taken in 01/2020. Initially, you have to pay 3 months in advance or € 250 for the 1T. On March 10, it takes € 84 to cover April 10 to May 10 and do not want to reimburse me</v>
      </c>
    </row>
    <row r="662" ht="15.75" customHeight="1">
      <c r="A662" s="2">
        <v>1.0</v>
      </c>
      <c r="B662" s="2" t="s">
        <v>1878</v>
      </c>
      <c r="C662" s="2" t="s">
        <v>1879</v>
      </c>
      <c r="D662" s="2" t="s">
        <v>222</v>
      </c>
      <c r="E662" s="2" t="s">
        <v>27</v>
      </c>
      <c r="F662" s="2" t="s">
        <v>15</v>
      </c>
      <c r="G662" s="2" t="s">
        <v>1106</v>
      </c>
      <c r="H662" s="2" t="s">
        <v>17</v>
      </c>
      <c r="I662" s="2" t="str">
        <f>IFERROR(__xludf.DUMMYFUNCTION("GOOGLETRANSLATE(C662,""fr"",""en"")"),"EURATIAL Life insurance subscribed on 06/30/2013. Paid 150 € over 15 months or 2250 € and result on 12/31/2018: 1449 €. Axa selection stars that plays with the stock market. Result a nice error. What to do to stay hoping to do it again or leave?")</f>
        <v>EURATIAL Life insurance subscribed on 06/30/2013. Paid 150 € over 15 months or 2250 € and result on 12/31/2018: 1449 €. Axa selection stars that plays with the stock market. Result a nice error. What to do to stay hoping to do it again or leave?</v>
      </c>
    </row>
    <row r="663" ht="15.75" customHeight="1">
      <c r="A663" s="2">
        <v>3.0</v>
      </c>
      <c r="B663" s="2" t="s">
        <v>1880</v>
      </c>
      <c r="C663" s="2" t="s">
        <v>1881</v>
      </c>
      <c r="D663" s="2" t="s">
        <v>80</v>
      </c>
      <c r="E663" s="2" t="s">
        <v>14</v>
      </c>
      <c r="F663" s="2" t="s">
        <v>15</v>
      </c>
      <c r="G663" s="2" t="s">
        <v>326</v>
      </c>
      <c r="H663" s="2" t="s">
        <v>327</v>
      </c>
      <c r="I663" s="2" t="str">
        <f>IFERROR(__xludf.DUMMYFUNCTION("GOOGLETRANSLATE(C663,""fr"",""en"")"),"At MGEN for 10 years and I have a mogen home loan insurance also. In February 2019 I sell my apartment and reimburse my loan. I send my bank's certificate to MGEN to cancel my loan insurance. 2 months later I contacted them and the Mgen has no trace of my"&amp;" gently. I did not make a double and I ask for a second certificate to the bank (18 € ....) I send them back by registered mail asking for the cancellation of this insurance. I wait 1 good month and contact them to know the evolution of my request. And I "&amp;"am indicated that they have no trace of the request ...... after having told them that I had the accuse of the reception sign on their part I am indicated that they will do research. .... I am contacted 1 week later to ask me if I don't have a double that"&amp;" I can transmit to them by email ...... what I do
Faced with the non -advancement of my file I make an appointment with an MGEN advisor. He explains to me that he treats my request during the day and that if I have a new project the MGEN can ensure my lo"&amp;"an because I would find no less expensive elsewhere ...
Morality they managed to cancel my loan insurance after 10 months and I went through a broker for my new mortgage with much better insurance than MGEN (in price and in guarantees)
I sent my res"&amp;"ignation in February and I was contacted 2 days later to find out the reasons ..... morality you have to resign so that it takes care of you")</f>
        <v>At MGEN for 10 years and I have a mogen home loan insurance also. In February 2019 I sell my apartment and reimburse my loan. I send my bank's certificate to MGEN to cancel my loan insurance. 2 months later I contacted them and the Mgen has no trace of my gently. I did not make a double and I ask for a second certificate to the bank (18 € ....) I send them back by registered mail asking for the cancellation of this insurance. I wait 1 good month and contact them to know the evolution of my request. And I am indicated that they have no trace of the request ...... after having told them that I had the accuse of the reception sign on their part I am indicated that they will do research. .... I am contacted 1 week later to ask me if I don't have a double that I can transmit to them by email ...... what I do
Faced with the non -advancement of my file I make an appointment with an MGEN advisor. He explains to me that he treats my request during the day and that if I have a new project the MGEN can ensure my loan because I would find no less expensive elsewhere ...
Morality they managed to cancel my loan insurance after 10 months and I went through a broker for my new mortgage with much better insurance than MGEN (in price and in guarantees)
I sent my resignation in February and I was contacted 2 days later to find out the reasons ..... morality you have to resign so that it takes care of you</v>
      </c>
    </row>
    <row r="664" ht="15.75" customHeight="1">
      <c r="A664" s="2">
        <v>5.0</v>
      </c>
      <c r="B664" s="2" t="s">
        <v>1882</v>
      </c>
      <c r="C664" s="2" t="s">
        <v>1883</v>
      </c>
      <c r="D664" s="2" t="s">
        <v>32</v>
      </c>
      <c r="E664" s="2" t="s">
        <v>21</v>
      </c>
      <c r="F664" s="2" t="s">
        <v>15</v>
      </c>
      <c r="G664" s="2" t="s">
        <v>72</v>
      </c>
      <c r="H664" s="2" t="s">
        <v>58</v>
      </c>
      <c r="I664" s="2" t="str">
        <f>IFERROR(__xludf.DUMMYFUNCTION("GOOGLETRANSLATE(C664,""fr"",""en"")"),"I am satisfied with the service, the prices are very correct.
I hope happy to have called Direct Assurance which allowed me to choose the full risk option.
Cordially.
Hassan Sahni")</f>
        <v>I am satisfied with the service, the prices are very correct.
I hope happy to have called Direct Assurance which allowed me to choose the full risk option.
Cordially.
Hassan Sahni</v>
      </c>
    </row>
    <row r="665" ht="15.75" customHeight="1">
      <c r="A665" s="2">
        <v>3.0</v>
      </c>
      <c r="B665" s="2" t="s">
        <v>1884</v>
      </c>
      <c r="C665" s="2" t="s">
        <v>1885</v>
      </c>
      <c r="D665" s="2" t="s">
        <v>106</v>
      </c>
      <c r="E665" s="2" t="s">
        <v>14</v>
      </c>
      <c r="F665" s="2" t="s">
        <v>15</v>
      </c>
      <c r="G665" s="2" t="s">
        <v>388</v>
      </c>
      <c r="H665" s="2" t="s">
        <v>54</v>
      </c>
      <c r="I665" s="2" t="str">
        <f>IFERROR(__xludf.DUMMYFUNCTION("GOOGLETRANSLATE(C665,""fr"",""en"")"),"I must admit that it was not my first choice in matters of mutual health but the people working within this company are very friendly and competent like Daouda. He was able to solve my problems and answer my questions without worries and this is very appr"&amp;"eciable.")</f>
        <v>I must admit that it was not my first choice in matters of mutual health but the people working within this company are very friendly and competent like Daouda. He was able to solve my problems and answer my questions without worries and this is very appreciable.</v>
      </c>
    </row>
    <row r="666" ht="15.75" customHeight="1">
      <c r="A666" s="2">
        <v>1.0</v>
      </c>
      <c r="B666" s="2" t="s">
        <v>1886</v>
      </c>
      <c r="C666" s="2" t="s">
        <v>1887</v>
      </c>
      <c r="D666" s="2" t="s">
        <v>146</v>
      </c>
      <c r="E666" s="2" t="s">
        <v>52</v>
      </c>
      <c r="F666" s="2" t="s">
        <v>15</v>
      </c>
      <c r="G666" s="2" t="s">
        <v>450</v>
      </c>
      <c r="H666" s="2" t="s">
        <v>95</v>
      </c>
      <c r="I666" s="2" t="str">
        <f>IFERROR(__xludf.DUMMYFUNCTION("GOOGLETRANSLATE(C666,""fr"",""en"")"),"The prices suit me, fast, practical I await to see the services if necessary (hoping not to have the utility)
Hoping not to have unpleasant surprises ...")</f>
        <v>The prices suit me, fast, practical I await to see the services if necessary (hoping not to have the utility)
Hoping not to have unpleasant surprises ...</v>
      </c>
    </row>
    <row r="667" ht="15.75" customHeight="1">
      <c r="A667" s="2">
        <v>5.0</v>
      </c>
      <c r="B667" s="2" t="s">
        <v>1888</v>
      </c>
      <c r="C667" s="2" t="s">
        <v>1889</v>
      </c>
      <c r="D667" s="2" t="s">
        <v>85</v>
      </c>
      <c r="E667" s="2" t="s">
        <v>14</v>
      </c>
      <c r="F667" s="2" t="s">
        <v>15</v>
      </c>
      <c r="G667" s="2" t="s">
        <v>1890</v>
      </c>
      <c r="H667" s="2" t="s">
        <v>331</v>
      </c>
      <c r="I667" s="2" t="str">
        <f>IFERROR(__xludf.DUMMYFUNCTION("GOOGLETRANSLATE(C667,""fr"",""en"")"),"Satisfied a very good insurance I recommend seriously and responds quickly to the rapid reimbursement request within 5 days meets the wait nice polish on the phone.")</f>
        <v>Satisfied a very good insurance I recommend seriously and responds quickly to the rapid reimbursement request within 5 days meets the wait nice polish on the phone.</v>
      </c>
    </row>
    <row r="668" ht="15.75" customHeight="1">
      <c r="A668" s="2">
        <v>4.0</v>
      </c>
      <c r="B668" s="2" t="s">
        <v>1891</v>
      </c>
      <c r="C668" s="2" t="s">
        <v>1892</v>
      </c>
      <c r="D668" s="2" t="s">
        <v>32</v>
      </c>
      <c r="E668" s="2" t="s">
        <v>21</v>
      </c>
      <c r="F668" s="2" t="s">
        <v>15</v>
      </c>
      <c r="G668" s="2" t="s">
        <v>1510</v>
      </c>
      <c r="H668" s="2" t="s">
        <v>87</v>
      </c>
      <c r="I668" s="2" t="str">
        <f>IFERROR(__xludf.DUMMYFUNCTION("GOOGLETRANSLATE(C668,""fr"",""en"")"),"I am a young driver. The prices suit me perfectly, I expected something much higher. The quote was very fast and simple to make. It's simple and practical.")</f>
        <v>I am a young driver. The prices suit me perfectly, I expected something much higher. The quote was very fast and simple to make. It's simple and practical.</v>
      </c>
    </row>
    <row r="669" ht="15.75" customHeight="1">
      <c r="A669" s="2">
        <v>1.0</v>
      </c>
      <c r="B669" s="2" t="s">
        <v>1893</v>
      </c>
      <c r="C669" s="2" t="s">
        <v>1894</v>
      </c>
      <c r="D669" s="2" t="s">
        <v>139</v>
      </c>
      <c r="E669" s="2" t="s">
        <v>21</v>
      </c>
      <c r="F669" s="2" t="s">
        <v>15</v>
      </c>
      <c r="G669" s="2" t="s">
        <v>1895</v>
      </c>
      <c r="H669" s="2" t="s">
        <v>447</v>
      </c>
      <c r="I669" s="2" t="str">
        <f>IFERROR(__xludf.DUMMYFUNCTION("GOOGLETRANSLATE(C669,""fr"",""en"")"),"Customer at the GMF for more than 10 years on the car, home, life insurance and accidents and family I have just learned the future radiation of my car insurance following 4 claims including 3 broken ice cream and 1 accident in the responsible traffic. Th"&amp;"ank you the GMF.")</f>
        <v>Customer at the GMF for more than 10 years on the car, home, life insurance and accidents and family I have just learned the future radiation of my car insurance following 4 claims including 3 broken ice cream and 1 accident in the responsible traffic. Thank you the GMF.</v>
      </c>
    </row>
    <row r="670" ht="15.75" customHeight="1">
      <c r="A670" s="2">
        <v>3.0</v>
      </c>
      <c r="B670" s="2" t="s">
        <v>1896</v>
      </c>
      <c r="C670" s="2" t="s">
        <v>1897</v>
      </c>
      <c r="D670" s="2" t="s">
        <v>222</v>
      </c>
      <c r="E670" s="2" t="s">
        <v>42</v>
      </c>
      <c r="F670" s="2" t="s">
        <v>15</v>
      </c>
      <c r="G670" s="2" t="s">
        <v>1898</v>
      </c>
      <c r="H670" s="2" t="s">
        <v>183</v>
      </c>
      <c r="I670" s="2" t="str">
        <f>IFERROR(__xludf.DUMMYFUNCTION("GOOGLETRANSLATE(C670,""fr"",""en"")"),"My Housing Home Effect January 1, 2014 with index 915.80. Monthly payment 33.20 €.
Today, mail indicating me for 2018, monthly lean 46.04 €,
In 4 years 39 % increase.
More icing on the cake, a legal protection proposal of € 6.25 monthly at juricica (of"&amp;" course)
I thought, to have it of it in my contract.
")</f>
        <v>My Housing Home Effect January 1, 2014 with index 915.80. Monthly payment 33.20 €.
Today, mail indicating me for 2018, monthly lean 46.04 €,
In 4 years 39 % increase.
More icing on the cake, a legal protection proposal of € 6.25 monthly at juricica (of course)
I thought, to have it of it in my contract.
</v>
      </c>
    </row>
    <row r="671" ht="15.75" customHeight="1">
      <c r="A671" s="2">
        <v>3.0</v>
      </c>
      <c r="B671" s="2" t="s">
        <v>1899</v>
      </c>
      <c r="C671" s="2" t="s">
        <v>1900</v>
      </c>
      <c r="D671" s="2" t="s">
        <v>20</v>
      </c>
      <c r="E671" s="2" t="s">
        <v>21</v>
      </c>
      <c r="F671" s="2" t="s">
        <v>15</v>
      </c>
      <c r="G671" s="2" t="s">
        <v>140</v>
      </c>
      <c r="H671" s="2" t="s">
        <v>87</v>
      </c>
      <c r="I671" s="2" t="str">
        <f>IFERROR(__xludf.DUMMYFUNCTION("GOOGLETRANSLATE(C671,""fr"",""en"")"),"There was a change of price between the quote and the real signature, but the prices remain correct. To see if the services agreed are well respected")</f>
        <v>There was a change of price between the quote and the real signature, but the prices remain correct. To see if the services agreed are well respected</v>
      </c>
    </row>
    <row r="672" ht="15.75" customHeight="1">
      <c r="A672" s="2">
        <v>1.0</v>
      </c>
      <c r="B672" s="2" t="s">
        <v>1901</v>
      </c>
      <c r="C672" s="2" t="s">
        <v>1902</v>
      </c>
      <c r="D672" s="2" t="s">
        <v>670</v>
      </c>
      <c r="E672" s="2" t="s">
        <v>14</v>
      </c>
      <c r="F672" s="2" t="s">
        <v>15</v>
      </c>
      <c r="G672" s="2" t="s">
        <v>470</v>
      </c>
      <c r="H672" s="2" t="s">
        <v>199</v>
      </c>
      <c r="I672" s="2" t="str">
        <f>IFERROR(__xludf.DUMMYFUNCTION("GOOGLETRANSLATE(C672,""fr"",""en"")"),"Website impossible to connect, unreachable customer advisers. Does this mutual really exist? I'm going to do 1 year and goodbye this is the first time that I have been at this point! I think this company just has a letter box.")</f>
        <v>Website impossible to connect, unreachable customer advisers. Does this mutual really exist? I'm going to do 1 year and goodbye this is the first time that I have been at this point! I think this company just has a letter box.</v>
      </c>
    </row>
    <row r="673" ht="15.75" customHeight="1">
      <c r="A673" s="2">
        <v>5.0</v>
      </c>
      <c r="B673" s="2" t="s">
        <v>1903</v>
      </c>
      <c r="C673" s="2" t="s">
        <v>1904</v>
      </c>
      <c r="D673" s="2" t="s">
        <v>20</v>
      </c>
      <c r="E673" s="2" t="s">
        <v>21</v>
      </c>
      <c r="F673" s="2" t="s">
        <v>15</v>
      </c>
      <c r="G673" s="2" t="s">
        <v>634</v>
      </c>
      <c r="H673" s="2" t="s">
        <v>179</v>
      </c>
      <c r="I673" s="2" t="str">
        <f>IFERROR(__xludf.DUMMYFUNCTION("GOOGLETRANSLATE(C673,""fr"",""en"")"),"Delighted with the speed of the service and the price suits me, this is my first commitment with your establishment and I recommend to other people. thank you")</f>
        <v>Delighted with the speed of the service and the price suits me, this is my first commitment with your establishment and I recommend to other people. thank you</v>
      </c>
    </row>
    <row r="674" ht="15.75" customHeight="1">
      <c r="A674" s="2">
        <v>2.0</v>
      </c>
      <c r="B674" s="2" t="s">
        <v>1905</v>
      </c>
      <c r="C674" s="2" t="s">
        <v>1906</v>
      </c>
      <c r="D674" s="2" t="s">
        <v>222</v>
      </c>
      <c r="E674" s="2" t="s">
        <v>21</v>
      </c>
      <c r="F674" s="2" t="s">
        <v>15</v>
      </c>
      <c r="G674" s="2" t="s">
        <v>1907</v>
      </c>
      <c r="H674" s="2" t="s">
        <v>188</v>
      </c>
      <c r="I674" s="2" t="str">
        <f>IFERROR(__xludf.DUMMYFUNCTION("GOOGLETRANSLATE(C674,""fr"",""en"")"),"AXA Tenies my car contract at the end of the year for reason: ""The loss observed on your contract leads us to end your contract""
With a 50% bonus and no responsible claims!
So if you are the victim of claims you are entitled to the same fate as the ma"&amp;"nagers
In short you should not happen if not apt.
So with my 4 contracts at AXA and 1,200 euros in annual contributions; I intended to take an auto contract for my son and a family mutual for 2020 that would have done 6 contracts !!!
In short, I withdr"&amp;"aw all my remaining contracts and will delight another insurer.
A good hearing.")</f>
        <v>AXA Tenies my car contract at the end of the year for reason: "The loss observed on your contract leads us to end your contract"
With a 50% bonus and no responsible claims!
So if you are the victim of claims you are entitled to the same fate as the managers
In short you should not happen if not apt.
So with my 4 contracts at AXA and 1,200 euros in annual contributions; I intended to take an auto contract for my son and a family mutual for 2020 that would have done 6 contracts !!!
In short, I withdraw all my remaining contracts and will delight another insurer.
A good hearing.</v>
      </c>
    </row>
    <row r="675" ht="15.75" customHeight="1">
      <c r="A675" s="2">
        <v>5.0</v>
      </c>
      <c r="B675" s="2" t="s">
        <v>1908</v>
      </c>
      <c r="C675" s="2" t="s">
        <v>1909</v>
      </c>
      <c r="D675" s="2" t="s">
        <v>32</v>
      </c>
      <c r="E675" s="2" t="s">
        <v>21</v>
      </c>
      <c r="F675" s="2" t="s">
        <v>15</v>
      </c>
      <c r="G675" s="2" t="s">
        <v>1910</v>
      </c>
      <c r="H675" s="2" t="s">
        <v>95</v>
      </c>
      <c r="I675" s="2" t="str">
        <f>IFERROR(__xludf.DUMMYFUNCTION("GOOGLETRANSLATE(C675,""fr"",""en"")"),"I am very happy with Direct Insurance and especially of the telephone reception with people attentive and very kind. I recommend this insurance to those around me")</f>
        <v>I am very happy with Direct Insurance and especially of the telephone reception with people attentive and very kind. I recommend this insurance to those around me</v>
      </c>
    </row>
    <row r="676" ht="15.75" customHeight="1">
      <c r="A676" s="2">
        <v>4.0</v>
      </c>
      <c r="B676" s="2" t="s">
        <v>1911</v>
      </c>
      <c r="C676" s="2" t="s">
        <v>1912</v>
      </c>
      <c r="D676" s="2" t="s">
        <v>186</v>
      </c>
      <c r="E676" s="2" t="s">
        <v>21</v>
      </c>
      <c r="F676" s="2" t="s">
        <v>15</v>
      </c>
      <c r="G676" s="2" t="s">
        <v>1913</v>
      </c>
      <c r="H676" s="2" t="s">
        <v>276</v>
      </c>
      <c r="I676" s="2" t="str">
        <f>IFERROR(__xludf.DUMMYFUNCTION("GOOGLETRANSLATE(C676,""fr"",""en"")"),"I just subscribed and for the moment I am very happy. Advantageous rates and guarantees. But above all a top customer service, I would like to thank Aurélie who is a great advisor, who knows and masters her subject very well. With this level of competence"&amp;", you will go far.")</f>
        <v>I just subscribed and for the moment I am very happy. Advantageous rates and guarantees. But above all a top customer service, I would like to thank Aurélie who is a great advisor, who knows and masters her subject very well. With this level of competence, you will go far.</v>
      </c>
    </row>
    <row r="677" ht="15.75" customHeight="1">
      <c r="A677" s="2">
        <v>5.0</v>
      </c>
      <c r="B677" s="2" t="s">
        <v>1914</v>
      </c>
      <c r="C677" s="2" t="s">
        <v>1915</v>
      </c>
      <c r="D677" s="2" t="s">
        <v>41</v>
      </c>
      <c r="E677" s="2" t="s">
        <v>21</v>
      </c>
      <c r="F677" s="2" t="s">
        <v>15</v>
      </c>
      <c r="G677" s="2" t="s">
        <v>1916</v>
      </c>
      <c r="H677" s="2" t="s">
        <v>77</v>
      </c>
      <c r="I677" s="2" t="str">
        <f>IFERROR(__xludf.DUMMYFUNCTION("GOOGLETRANSLATE(C677,""fr"",""en"")"),"We are Maaf customers for our cars and houses; For 20 years; It is easily reachable insurance; always listening to the customer; reasonable price; very responsive each time we contact them; No worries with them never.")</f>
        <v>We are Maaf customers for our cars and houses; For 20 years; It is easily reachable insurance; always listening to the customer; reasonable price; very responsive each time we contact them; No worries with them never.</v>
      </c>
    </row>
    <row r="678" ht="15.75" customHeight="1">
      <c r="A678" s="2">
        <v>2.0</v>
      </c>
      <c r="B678" s="2" t="s">
        <v>1917</v>
      </c>
      <c r="C678" s="2" t="s">
        <v>1918</v>
      </c>
      <c r="D678" s="2" t="s">
        <v>282</v>
      </c>
      <c r="E678" s="2" t="s">
        <v>283</v>
      </c>
      <c r="F678" s="2" t="s">
        <v>15</v>
      </c>
      <c r="G678" s="2" t="s">
        <v>1618</v>
      </c>
      <c r="H678" s="2" t="s">
        <v>23</v>
      </c>
      <c r="I678" s="2" t="str">
        <f>IFERROR(__xludf.DUMMYFUNCTION("GOOGLETRANSLATE(C678,""fr"",""en"")"),"I have just received an email from Assur O'Poil informing me of an increase in prices linked to ""the difficult period due to the health situation and its possible consequences"" and which goes to ""thank you for kindly Note that the amount of your subscr"&amp;"iption on January 1, 2022 will be € 55.89 ""!!! I currently pay 37.72 euros per month !! This is a 75% increase !! I just called them to find out if there was no mistake, and no, it's normal I am told, it's related to the consumption of the year !! Seeing"&amp;" that I did not agree, my interlocutor offers me a new downward rate that I will only receive in 4 days !!! But who is we laughing at? I have been at home for 3 years and my dog ​​has declared an epilepsy during the contract, today if I do not accept thei"&amp;"r conditions, no mutual will want to cover my dog's disease. It is unacceptable. I think I wait for their new price and file a complaint against them.")</f>
        <v>I have just received an email from Assur O'Poil informing me of an increase in prices linked to "the difficult period due to the health situation and its possible consequences" and which goes to "thank you for kindly Note that the amount of your subscription on January 1, 2022 will be € 55.89 "!!! I currently pay 37.72 euros per month !! This is a 75% increase !! I just called them to find out if there was no mistake, and no, it's normal I am told, it's related to the consumption of the year !! Seeing that I did not agree, my interlocutor offers me a new downward rate that I will only receive in 4 days !!! But who is we laughing at? I have been at home for 3 years and my dog ​​has declared an epilepsy during the contract, today if I do not accept their conditions, no mutual will want to cover my dog's disease. It is unacceptable. I think I wait for their new price and file a complaint against them.</v>
      </c>
    </row>
    <row r="679" ht="15.75" customHeight="1">
      <c r="A679" s="2">
        <v>4.0</v>
      </c>
      <c r="B679" s="2" t="s">
        <v>1919</v>
      </c>
      <c r="C679" s="2" t="s">
        <v>1920</v>
      </c>
      <c r="D679" s="2" t="s">
        <v>1921</v>
      </c>
      <c r="E679" s="2" t="s">
        <v>52</v>
      </c>
      <c r="F679" s="2" t="s">
        <v>15</v>
      </c>
      <c r="G679" s="2" t="s">
        <v>119</v>
      </c>
      <c r="H679" s="2" t="s">
        <v>87</v>
      </c>
      <c r="I679" s="2" t="str">
        <f>IFERROR(__xludf.DUMMYFUNCTION("GOOGLETRANSLATE(C679,""fr"",""en"")"),"I am a founding member of this mutual and you have to remember where it comes from.
Before its existence, motorcycle insurance rates were exorbitant.
The proposed covers are excellent, I think the price price report is completely consistent.
The concep"&amp;"t of solidarity between the company is important and it should not be forgotten that this mutual is only the motorcycle, it is not backed by a large insurance group which uses the motorcycle as a appeal product.
This mutual was created by bikers for bike"&amp;"rs.")</f>
        <v>I am a founding member of this mutual and you have to remember where it comes from.
Before its existence, motorcycle insurance rates were exorbitant.
The proposed covers are excellent, I think the price price report is completely consistent.
The concept of solidarity between the company is important and it should not be forgotten that this mutual is only the motorcycle, it is not backed by a large insurance group which uses the motorcycle as a appeal product.
This mutual was created by bikers for bikers.</v>
      </c>
    </row>
    <row r="680" ht="15.75" customHeight="1">
      <c r="A680" s="2">
        <v>2.0</v>
      </c>
      <c r="B680" s="2" t="s">
        <v>1922</v>
      </c>
      <c r="C680" s="2" t="s">
        <v>1923</v>
      </c>
      <c r="D680" s="2" t="s">
        <v>139</v>
      </c>
      <c r="E680" s="2" t="s">
        <v>42</v>
      </c>
      <c r="F680" s="2" t="s">
        <v>15</v>
      </c>
      <c r="G680" s="2" t="s">
        <v>1924</v>
      </c>
      <c r="H680" s="2" t="s">
        <v>936</v>
      </c>
      <c r="I680" s="2" t="str">
        <f>IFERROR(__xludf.DUMMYFUNCTION("GOOGLETRANSLATE(C680,""fr"",""en"")"),"As long as you pay no worries. I admit that for years I was relatively well accompanied. But this year, I am disappointed. 1st reimbursement proposal up to 11,800 euros. I found that the partner abused and he did not take everything into account. I had a "&amp;"quote proposal made by another company, 1000 euros below and it took into account the insulation which was soggy, therefore sagged and no longer isolated in the same way. Suddenly I am sent to me an expert who decreases everything to 1300 euros. Reimburse"&amp;"ment of zero repairs. I have called a large number of times. Each time the correspondents, comprising the situation, tried to intervene so that the disaster service, unreachable, reminds me. Not even a reminder. No respect for the customer. I remove all m"&amp;"y contracts and those of my mother and my sister that I manage.")</f>
        <v>As long as you pay no worries. I admit that for years I was relatively well accompanied. But this year, I am disappointed. 1st reimbursement proposal up to 11,800 euros. I found that the partner abused and he did not take everything into account. I had a quote proposal made by another company, 1000 euros below and it took into account the insulation which was soggy, therefore sagged and no longer isolated in the same way. Suddenly I am sent to me an expert who decreases everything to 1300 euros. Reimbursement of zero repairs. I have called a large number of times. Each time the correspondents, comprising the situation, tried to intervene so that the disaster service, unreachable, reminds me. Not even a reminder. No respect for the customer. I remove all my contracts and those of my mother and my sister that I manage.</v>
      </c>
    </row>
    <row r="681" ht="15.75" customHeight="1">
      <c r="A681" s="2">
        <v>4.0</v>
      </c>
      <c r="B681" s="2" t="s">
        <v>1925</v>
      </c>
      <c r="C681" s="2" t="s">
        <v>1926</v>
      </c>
      <c r="D681" s="2" t="s">
        <v>32</v>
      </c>
      <c r="E681" s="2" t="s">
        <v>21</v>
      </c>
      <c r="F681" s="2" t="s">
        <v>15</v>
      </c>
      <c r="G681" s="2" t="s">
        <v>129</v>
      </c>
      <c r="H681" s="2" t="s">
        <v>54</v>
      </c>
      <c r="I681" s="2" t="str">
        <f>IFERROR(__xludf.DUMMYFUNCTION("GOOGLETRANSLATE(C681,""fr"",""en"")"),"Prices look satisfactory. Easy to make a quote and take out car insurance. To see in use if the prices do not increase without reason or other ...")</f>
        <v>Prices look satisfactory. Easy to make a quote and take out car insurance. To see in use if the prices do not increase without reason or other ...</v>
      </c>
    </row>
    <row r="682" ht="15.75" customHeight="1">
      <c r="A682" s="2">
        <v>2.0</v>
      </c>
      <c r="B682" s="2" t="s">
        <v>1927</v>
      </c>
      <c r="C682" s="2" t="s">
        <v>1928</v>
      </c>
      <c r="D682" s="2" t="s">
        <v>251</v>
      </c>
      <c r="E682" s="2" t="s">
        <v>14</v>
      </c>
      <c r="F682" s="2" t="s">
        <v>15</v>
      </c>
      <c r="G682" s="2" t="s">
        <v>856</v>
      </c>
      <c r="H682" s="2" t="s">
        <v>38</v>
      </c>
      <c r="I682" s="2" t="str">
        <f>IFERROR(__xludf.DUMMYFUNCTION("GOOGLETRANSLATE(C682,""fr"",""en"")"),"Be careful Teleconseiller who shouts you on the phone of no listening we must send the documents several times
An advisor informed me that it happens that in an email he only treats an attachment you have to run every month after his reimbursements")</f>
        <v>Be careful Teleconseiller who shouts you on the phone of no listening we must send the documents several times
An advisor informed me that it happens that in an email he only treats an attachment you have to run every month after his reimbursements</v>
      </c>
    </row>
    <row r="683" ht="15.75" customHeight="1">
      <c r="A683" s="2">
        <v>5.0</v>
      </c>
      <c r="B683" s="2" t="s">
        <v>1929</v>
      </c>
      <c r="C683" s="2" t="s">
        <v>1930</v>
      </c>
      <c r="D683" s="2" t="s">
        <v>32</v>
      </c>
      <c r="E683" s="2" t="s">
        <v>21</v>
      </c>
      <c r="F683" s="2" t="s">
        <v>15</v>
      </c>
      <c r="G683" s="2" t="s">
        <v>302</v>
      </c>
      <c r="H683" s="2" t="s">
        <v>54</v>
      </c>
      <c r="I683" s="2" t="str">
        <f>IFERROR(__xludf.DUMMYFUNCTION("GOOGLETRANSLATE(C683,""fr"",""en"")"),"I am very satisfied with the service of the price and the rapidity of subcprit on the website The prices are clear and very good conditions as well as because of being able to be sponsored")</f>
        <v>I am very satisfied with the service of the price and the rapidity of subcprit on the website The prices are clear and very good conditions as well as because of being able to be sponsored</v>
      </c>
    </row>
    <row r="684" ht="15.75" customHeight="1">
      <c r="A684" s="2">
        <v>5.0</v>
      </c>
      <c r="B684" s="2" t="s">
        <v>1931</v>
      </c>
      <c r="C684" s="2" t="s">
        <v>1932</v>
      </c>
      <c r="D684" s="2" t="s">
        <v>32</v>
      </c>
      <c r="E684" s="2" t="s">
        <v>21</v>
      </c>
      <c r="F684" s="2" t="s">
        <v>15</v>
      </c>
      <c r="G684" s="2" t="s">
        <v>388</v>
      </c>
      <c r="H684" s="2" t="s">
        <v>54</v>
      </c>
      <c r="I684" s="2" t="str">
        <f>IFERROR(__xludf.DUMMYFUNCTION("GOOGLETRANSLATE(C684,""fr"",""en"")"),"I am satisfied with the service The price suits me it is a very good insurance is very easy for the subscription I have always been satisfied with this insurance and I recommend it to those around me")</f>
        <v>I am satisfied with the service The price suits me it is a very good insurance is very easy for the subscription I have always been satisfied with this insurance and I recommend it to those around me</v>
      </c>
    </row>
    <row r="685" ht="15.75" customHeight="1">
      <c r="A685" s="2">
        <v>5.0</v>
      </c>
      <c r="B685" s="2" t="s">
        <v>1933</v>
      </c>
      <c r="C685" s="2" t="s">
        <v>1934</v>
      </c>
      <c r="D685" s="2" t="s">
        <v>20</v>
      </c>
      <c r="E685" s="2" t="s">
        <v>21</v>
      </c>
      <c r="F685" s="2" t="s">
        <v>15</v>
      </c>
      <c r="G685" s="2" t="s">
        <v>22</v>
      </c>
      <c r="H685" s="2" t="s">
        <v>23</v>
      </c>
      <c r="I685" s="2" t="str">
        <f>IFERROR(__xludf.DUMMYFUNCTION("GOOGLETRANSLATE(C685,""fr"",""en"")"),"Super contact, I recommend the olive tree for its welcome and its level of service. Very good answers to the questions asked and impeccable responsiveness!")</f>
        <v>Super contact, I recommend the olive tree for its welcome and its level of service. Very good answers to the questions asked and impeccable responsiveness!</v>
      </c>
    </row>
    <row r="686" ht="15.75" customHeight="1">
      <c r="A686" s="2">
        <v>2.0</v>
      </c>
      <c r="B686" s="2" t="s">
        <v>1935</v>
      </c>
      <c r="C686" s="2" t="s">
        <v>1936</v>
      </c>
      <c r="D686" s="2" t="s">
        <v>113</v>
      </c>
      <c r="E686" s="2" t="s">
        <v>42</v>
      </c>
      <c r="F686" s="2" t="s">
        <v>15</v>
      </c>
      <c r="G686" s="2" t="s">
        <v>1937</v>
      </c>
      <c r="H686" s="2" t="s">
        <v>860</v>
      </c>
      <c r="I686" s="2" t="str">
        <f>IFERROR(__xludf.DUMMYFUNCTION("GOOGLETRANSLATE(C686,""fr"",""en"")"),"Catastrophic management of my last claim; The MAIF services have deteriorated for several years. Under the Either computer problem MAIF did not correctly record my disaster, did not say my emails (however I have the accused reception for proof) . Two mont"&amp;"hs that I expect repair for water damage. I had to restart them to get news from my disaster. Well nothing at all had been undertaken: half -seized file, no follow -up, no mandated expert, no company mandated for the work, nothing! etc Financial damage fo"&amp;"r me that working at my home and will not be able to receive customers during the work. 25 years at the Maif Mas not one more year, I have already approached the competition and I prepare my registered mail to go and make sure! Far the time when Maif was "&amp;"one of the rapid insurance at competitive prices!")</f>
        <v>Catastrophic management of my last claim; The MAIF services have deteriorated for several years. Under the Either computer problem MAIF did not correctly record my disaster, did not say my emails (however I have the accused reception for proof) . Two months that I expect repair for water damage. I had to restart them to get news from my disaster. Well nothing at all had been undertaken: half -seized file, no follow -up, no mandated expert, no company mandated for the work, nothing! etc Financial damage for me that working at my home and will not be able to receive customers during the work. 25 years at the Maif Mas not one more year, I have already approached the competition and I prepare my registered mail to go and make sure! Far the time when Maif was one of the rapid insurance at competitive prices!</v>
      </c>
    </row>
    <row r="687" ht="15.75" customHeight="1">
      <c r="A687" s="2">
        <v>4.0</v>
      </c>
      <c r="B687" s="2" t="s">
        <v>1938</v>
      </c>
      <c r="C687" s="2" t="s">
        <v>1939</v>
      </c>
      <c r="D687" s="2" t="s">
        <v>32</v>
      </c>
      <c r="E687" s="2" t="s">
        <v>21</v>
      </c>
      <c r="F687" s="2" t="s">
        <v>15</v>
      </c>
      <c r="G687" s="2" t="s">
        <v>1940</v>
      </c>
      <c r="H687" s="2" t="s">
        <v>54</v>
      </c>
      <c r="I687" s="2" t="str">
        <f>IFERROR(__xludf.DUMMYFUNCTION("GOOGLETRANSLATE(C687,""fr"",""en"")"),"I am satisfied with the service., Fast and responsive and welcoming advisor. Direct Insurance assures me in all risks when others refused ...")</f>
        <v>I am satisfied with the service., Fast and responsive and welcoming advisor. Direct Insurance assures me in all risks when others refused ...</v>
      </c>
    </row>
    <row r="688" ht="15.75" customHeight="1">
      <c r="A688" s="2">
        <v>1.0</v>
      </c>
      <c r="B688" s="2" t="s">
        <v>1941</v>
      </c>
      <c r="C688" s="2" t="s">
        <v>1942</v>
      </c>
      <c r="D688" s="2" t="s">
        <v>41</v>
      </c>
      <c r="E688" s="2" t="s">
        <v>42</v>
      </c>
      <c r="F688" s="2" t="s">
        <v>15</v>
      </c>
      <c r="G688" s="2" t="s">
        <v>1943</v>
      </c>
      <c r="H688" s="2" t="s">
        <v>152</v>
      </c>
      <c r="I688" s="2" t="str">
        <f>IFERROR(__xludf.DUMMYFUNCTION("GOOGLETRANSLATE(C688,""fr"",""en"")"),"Very decreed by the MAAF an insurance which does not respect the rights of its customers I have been client for 25 years at the MAAF and at the first claim we refuse to repair the prejudice it is a degat of the waters and I am not responsible the maaf rei"&amp;"mburses me very badly")</f>
        <v>Very decreed by the MAAF an insurance which does not respect the rights of its customers I have been client for 25 years at the MAAF and at the first claim we refuse to repair the prejudice it is a degat of the waters and I am not responsible the maaf reimburses me very badly</v>
      </c>
    </row>
    <row r="689" ht="15.75" customHeight="1">
      <c r="A689" s="2">
        <v>3.0</v>
      </c>
      <c r="B689" s="2" t="s">
        <v>1944</v>
      </c>
      <c r="C689" s="2" t="s">
        <v>1945</v>
      </c>
      <c r="D689" s="2" t="s">
        <v>32</v>
      </c>
      <c r="E689" s="2" t="s">
        <v>21</v>
      </c>
      <c r="F689" s="2" t="s">
        <v>15</v>
      </c>
      <c r="G689" s="2" t="s">
        <v>1946</v>
      </c>
      <c r="H689" s="2" t="s">
        <v>385</v>
      </c>
      <c r="I689" s="2" t="str">
        <f>IFERROR(__xludf.DUMMYFUNCTION("GOOGLETRANSLATE(C689,""fr"",""en"")"),"I am waiting to receive certain additional information because I did not have the information desire concerning the amounts of the franchises you apply")</f>
        <v>I am waiting to receive certain additional information because I did not have the information desire concerning the amounts of the franchises you apply</v>
      </c>
    </row>
    <row r="690" ht="15.75" customHeight="1">
      <c r="A690" s="2">
        <v>2.0</v>
      </c>
      <c r="B690" s="2" t="s">
        <v>1947</v>
      </c>
      <c r="C690" s="2" t="s">
        <v>1948</v>
      </c>
      <c r="D690" s="2" t="s">
        <v>32</v>
      </c>
      <c r="E690" s="2" t="s">
        <v>21</v>
      </c>
      <c r="F690" s="2" t="s">
        <v>15</v>
      </c>
      <c r="G690" s="2" t="s">
        <v>1024</v>
      </c>
      <c r="H690" s="2" t="s">
        <v>183</v>
      </c>
      <c r="I690" s="2" t="str">
        <f>IFERROR(__xludf.DUMMYFUNCTION("GOOGLETRANSLATE(C690,""fr"",""en"")"),"I had a non -responsible accident with my brother -in -law's car assure Direct Assurance and I end up with a deductible of € 1,500. I think it is the only insurance that requires a franchise on a non -responsible accident. To avoid as much as possible.")</f>
        <v>I had a non -responsible accident with my brother -in -law's car assure Direct Assurance and I end up with a deductible of € 1,500. I think it is the only insurance that requires a franchise on a non -responsible accident. To avoid as much as possible.</v>
      </c>
    </row>
    <row r="691" ht="15.75" customHeight="1">
      <c r="A691" s="2">
        <v>2.0</v>
      </c>
      <c r="B691" s="2" t="s">
        <v>1949</v>
      </c>
      <c r="C691" s="2" t="s">
        <v>1950</v>
      </c>
      <c r="D691" s="2" t="s">
        <v>222</v>
      </c>
      <c r="E691" s="2" t="s">
        <v>52</v>
      </c>
      <c r="F691" s="2" t="s">
        <v>15</v>
      </c>
      <c r="G691" s="2" t="s">
        <v>1623</v>
      </c>
      <c r="H691" s="2" t="s">
        <v>48</v>
      </c>
      <c r="I691" s="2" t="str">
        <f>IFERROR(__xludf.DUMMYFUNCTION("GOOGLETRANSLATE(C691,""fr"",""en"")"),"5 months to be reimbursed my vehicle, without being wrong. Accident with foreign insurance (and then). No recovery from the sinister service. Incompetent.")</f>
        <v>5 months to be reimbursed my vehicle, without being wrong. Accident with foreign insurance (and then). No recovery from the sinister service. Incompetent.</v>
      </c>
    </row>
    <row r="692" ht="15.75" customHeight="1">
      <c r="A692" s="2">
        <v>1.0</v>
      </c>
      <c r="B692" s="2" t="s">
        <v>1951</v>
      </c>
      <c r="C692" s="2" t="s">
        <v>1952</v>
      </c>
      <c r="D692" s="2" t="s">
        <v>150</v>
      </c>
      <c r="E692" s="2" t="s">
        <v>21</v>
      </c>
      <c r="F692" s="2" t="s">
        <v>15</v>
      </c>
      <c r="G692" s="2" t="s">
        <v>1953</v>
      </c>
      <c r="H692" s="2" t="s">
        <v>454</v>
      </c>
      <c r="I692" s="2" t="str">
        <f>IFERROR(__xludf.DUMMYFUNCTION("GOOGLETRANSLATE(C692,""fr"",""en"")"),"A member for almost 40 years, I have noticed for a few years the change in behavior of the Macif towards its members. The height this evening when I receive a RAR letter meaning the non -renewal of one of my insurances following files for which I was not "&amp;"wrong !! Joined this letter the history of my contract demonstrating a bonus of 50% more than 17 years on this vehicle. Ridiculous, mean and unworthy on the part of a so-called mutual. I verify that an insurer has the right to end an insurance contract wi"&amp;"thout justified reason. It is as if a doctor refused to treat his patient after an illness has been declared. Distressing. I will therefore seek worthy of name insurance which does not take its members as the MaciS for milk cows and transfer all of my con"&amp;"tracts and not just that of this vehicle.")</f>
        <v>A member for almost 40 years, I have noticed for a few years the change in behavior of the Macif towards its members. The height this evening when I receive a RAR letter meaning the non -renewal of one of my insurances following files for which I was not wrong !! Joined this letter the history of my contract demonstrating a bonus of 50% more than 17 years on this vehicle. Ridiculous, mean and unworthy on the part of a so-called mutual. I verify that an insurer has the right to end an insurance contract without justified reason. It is as if a doctor refused to treat his patient after an illness has been declared. Distressing. I will therefore seek worthy of name insurance which does not take its members as the MaciS for milk cows and transfer all of my contracts and not just that of this vehicle.</v>
      </c>
    </row>
    <row r="693" ht="15.75" customHeight="1">
      <c r="A693" s="2">
        <v>1.0</v>
      </c>
      <c r="B693" s="2" t="s">
        <v>1954</v>
      </c>
      <c r="C693" s="2" t="s">
        <v>1955</v>
      </c>
      <c r="D693" s="2" t="s">
        <v>150</v>
      </c>
      <c r="E693" s="2" t="s">
        <v>42</v>
      </c>
      <c r="F693" s="2" t="s">
        <v>15</v>
      </c>
      <c r="G693" s="2" t="s">
        <v>1859</v>
      </c>
      <c r="H693" s="2" t="s">
        <v>1372</v>
      </c>
      <c r="I693" s="2" t="str">
        <f>IFERROR(__xludf.DUMMYFUNCTION("GOOGLETRANSLATE(C693,""fr"",""en"")"),"Insured for over 40 years at the Macif, without having a notorious incident, I note today that the Macif does not do its work for which I contribute.
We all have the obligation to be assured that it is for our residence or our vehicle and I note that ins"&amp;"urance in this case the Macif is not bound to make the service for which we contribute.
On January 3 following the storm, a break in the power cables of the electric cables between the EDF pylon and the house. This leads to the loss of a phase of the thr"&amp;"ee -phase current, which is without consequence for all the electrical equipment of the house except on the compressors of geothermal heating which prove to be destroyed when EDF restores the three -phase power.
The Macif announcing me that I can have th"&amp;"e repairs carried out that in any case my responsibility not being incurred, the Macif will advance part of the repair costs.
So waiting for the equipment, 3 weeks of time and repair carried out. Heating again in office in early February (it's not too ea"&amp;"rly, it's cold) I pay the repairs, more than € 6,000 since, that is to say 5 months after the action of the Macif, always the same Answer, we are waiting for the expert report! If the only excuse not to execute their contract part it is not worth. It is n"&amp;"ot us who choose the experts and it is up to them to ensure their work! The lack of seriousness of the Macif in the execution of their part of the contract can put their members in great difficulties. Where is the mutualist spirit praised in the pubs !!!!"&amp;"!")</f>
        <v>Insured for over 40 years at the Macif, without having a notorious incident, I note today that the Macif does not do its work for which I contribute.
We all have the obligation to be assured that it is for our residence or our vehicle and I note that insurance in this case the Macif is not bound to make the service for which we contribute.
On January 3 following the storm, a break in the power cables of the electric cables between the EDF pylon and the house. This leads to the loss of a phase of the three -phase current, which is without consequence for all the electrical equipment of the house except on the compressors of geothermal heating which prove to be destroyed when EDF restores the three -phase power.
The Macif announcing me that I can have the repairs carried out that in any case my responsibility not being incurred, the Macif will advance part of the repair costs.
So waiting for the equipment, 3 weeks of time and repair carried out. Heating again in office in early February (it's not too early, it's cold) I pay the repairs, more than € 6,000 since, that is to say 5 months after the action of the Macif, always the same Answer, we are waiting for the expert report! If the only excuse not to execute their contract part it is not worth. It is not us who choose the experts and it is up to them to ensure their work! The lack of seriousness of the Macif in the execution of their part of the contract can put their members in great difficulties. Where is the mutualist spirit praised in the pubs !!!!!</v>
      </c>
    </row>
    <row r="694" ht="15.75" customHeight="1">
      <c r="A694" s="2">
        <v>4.0</v>
      </c>
      <c r="B694" s="2" t="s">
        <v>1956</v>
      </c>
      <c r="C694" s="2" t="s">
        <v>1957</v>
      </c>
      <c r="D694" s="2" t="s">
        <v>122</v>
      </c>
      <c r="E694" s="2" t="s">
        <v>42</v>
      </c>
      <c r="F694" s="2" t="s">
        <v>15</v>
      </c>
      <c r="G694" s="2" t="s">
        <v>1958</v>
      </c>
      <c r="H694" s="2" t="s">
        <v>327</v>
      </c>
      <c r="I694" s="2" t="str">
        <f>IFERROR(__xludf.DUMMYFUNCTION("GOOGLETRANSLATE(C694,""fr"",""en"")"),"More than 30 years the mast still well received at the agency of Montélimar, as many people the earthquake touched my house, the problem for the victims does not most often come from insurers but from some incompetent experts I keep Another confidence at "&amp;"the Mut Mut but?")</f>
        <v>More than 30 years the mast still well received at the agency of Montélimar, as many people the earthquake touched my house, the problem for the victims does not most often come from insurers but from some incompetent experts I keep Another confidence at the Mut Mut but?</v>
      </c>
    </row>
    <row r="695" ht="15.75" customHeight="1">
      <c r="A695" s="2">
        <v>5.0</v>
      </c>
      <c r="B695" s="2" t="s">
        <v>1959</v>
      </c>
      <c r="C695" s="2" t="s">
        <v>1960</v>
      </c>
      <c r="D695" s="2" t="s">
        <v>32</v>
      </c>
      <c r="E695" s="2" t="s">
        <v>21</v>
      </c>
      <c r="F695" s="2" t="s">
        <v>15</v>
      </c>
      <c r="G695" s="2" t="s">
        <v>1961</v>
      </c>
      <c r="H695" s="2" t="s">
        <v>385</v>
      </c>
      <c r="I695" s="2" t="str">
        <f>IFERROR(__xludf.DUMMYFUNCTION("GOOGLETRANSLATE(C695,""fr"",""en"")"),"Satisfied with the service. Prices suit me. The speed for a quote is great. I hope to be able to subscribe to you. Cheaper of all insurance")</f>
        <v>Satisfied with the service. Prices suit me. The speed for a quote is great. I hope to be able to subscribe to you. Cheaper of all insurance</v>
      </c>
    </row>
    <row r="696" ht="15.75" customHeight="1">
      <c r="A696" s="2">
        <v>1.0</v>
      </c>
      <c r="B696" s="2" t="s">
        <v>1962</v>
      </c>
      <c r="C696" s="2" t="s">
        <v>1963</v>
      </c>
      <c r="D696" s="2" t="s">
        <v>113</v>
      </c>
      <c r="E696" s="2" t="s">
        <v>21</v>
      </c>
      <c r="F696" s="2" t="s">
        <v>15</v>
      </c>
      <c r="G696" s="2" t="s">
        <v>1964</v>
      </c>
      <c r="H696" s="2" t="s">
        <v>179</v>
      </c>
      <c r="I696" s="2" t="str">
        <f>IFERROR(__xludf.DUMMYFUNCTION("GOOGLETRANSLATE(C696,""fr"",""en"")"),"Avoid at all costs
Does not keep its commitments, does not respect the signed contract.
Manager of my unreachable file.
170 days after my self -disaster, no compensation, no decision.
On the contrary, Maif seeks any excuse for not compensating, even i"&amp;"f it means inventing and lying.")</f>
        <v>Avoid at all costs
Does not keep its commitments, does not respect the signed contract.
Manager of my unreachable file.
170 days after my self -disaster, no compensation, no decision.
On the contrary, Maif seeks any excuse for not compensating, even if it means inventing and lying.</v>
      </c>
    </row>
    <row r="697" ht="15.75" customHeight="1">
      <c r="A697" s="2">
        <v>3.0</v>
      </c>
      <c r="B697" s="2" t="s">
        <v>1965</v>
      </c>
      <c r="C697" s="2" t="s">
        <v>1966</v>
      </c>
      <c r="D697" s="2" t="s">
        <v>20</v>
      </c>
      <c r="E697" s="2" t="s">
        <v>21</v>
      </c>
      <c r="F697" s="2" t="s">
        <v>15</v>
      </c>
      <c r="G697" s="2" t="s">
        <v>1316</v>
      </c>
      <c r="H697" s="2" t="s">
        <v>38</v>
      </c>
      <c r="I697" s="2" t="str">
        <f>IFERROR(__xludf.DUMMYFUNCTION("GOOGLETRANSLATE(C697,""fr"",""en"")"),"The subscription is easy and intuitive.
When I called the customer service won it was quick and the responses friendly and fast.
See if the winning will also be for questions of follow -up of the file.")</f>
        <v>The subscription is easy and intuitive.
When I called the customer service won it was quick and the responses friendly and fast.
See if the winning will also be for questions of follow -up of the file.</v>
      </c>
    </row>
    <row r="698" ht="15.75" customHeight="1">
      <c r="A698" s="2">
        <v>1.0</v>
      </c>
      <c r="B698" s="2" t="s">
        <v>1967</v>
      </c>
      <c r="C698" s="2" t="s">
        <v>1968</v>
      </c>
      <c r="D698" s="2" t="s">
        <v>1969</v>
      </c>
      <c r="E698" s="2" t="s">
        <v>544</v>
      </c>
      <c r="F698" s="2" t="s">
        <v>15</v>
      </c>
      <c r="G698" s="2" t="s">
        <v>1970</v>
      </c>
      <c r="H698" s="2" t="s">
        <v>38</v>
      </c>
      <c r="I698" s="2" t="str">
        <f>IFERROR(__xludf.DUMMYFUNCTION("GOOGLETRANSLATE(C698,""fr"",""en"")"),"Hello, on February 13, 2021, a videoconferencing was organized with a commercial attaché for a project to open Per and Profileo. After taking stock of various questions, I request a new interview. My emails and calls remained unanswered (for 3 weeks) unti"&amp;"l March 18 due to the disease of the commercial attaché. March 20, I send the complete signed file including RIB and identity document. On March 23, the € 20 check for the Gerp is sent. On this same date, I make a bank transfer to my current account think"&amp;"ing that the direct debit will be made within a short delay. Until April 11, no news from the commercial attaché (again absent for illness). On his return of April 11, after contact made with the accounting, I am informed that the RIB is missing (while it"&amp;" was well transmitted in my email on March 20) and that my identity card is expired, this same Day I return RIB and Passport. Isn't your teams informed that the validity duration of cards is now 15 years instead of 10? On April 27, I contacted the commerc"&amp;"ial attaché to inform him that my funds are still not withdrawn nor the monthly transfers. The levy will not be carried out until May 12. As a whole, the assembly of the file lasted 3 months while I was very responsive and it was complete on March 24. I f"&amp;"ind it a shame that no person has ensured the replacement of the commercial attaché in sick leave and that your accounting teams claim documents already transmitted or reject a valid identity document (luckily, I had just redone my passport ). Without pas"&amp;"sport, my file would have been rejected ?. The funds paid to my current account could have given me some interests on my savings accounts during these 7 weeks of deduction waiting. Lack of responsiveness in the overall management of my file which does not"&amp;" inspire confidence for the future management of my per and profile accounts. A real disappointment!")</f>
        <v>Hello, on February 13, 2021, a videoconferencing was organized with a commercial attaché for a project to open Per and Profileo. After taking stock of various questions, I request a new interview. My emails and calls remained unanswered (for 3 weeks) until March 18 due to the disease of the commercial attaché. March 20, I send the complete signed file including RIB and identity document. On March 23, the € 20 check for the Gerp is sent. On this same date, I make a bank transfer to my current account thinking that the direct debit will be made within a short delay. Until April 11, no news from the commercial attaché (again absent for illness). On his return of April 11, after contact made with the accounting, I am informed that the RIB is missing (while it was well transmitted in my email on March 20) and that my identity card is expired, this same Day I return RIB and Passport. Isn't your teams informed that the validity duration of cards is now 15 years instead of 10? On April 27, I contacted the commercial attaché to inform him that my funds are still not withdrawn nor the monthly transfers. The levy will not be carried out until May 12. As a whole, the assembly of the file lasted 3 months while I was very responsive and it was complete on March 24. I find it a shame that no person has ensured the replacement of the commercial attaché in sick leave and that your accounting teams claim documents already transmitted or reject a valid identity document (luckily, I had just redone my passport ). Without passport, my file would have been rejected ?. The funds paid to my current account could have given me some interests on my savings accounts during these 7 weeks of deduction waiting. Lack of responsiveness in the overall management of my file which does not inspire confidence for the future management of my per and profile accounts. A real disappointment!</v>
      </c>
    </row>
    <row r="699" ht="15.75" customHeight="1">
      <c r="A699" s="2">
        <v>2.0</v>
      </c>
      <c r="B699" s="2" t="s">
        <v>1971</v>
      </c>
      <c r="C699" s="2" t="s">
        <v>1972</v>
      </c>
      <c r="D699" s="2" t="s">
        <v>1973</v>
      </c>
      <c r="E699" s="2" t="s">
        <v>52</v>
      </c>
      <c r="F699" s="2" t="s">
        <v>15</v>
      </c>
      <c r="G699" s="2" t="s">
        <v>1974</v>
      </c>
      <c r="H699" s="2" t="s">
        <v>454</v>
      </c>
      <c r="I699" s="2" t="str">
        <f>IFERROR(__xludf.DUMMYFUNCTION("GOOGLETRANSLATE(C699,""fr"",""en"")"),"I was at Euro Insurance for my motorcycle for 16 years. No accident since 2006.
A responsible accident in summer 2017. I receive a few months after a registered letter to termination with registration in the AGIRA files
No explanation (they are not held"&amp;") but the impression of being thrown like a Kleenex.
In addition, no defense of the file when the accident is responsible when it was clearly questionable.")</f>
        <v>I was at Euro Insurance for my motorcycle for 16 years. No accident since 2006.
A responsible accident in summer 2017. I receive a few months after a registered letter to termination with registration in the AGIRA files
No explanation (they are not held) but the impression of being thrown like a Kleenex.
In addition, no defense of the file when the accident is responsible when it was clearly questionable.</v>
      </c>
    </row>
    <row r="700" ht="15.75" customHeight="1">
      <c r="A700" s="2">
        <v>1.0</v>
      </c>
      <c r="B700" s="2" t="s">
        <v>1975</v>
      </c>
      <c r="C700" s="2" t="s">
        <v>1976</v>
      </c>
      <c r="D700" s="2" t="s">
        <v>1561</v>
      </c>
      <c r="E700" s="2" t="s">
        <v>544</v>
      </c>
      <c r="F700" s="2" t="s">
        <v>15</v>
      </c>
      <c r="G700" s="2" t="s">
        <v>1977</v>
      </c>
      <c r="H700" s="2" t="s">
        <v>199</v>
      </c>
      <c r="I700" s="2" t="str">
        <f>IFERROR(__xludf.DUMMYFUNCTION("GOOGLETRANSLATE(C700,""fr"",""en"")"),"A disaster. No empathy The processing times are extremely long. They do everything not to pay by focusing on the fact that their policyholders will not take legal action. The Swiislife group is to be flee.")</f>
        <v>A disaster. No empathy The processing times are extremely long. They do everything not to pay by focusing on the fact that their policyholders will not take legal action. The Swiislife group is to be flee.</v>
      </c>
    </row>
    <row r="701" ht="15.75" customHeight="1">
      <c r="A701" s="2">
        <v>1.0</v>
      </c>
      <c r="B701" s="2" t="s">
        <v>1978</v>
      </c>
      <c r="C701" s="2" t="s">
        <v>1979</v>
      </c>
      <c r="D701" s="2" t="s">
        <v>32</v>
      </c>
      <c r="E701" s="2" t="s">
        <v>21</v>
      </c>
      <c r="F701" s="2" t="s">
        <v>15</v>
      </c>
      <c r="G701" s="2" t="s">
        <v>1980</v>
      </c>
      <c r="H701" s="2" t="s">
        <v>1064</v>
      </c>
      <c r="I701" s="2" t="str">
        <f>IFERROR(__xludf.DUMMYFUNCTION("GOOGLETRANSLATE(C701,""fr"",""en"")"),"Increase in the insurance premium by + 14% for no reason!
1 non -responsible accident !!")</f>
        <v>Increase in the insurance premium by + 14% for no reason!
1 non -responsible accident !!</v>
      </c>
    </row>
    <row r="702" ht="15.75" customHeight="1">
      <c r="A702" s="2">
        <v>5.0</v>
      </c>
      <c r="B702" s="2" t="s">
        <v>1981</v>
      </c>
      <c r="C702" s="2" t="s">
        <v>1982</v>
      </c>
      <c r="D702" s="2" t="s">
        <v>146</v>
      </c>
      <c r="E702" s="2" t="s">
        <v>52</v>
      </c>
      <c r="F702" s="2" t="s">
        <v>15</v>
      </c>
      <c r="G702" s="2" t="s">
        <v>1983</v>
      </c>
      <c r="H702" s="2" t="s">
        <v>58</v>
      </c>
      <c r="I702" s="2" t="str">
        <f>IFERROR(__xludf.DUMMYFUNCTION("GOOGLETRANSLATE(C702,""fr"",""en"")"),"satisfied with the site, the price and and the guarantees
To see in time if the guarantees are respected and the advisers available if necessary")</f>
        <v>satisfied with the site, the price and and the guarantees
To see in time if the guarantees are respected and the advisers available if necessary</v>
      </c>
    </row>
    <row r="703" ht="15.75" customHeight="1">
      <c r="A703" s="2">
        <v>4.0</v>
      </c>
      <c r="B703" s="2" t="s">
        <v>1984</v>
      </c>
      <c r="C703" s="2" t="s">
        <v>1985</v>
      </c>
      <c r="D703" s="2" t="s">
        <v>139</v>
      </c>
      <c r="E703" s="2" t="s">
        <v>21</v>
      </c>
      <c r="F703" s="2" t="s">
        <v>15</v>
      </c>
      <c r="G703" s="2" t="s">
        <v>1986</v>
      </c>
      <c r="H703" s="2" t="s">
        <v>77</v>
      </c>
      <c r="I703" s="2" t="str">
        <f>IFERROR(__xludf.DUMMYFUNCTION("GOOGLETRANSLATE(C703,""fr"",""en"")"),"The value for money is very satisfactory. The interlocutors are attentive and I have never been disappointed since I am a member.
I recommend
")</f>
        <v>The value for money is very satisfactory. The interlocutors are attentive and I have never been disappointed since I am a member.
I recommend
</v>
      </c>
    </row>
    <row r="704" ht="15.75" customHeight="1">
      <c r="A704" s="2">
        <v>1.0</v>
      </c>
      <c r="B704" s="2" t="s">
        <v>1987</v>
      </c>
      <c r="C704" s="2" t="s">
        <v>1988</v>
      </c>
      <c r="D704" s="2" t="s">
        <v>113</v>
      </c>
      <c r="E704" s="2" t="s">
        <v>21</v>
      </c>
      <c r="F704" s="2" t="s">
        <v>15</v>
      </c>
      <c r="G704" s="2" t="s">
        <v>1138</v>
      </c>
      <c r="H704" s="2" t="s">
        <v>63</v>
      </c>
      <c r="I704" s="2" t="str">
        <f>IFERROR(__xludf.DUMMYFUNCTION("GOOGLETRANSLATE(C704,""fr"",""en"")"),"Ubuesque situation for a professional insurer who says it ensures vehicles without a license ...")</f>
        <v>Ubuesque situation for a professional insurer who says it ensures vehicles without a license ...</v>
      </c>
    </row>
    <row r="705" ht="15.75" customHeight="1">
      <c r="A705" s="2">
        <v>2.0</v>
      </c>
      <c r="B705" s="2" t="s">
        <v>1989</v>
      </c>
      <c r="C705" s="2" t="s">
        <v>1990</v>
      </c>
      <c r="D705" s="2" t="s">
        <v>926</v>
      </c>
      <c r="E705" s="2" t="s">
        <v>52</v>
      </c>
      <c r="F705" s="2" t="s">
        <v>15</v>
      </c>
      <c r="G705" s="2" t="s">
        <v>1991</v>
      </c>
      <c r="H705" s="2" t="s">
        <v>331</v>
      </c>
      <c r="I705" s="2" t="str">
        <f>IFERROR(__xludf.DUMMYFUNCTION("GOOGLETRANSLATE(C705,""fr"",""en"")"),"REACTIVE to send the contribution call that yes!
And then .... Impossible to reach anyone for a reimbursement following the sale of a motorcycle ensured at home.
Lr debut July, mail reminders ..rien
""The promises only engage those who listen to them"""&amp;"
I am very surprised to be polite to read all these wonderful opinions when to follow the files
We will be afraid of having to declaire an accident and of the consequences brought
To flee
The price does not do everything
A pseudo insurance that edit "&amp;"contracts and collects point contributions.
To flee")</f>
        <v>REACTIVE to send the contribution call that yes!
And then .... Impossible to reach anyone for a reimbursement following the sale of a motorcycle ensured at home.
Lr debut July, mail reminders ..rien
"The promises only engage those who listen to them"
I am very surprised to be polite to read all these wonderful opinions when to follow the files
We will be afraid of having to declaire an accident and of the consequences brought
To flee
The price does not do everything
A pseudo insurance that edit contracts and collects point contributions.
To flee</v>
      </c>
    </row>
    <row r="706" ht="15.75" customHeight="1">
      <c r="A706" s="2">
        <v>2.0</v>
      </c>
      <c r="B706" s="2" t="s">
        <v>1992</v>
      </c>
      <c r="C706" s="2" t="s">
        <v>1993</v>
      </c>
      <c r="D706" s="2" t="s">
        <v>20</v>
      </c>
      <c r="E706" s="2" t="s">
        <v>21</v>
      </c>
      <c r="F706" s="2" t="s">
        <v>15</v>
      </c>
      <c r="G706" s="2" t="s">
        <v>1994</v>
      </c>
      <c r="H706" s="2" t="s">
        <v>38</v>
      </c>
      <c r="I706" s="2" t="str">
        <f>IFERROR(__xludf.DUMMYFUNCTION("GOOGLETRANSLATE(C706,""fr"",""en"")"),"So far I was satisfied with insurance and assistance. But adding my son who has driven accompanied on my contract to multiply the cost of insurance by 1.5! Which is incomprehensible to me since normally driving accompanied reduces the new driver's penalty"&amp;".
I validate but no new contract, we do not have the details of the calculation of the amount of the insurance. Although our bonus increases, every year, more expensive insurance? ! ! ! Even if cheap at the base, an explanation would be welcome.
I disco"&amp;"ver by asking for my information statement that the olive tree would never have received my connective contract signed since 2019 and therefore cannot send me this statement. Despite 4 shipments in 1 month by email, download on their site, the document is"&amp;" always missing.
I am really disappointed because so far everything was going pretty well. . .
I no longer know how to react to finally get my information statement. Do I have to send a registered mail? Enter a consumer association?
What a pity ! In a "&amp;"few weeks, you have broken the confidence of an insured person hitherto delighted!")</f>
        <v>So far I was satisfied with insurance and assistance. But adding my son who has driven accompanied on my contract to multiply the cost of insurance by 1.5! Which is incomprehensible to me since normally driving accompanied reduces the new driver's penalty.
I validate but no new contract, we do not have the details of the calculation of the amount of the insurance. Although our bonus increases, every year, more expensive insurance? ! ! ! Even if cheap at the base, an explanation would be welcome.
I discover by asking for my information statement that the olive tree would never have received my connective contract signed since 2019 and therefore cannot send me this statement. Despite 4 shipments in 1 month by email, download on their site, the document is always missing.
I am really disappointed because so far everything was going pretty well. . .
I no longer know how to react to finally get my information statement. Do I have to send a registered mail? Enter a consumer association?
What a pity ! In a few weeks, you have broken the confidence of an insured person hitherto delighted!</v>
      </c>
    </row>
    <row r="707" ht="15.75" customHeight="1">
      <c r="A707" s="2">
        <v>1.0</v>
      </c>
      <c r="B707" s="2" t="s">
        <v>1995</v>
      </c>
      <c r="C707" s="2" t="s">
        <v>1996</v>
      </c>
      <c r="D707" s="2" t="s">
        <v>251</v>
      </c>
      <c r="E707" s="2" t="s">
        <v>14</v>
      </c>
      <c r="F707" s="2" t="s">
        <v>15</v>
      </c>
      <c r="G707" s="2" t="s">
        <v>1997</v>
      </c>
      <c r="H707" s="2" t="s">
        <v>447</v>
      </c>
      <c r="I707" s="2" t="str">
        <f>IFERROR(__xludf.DUMMYFUNCTION("GOOGLETRANSLATE(C707,""fr"",""en"")"),"One of the most zero mutual insurance companies that I have never frankly had any year what a year with them I was never reimbursed 1euro while being saying I have a good form at 150euro pfffff")</f>
        <v>One of the most zero mutual insurance companies that I have never frankly had any year what a year with them I was never reimbursed 1euro while being saying I have a good form at 150euro pfffff</v>
      </c>
    </row>
    <row r="708" ht="15.75" customHeight="1">
      <c r="A708" s="2">
        <v>5.0</v>
      </c>
      <c r="B708" s="2" t="s">
        <v>1998</v>
      </c>
      <c r="C708" s="2" t="s">
        <v>1999</v>
      </c>
      <c r="D708" s="2" t="s">
        <v>146</v>
      </c>
      <c r="E708" s="2" t="s">
        <v>52</v>
      </c>
      <c r="F708" s="2" t="s">
        <v>15</v>
      </c>
      <c r="G708" s="2" t="s">
        <v>1970</v>
      </c>
      <c r="H708" s="2" t="s">
        <v>38</v>
      </c>
      <c r="I708" s="2" t="str">
        <f>IFERROR(__xludf.DUMMYFUNCTION("GOOGLETRANSLATE(C708,""fr"",""en"")"),"I am satisfied with the service thank you very good insurance I recommend to all fast world and the prices reasonable thank you in any case very good")</f>
        <v>I am satisfied with the service thank you very good insurance I recommend to all fast world and the prices reasonable thank you in any case very good</v>
      </c>
    </row>
    <row r="709" ht="15.75" customHeight="1">
      <c r="A709" s="2">
        <v>1.0</v>
      </c>
      <c r="B709" s="2" t="s">
        <v>2000</v>
      </c>
      <c r="C709" s="2" t="s">
        <v>2001</v>
      </c>
      <c r="D709" s="2" t="s">
        <v>1921</v>
      </c>
      <c r="E709" s="2" t="s">
        <v>52</v>
      </c>
      <c r="F709" s="2" t="s">
        <v>15</v>
      </c>
      <c r="G709" s="2" t="s">
        <v>2002</v>
      </c>
      <c r="H709" s="2" t="s">
        <v>385</v>
      </c>
      <c r="I709" s="2" t="str">
        <f>IFERROR(__xludf.DUMMYFUNCTION("GOOGLETRANSLATE(C709,""fr"",""en"")"),"Sinister pending for 4 months, unreachable, no return on their part and I however tried all the ways to contact them: email, telephone, contact form etc. Absolutely no answer and no news from them
I am very disappointed, especially since I have two motor"&amp;"cycles insured with them for 110 € per month and that at this price I expect a minimum of customer service.
It is insurance that knows how to present itself as a mutual insurance company close to its customers and which gives good guarantees for a little"&amp;" higher price than elsewhere. In reality after the signed contract you will end up understanding that it is not worth more than elsewhere.
I have never felt so abandoned by an insurance company and it is not at all reassuring.")</f>
        <v>Sinister pending for 4 months, unreachable, no return on their part and I however tried all the ways to contact them: email, telephone, contact form etc. Absolutely no answer and no news from them
I am very disappointed, especially since I have two motorcycles insured with them for 110 € per month and that at this price I expect a minimum of customer service.
It is insurance that knows how to present itself as a mutual insurance company close to its customers and which gives good guarantees for a little higher price than elsewhere. In reality after the signed contract you will end up understanding that it is not worth more than elsewhere.
I have never felt so abandoned by an insurance company and it is not at all reassuring.</v>
      </c>
    </row>
    <row r="710" ht="15.75" customHeight="1">
      <c r="A710" s="2">
        <v>1.0</v>
      </c>
      <c r="B710" s="2" t="s">
        <v>2003</v>
      </c>
      <c r="C710" s="2" t="s">
        <v>2004</v>
      </c>
      <c r="D710" s="2" t="s">
        <v>139</v>
      </c>
      <c r="E710" s="2" t="s">
        <v>42</v>
      </c>
      <c r="F710" s="2" t="s">
        <v>15</v>
      </c>
      <c r="G710" s="2" t="s">
        <v>2005</v>
      </c>
      <c r="H710" s="2" t="s">
        <v>447</v>
      </c>
      <c r="I710" s="2" t="str">
        <f>IFERROR(__xludf.DUMMYFUNCTION("GOOGLETRANSLATE(C710,""fr"",""en"")"),"Pitiful and shabby! No other words to explain customer service from this pseudo insurance!
We had a water leak a year and three months ago! Still not settled !!!!! The craftsmen, commanded by the GMF, did not move and the GMF did not advise us!
I have t"&amp;"aken days before I have the sinister service. And to date, still nothing !!!!!
PITIFUL!")</f>
        <v>Pitiful and shabby! No other words to explain customer service from this pseudo insurance!
We had a water leak a year and three months ago! Still not settled !!!!! The craftsmen, commanded by the GMF, did not move and the GMF did not advise us!
I have taken days before I have the sinister service. And to date, still nothing !!!!!
PITIFUL!</v>
      </c>
    </row>
    <row r="711" ht="15.75" customHeight="1">
      <c r="A711" s="2">
        <v>4.0</v>
      </c>
      <c r="B711" s="2" t="s">
        <v>2006</v>
      </c>
      <c r="C711" s="2" t="s">
        <v>2007</v>
      </c>
      <c r="D711" s="2" t="s">
        <v>20</v>
      </c>
      <c r="E711" s="2" t="s">
        <v>21</v>
      </c>
      <c r="F711" s="2" t="s">
        <v>15</v>
      </c>
      <c r="G711" s="2" t="s">
        <v>202</v>
      </c>
      <c r="H711" s="2" t="s">
        <v>179</v>
      </c>
      <c r="I711" s="2" t="str">
        <f>IFERROR(__xludf.DUMMYFUNCTION("GOOGLETRANSLATE(C711,""fr"",""en"")"),"Costs are added to the price listed at the beginning with for example the monthly payment, the deposit requested is also excessive. This discourages me to ensure my second car already insure with the MAIF when you are cheaper.
")</f>
        <v>Costs are added to the price listed at the beginning with for example the monthly payment, the deposit requested is also excessive. This discourages me to ensure my second car already insure with the MAIF when you are cheaper.
</v>
      </c>
    </row>
    <row r="712" ht="15.75" customHeight="1">
      <c r="A712" s="2">
        <v>1.0</v>
      </c>
      <c r="B712" s="2" t="s">
        <v>2008</v>
      </c>
      <c r="C712" s="2" t="s">
        <v>2009</v>
      </c>
      <c r="D712" s="2" t="s">
        <v>32</v>
      </c>
      <c r="E712" s="2" t="s">
        <v>42</v>
      </c>
      <c r="F712" s="2" t="s">
        <v>15</v>
      </c>
      <c r="G712" s="2" t="s">
        <v>1974</v>
      </c>
      <c r="H712" s="2" t="s">
        <v>454</v>
      </c>
      <c r="I712" s="2" t="str">
        <f>IFERROR(__xludf.DUMMYFUNCTION("GOOGLETRANSLATE(C712,""fr"",""en"")"),"Direct insurance changes these general conditions and as I am a maternal assistant, he resilses me. And when you are terminated by insurance you struggle to find new insurance. In addition, my neighbor makes the mistake of damaging me my fence (not volunt"&amp;"arily) so amicable observation Amount repair 350 € so sinister at my charge on insurance.
Thank you Direct Assurance I had been insured for 14 years without any claim ...")</f>
        <v>Direct insurance changes these general conditions and as I am a maternal assistant, he resilses me. And when you are terminated by insurance you struggle to find new insurance. In addition, my neighbor makes the mistake of damaging me my fence (not voluntarily) so amicable observation Amount repair 350 € so sinister at my charge on insurance.
Thank you Direct Assurance I had been insured for 14 years without any claim ...</v>
      </c>
    </row>
    <row r="713" ht="15.75" customHeight="1">
      <c r="A713" s="2">
        <v>1.0</v>
      </c>
      <c r="B713" s="2" t="s">
        <v>2010</v>
      </c>
      <c r="C713" s="2" t="s">
        <v>2011</v>
      </c>
      <c r="D713" s="2" t="s">
        <v>434</v>
      </c>
      <c r="E713" s="2" t="s">
        <v>14</v>
      </c>
      <c r="F713" s="2" t="s">
        <v>15</v>
      </c>
      <c r="G713" s="2" t="s">
        <v>2012</v>
      </c>
      <c r="H713" s="2" t="s">
        <v>58</v>
      </c>
      <c r="I713" s="2" t="str">
        <f>IFERROR(__xludf.DUMMYFUNCTION("GOOGLETRANSLATE(C713,""fr"",""en"")"),"Flee this insurance The brokers announce options and ultimately on the contract is something else ... And the advisers are unpleasant and some allow themselves to blow so much have the bored assurances to flee.
A good hearing ....")</f>
        <v>Flee this insurance The brokers announce options and ultimately on the contract is something else ... And the advisers are unpleasant and some allow themselves to blow so much have the bored assurances to flee.
A good hearing ....</v>
      </c>
    </row>
    <row r="714" ht="15.75" customHeight="1">
      <c r="A714" s="2">
        <v>5.0</v>
      </c>
      <c r="B714" s="2" t="s">
        <v>2013</v>
      </c>
      <c r="C714" s="2" t="s">
        <v>2014</v>
      </c>
      <c r="D714" s="2" t="s">
        <v>146</v>
      </c>
      <c r="E714" s="2" t="s">
        <v>52</v>
      </c>
      <c r="F714" s="2" t="s">
        <v>15</v>
      </c>
      <c r="G714" s="2" t="s">
        <v>620</v>
      </c>
      <c r="H714" s="2" t="s">
        <v>23</v>
      </c>
      <c r="I714" s="2" t="str">
        <f>IFERROR(__xludf.DUMMYFUNCTION("GOOGLETRANSLATE(C714,""fr"",""en"")"),"Simple to set up, clear offers
Cheaper young driver insurance than competition on all comparators.
Very easy to use site
Thank you April
")</f>
        <v>Simple to set up, clear offers
Cheaper young driver insurance than competition on all comparators.
Very easy to use site
Thank you April
</v>
      </c>
    </row>
    <row r="715" ht="15.75" customHeight="1">
      <c r="A715" s="2">
        <v>3.0</v>
      </c>
      <c r="B715" s="2" t="s">
        <v>2015</v>
      </c>
      <c r="C715" s="2" t="s">
        <v>2016</v>
      </c>
      <c r="D715" s="2" t="s">
        <v>32</v>
      </c>
      <c r="E715" s="2" t="s">
        <v>21</v>
      </c>
      <c r="F715" s="2" t="s">
        <v>15</v>
      </c>
      <c r="G715" s="2" t="s">
        <v>1187</v>
      </c>
      <c r="H715" s="2" t="s">
        <v>38</v>
      </c>
      <c r="I715" s="2" t="str">
        <f>IFERROR(__xludf.DUMMYFUNCTION("GOOGLETRANSLATE(C715,""fr"",""en"")"),"Ok I am satisfied with the service, prices and the quality of the site.
I hope everything will go well.
And that the service will be nikel, and faithful to commitment")</f>
        <v>Ok I am satisfied with the service, prices and the quality of the site.
I hope everything will go well.
And that the service will be nikel, and faithful to commitment</v>
      </c>
    </row>
    <row r="716" ht="15.75" customHeight="1">
      <c r="A716" s="2">
        <v>5.0</v>
      </c>
      <c r="B716" s="2" t="s">
        <v>2017</v>
      </c>
      <c r="C716" s="2" t="s">
        <v>2018</v>
      </c>
      <c r="D716" s="2" t="s">
        <v>106</v>
      </c>
      <c r="E716" s="2" t="s">
        <v>14</v>
      </c>
      <c r="F716" s="2" t="s">
        <v>15</v>
      </c>
      <c r="G716" s="2" t="s">
        <v>53</v>
      </c>
      <c r="H716" s="2" t="s">
        <v>54</v>
      </c>
      <c r="I716" s="2" t="str">
        <f>IFERROR(__xludf.DUMMYFUNCTION("GOOGLETRANSLATE(C716,""fr"",""en"")"),"Rawane was very nice and very attentive, I hope to fall back on him for my next question. I am very satisfied with the proposed tariffs, they correspond to my needs and my budget. See you soon!")</f>
        <v>Rawane was very nice and very attentive, I hope to fall back on him for my next question. I am very satisfied with the proposed tariffs, they correspond to my needs and my budget. See you soon!</v>
      </c>
    </row>
    <row r="717" ht="15.75" customHeight="1">
      <c r="A717" s="2">
        <v>1.0</v>
      </c>
      <c r="B717" s="2" t="s">
        <v>2019</v>
      </c>
      <c r="C717" s="2" t="s">
        <v>2020</v>
      </c>
      <c r="D717" s="2" t="s">
        <v>186</v>
      </c>
      <c r="E717" s="2" t="s">
        <v>42</v>
      </c>
      <c r="F717" s="2" t="s">
        <v>15</v>
      </c>
      <c r="G717" s="2" t="s">
        <v>2021</v>
      </c>
      <c r="H717" s="2" t="s">
        <v>331</v>
      </c>
      <c r="I717" s="2" t="str">
        <f>IFERROR(__xludf.DUMMYFUNCTION("GOOGLETRANSLATE(C717,""fr"",""en"")"),"Subscriber for several decades at Pacifica, I had a water damage which damaged two walls of a room. One of the two walls carried further the traces of condensation, the damage of which was much less important. Taking the pretext of these traces of condens"&amp;"ation but not contesting the damage due to the water leak, Pacifica refused to take care of this wall even when I proposed to share the costs.
This pushed me to change my insurer and my premiums were divided by two.
")</f>
        <v>Subscriber for several decades at Pacifica, I had a water damage which damaged two walls of a room. One of the two walls carried further the traces of condensation, the damage of which was much less important. Taking the pretext of these traces of condensation but not contesting the damage due to the water leak, Pacifica refused to take care of this wall even when I proposed to share the costs.
This pushed me to change my insurer and my premiums were divided by two.
</v>
      </c>
    </row>
    <row r="718" ht="15.75" customHeight="1">
      <c r="A718" s="2">
        <v>5.0</v>
      </c>
      <c r="B718" s="2" t="s">
        <v>2022</v>
      </c>
      <c r="C718" s="2" t="s">
        <v>2023</v>
      </c>
      <c r="D718" s="2" t="s">
        <v>32</v>
      </c>
      <c r="E718" s="2" t="s">
        <v>21</v>
      </c>
      <c r="F718" s="2" t="s">
        <v>15</v>
      </c>
      <c r="G718" s="2" t="s">
        <v>1082</v>
      </c>
      <c r="H718" s="2" t="s">
        <v>54</v>
      </c>
      <c r="I718" s="2" t="str">
        <f>IFERROR(__xludf.DUMMYFUNCTION("GOOGLETRANSLATE(C718,""fr"",""en"")"),"Thank you for your quick return I am very satisfied thank you very much and highly recommend you. Thanks to you I will be able to go to work with my new cars thank you")</f>
        <v>Thank you for your quick return I am very satisfied thank you very much and highly recommend you. Thanks to you I will be able to go to work with my new cars thank you</v>
      </c>
    </row>
    <row r="719" ht="15.75" customHeight="1">
      <c r="A719" s="2">
        <v>1.0</v>
      </c>
      <c r="B719" s="2" t="s">
        <v>2024</v>
      </c>
      <c r="C719" s="2" t="s">
        <v>2025</v>
      </c>
      <c r="D719" s="2" t="s">
        <v>32</v>
      </c>
      <c r="E719" s="2" t="s">
        <v>21</v>
      </c>
      <c r="F719" s="2" t="s">
        <v>15</v>
      </c>
      <c r="G719" s="2" t="s">
        <v>188</v>
      </c>
      <c r="H719" s="2" t="s">
        <v>188</v>
      </c>
      <c r="I719" s="2" t="str">
        <f>IFERROR(__xludf.DUMMYFUNCTION("GOOGLETRANSLATE(C719,""fr"",""en"")"),"Incompetent, everything becomes complicated for the slightest request (something that is not in other insurance centers). Cessation of contract is also very complicated and takes a lot of time. I do not recommend this insurer at all, do not waste your tim"&amp;"e there is better elsewhere")</f>
        <v>Incompetent, everything becomes complicated for the slightest request (something that is not in other insurance centers). Cessation of contract is also very complicated and takes a lot of time. I do not recommend this insurer at all, do not waste your time there is better elsewhere</v>
      </c>
    </row>
    <row r="720" ht="15.75" customHeight="1">
      <c r="A720" s="2">
        <v>1.0</v>
      </c>
      <c r="B720" s="2" t="s">
        <v>2026</v>
      </c>
      <c r="C720" s="2" t="s">
        <v>2027</v>
      </c>
      <c r="D720" s="2" t="s">
        <v>434</v>
      </c>
      <c r="E720" s="2" t="s">
        <v>14</v>
      </c>
      <c r="F720" s="2" t="s">
        <v>15</v>
      </c>
      <c r="G720" s="2" t="s">
        <v>388</v>
      </c>
      <c r="H720" s="2" t="s">
        <v>54</v>
      </c>
      <c r="I720" s="2" t="str">
        <f>IFERROR(__xludf.DUMMYFUNCTION("GOOGLETRANSLATE(C720,""fr"",""en"")"),"At the beginning it was brand new. I passed an email that remained unanswered. I sent an osteopath invoice and still no answer. It is not enough to catch customers you have to continue to pamper them. I wait a bit if there is no improvement I would change"&amp;".")</f>
        <v>At the beginning it was brand new. I passed an email that remained unanswered. I sent an osteopath invoice and still no answer. It is not enough to catch customers you have to continue to pamper them. I wait a bit if there is no improvement I would change.</v>
      </c>
    </row>
    <row r="721" ht="15.75" customHeight="1">
      <c r="A721" s="2">
        <v>4.0</v>
      </c>
      <c r="B721" s="2" t="s">
        <v>2028</v>
      </c>
      <c r="C721" s="2" t="s">
        <v>2029</v>
      </c>
      <c r="D721" s="2" t="s">
        <v>106</v>
      </c>
      <c r="E721" s="2" t="s">
        <v>14</v>
      </c>
      <c r="F721" s="2" t="s">
        <v>15</v>
      </c>
      <c r="G721" s="2" t="s">
        <v>2030</v>
      </c>
      <c r="H721" s="2" t="s">
        <v>804</v>
      </c>
      <c r="I721" s="2" t="str">
        <f>IFERROR(__xludf.DUMMYFUNCTION("GOOGLETRANSLATE(C721,""fr"",""en"")"),"I was taken care of on the phone by a very friendly pleasant person who knows super good work.")</f>
        <v>I was taken care of on the phone by a very friendly pleasant person who knows super good work.</v>
      </c>
    </row>
    <row r="722" ht="15.75" customHeight="1">
      <c r="A722" s="2">
        <v>5.0</v>
      </c>
      <c r="B722" s="2" t="s">
        <v>2031</v>
      </c>
      <c r="C722" s="2" t="s">
        <v>2032</v>
      </c>
      <c r="D722" s="2" t="s">
        <v>32</v>
      </c>
      <c r="E722" s="2" t="s">
        <v>21</v>
      </c>
      <c r="F722" s="2" t="s">
        <v>15</v>
      </c>
      <c r="G722" s="2" t="s">
        <v>1841</v>
      </c>
      <c r="H722" s="2" t="s">
        <v>156</v>
      </c>
      <c r="I722" s="2" t="str">
        <f>IFERROR(__xludf.DUMMYFUNCTION("GOOGLETRANSLATE(C722,""fr"",""en"")"),"To derogate from the rule which consists in expressing his setbacks on this forum, here is the testimony of a customer completely satisfied with direct insurance.
2 months ago I was the victim of an attempted theft of my BMW 520D vehicle parked in my own"&amp;" courtyard closed by a large gate. All electronics have been properly dismantled without any damage on the dashboard and the central console: GPS flight, screen, joystick Idrive, computer, multimedia system ... and this without any break -in (uncluttered "&amp;"windows and intact door handles) .
Complaint filed with the gendarmerie and claim declared to Direct Insurance.
I could have ""been able"" to break my windows to be sheltered from any freight -free flight dispute but my car being equipped with the ""Con"&amp;"nected Drive"" system from BMW, the ""Mouse Hacking"" or electronic flight being possible on this type of Vehicle, I preferred to make my statement in good conscience.
The expertise was made at the garage during the following week with a counter visit to"&amp;" my home to verify the conditions of access and parking.
The expert report concludes that an attempted theft without break -in.
The sinister service and then the Direct Insurance Risk Study Study took charge of managing the file and took 2.5 months to r"&amp;"ule on taking charge of this flight.
During these 2.5 months I asked the telephone reception (1 time a week), then after directly the claim service and finally the risk study service to be informed of the advancement of the file.
Each time I had availab"&amp;"le interlocutors (or when they are not they have always reminded me) and all were attentive and listening to my questions and remarks.
They were cordial and reassuring even if they could not provide final answers.
A disaster of this importance (€ 15,000"&amp;" in repairs) and its nature (Mouse Jacking without break -in) requires in -depth technical investigation to see if it is possible or not on this type of vehicle.
This finally led to the care by direct insurance of this disaster.
I would like to thank my"&amp;" various interlocutors of Direct Insurance for their welcome and their attention to process this delicate file because I still lived 2 stressful months but ultimately with a positive outcome.
I conclude by adding this last information: I asked for a quot"&amp;"e for the assurance of a BMW to buy from a mutual (X not to name it)
The price is 2 times higher than the price offered by Direct Insurance and my precise question concerning the Jacking Mouse or Electronic Flight without break -in, my interlocutor said "&amp;"that the flightless flight is not covered.
It's up to you to draw your conclusions.")</f>
        <v>To derogate from the rule which consists in expressing his setbacks on this forum, here is the testimony of a customer completely satisfied with direct insurance.
2 months ago I was the victim of an attempted theft of my BMW 520D vehicle parked in my own courtyard closed by a large gate. All electronics have been properly dismantled without any damage on the dashboard and the central console: GPS flight, screen, joystick Idrive, computer, multimedia system ... and this without any break -in (uncluttered windows and intact door handles) .
Complaint filed with the gendarmerie and claim declared to Direct Insurance.
I could have "been able" to break my windows to be sheltered from any freight -free flight dispute but my car being equipped with the "Connected Drive" system from BMW, the "Mouse Hacking" or electronic flight being possible on this type of Vehicle, I preferred to make my statement in good conscience.
The expertise was made at the garage during the following week with a counter visit to my home to verify the conditions of access and parking.
The expert report concludes that an attempted theft without break -in.
The sinister service and then the Direct Insurance Risk Study Study took charge of managing the file and took 2.5 months to rule on taking charge of this flight.
During these 2.5 months I asked the telephone reception (1 time a week), then after directly the claim service and finally the risk study service to be informed of the advancement of the file.
Each time I had available interlocutors (or when they are not they have always reminded me) and all were attentive and listening to my questions and remarks.
They were cordial and reassuring even if they could not provide final answers.
A disaster of this importance (€ 15,000 in repairs) and its nature (Mouse Jacking without break -in) requires in -depth technical investigation to see if it is possible or not on this type of vehicle.
This finally led to the care by direct insurance of this disaster.
I would like to thank my various interlocutors of Direct Insurance for their welcome and their attention to process this delicate file because I still lived 2 stressful months but ultimately with a positive outcome.
I conclude by adding this last information: I asked for a quote for the assurance of a BMW to buy from a mutual (X not to name it)
The price is 2 times higher than the price offered by Direct Insurance and my precise question concerning the Jacking Mouse or Electronic Flight without break -in, my interlocutor said that the flightless flight is not covered.
It's up to you to draw your conclusions.</v>
      </c>
    </row>
    <row r="723" ht="15.75" customHeight="1">
      <c r="A723" s="2">
        <v>5.0</v>
      </c>
      <c r="B723" s="2" t="s">
        <v>2033</v>
      </c>
      <c r="C723" s="2" t="s">
        <v>2034</v>
      </c>
      <c r="D723" s="2" t="s">
        <v>106</v>
      </c>
      <c r="E723" s="2" t="s">
        <v>14</v>
      </c>
      <c r="F723" s="2" t="s">
        <v>15</v>
      </c>
      <c r="G723" s="2" t="s">
        <v>72</v>
      </c>
      <c r="H723" s="2" t="s">
        <v>58</v>
      </c>
      <c r="I723" s="2" t="str">
        <f>IFERROR(__xludf.DUMMYFUNCTION("GOOGLETRANSLATE(C723,""fr"",""en"")"),"HELLO
I was well received by ABO to guide me in my first connection
On my adherent account by telephonne I thank you
Regards Mr Pagnier")</f>
        <v>HELLO
I was well received by ABO to guide me in my first connection
On my adherent account by telephonne I thank you
Regards Mr Pagnier</v>
      </c>
    </row>
    <row r="724" ht="15.75" customHeight="1">
      <c r="A724" s="2">
        <v>1.0</v>
      </c>
      <c r="B724" s="2" t="s">
        <v>2035</v>
      </c>
      <c r="C724" s="2" t="s">
        <v>2036</v>
      </c>
      <c r="D724" s="2" t="s">
        <v>670</v>
      </c>
      <c r="E724" s="2" t="s">
        <v>14</v>
      </c>
      <c r="F724" s="2" t="s">
        <v>15</v>
      </c>
      <c r="G724" s="2" t="s">
        <v>2037</v>
      </c>
      <c r="H724" s="2" t="s">
        <v>179</v>
      </c>
      <c r="I724" s="2" t="str">
        <f>IFERROR(__xludf.DUMMYFUNCTION("GOOGLETRANSLATE(C724,""fr"",""en"")"),"About Cegema; Mutual health insurance. No contact with the councilors .VS Main 20 minutes at Tel !!!! and vs say ns vs will contact and never calls !!!! the reimbursements leave something to be desired !!!! Zero points to this mutual. I sent a registered "&amp;"termination letter on May 31, 2021, the mail well received by Cegema Villeneuve-Loubet 06272; Reception notice in return !!! but still no news from them ??? 0000000000")</f>
        <v>About Cegema; Mutual health insurance. No contact with the councilors .VS Main 20 minutes at Tel !!!! and vs say ns vs will contact and never calls !!!! the reimbursements leave something to be desired !!!! Zero points to this mutual. I sent a registered termination letter on May 31, 2021, the mail well received by Cegema Villeneuve-Loubet 06272; Reception notice in return !!! but still no news from them ??? 0000000000</v>
      </c>
    </row>
    <row r="725" ht="15.75" customHeight="1">
      <c r="A725" s="2">
        <v>4.0</v>
      </c>
      <c r="B725" s="2" t="s">
        <v>2038</v>
      </c>
      <c r="C725" s="2" t="s">
        <v>2039</v>
      </c>
      <c r="D725" s="2" t="s">
        <v>1921</v>
      </c>
      <c r="E725" s="2" t="s">
        <v>52</v>
      </c>
      <c r="F725" s="2" t="s">
        <v>15</v>
      </c>
      <c r="G725" s="2" t="s">
        <v>2040</v>
      </c>
      <c r="H725" s="2" t="s">
        <v>784</v>
      </c>
      <c r="I725" s="2" t="str">
        <f>IFERROR(__xludf.DUMMYFUNCTION("GOOGLETRANSLATE(C725,""fr"",""en"")"),"Old customer of the Mutuelle des Motards, I had a double sinister flight (car and motorcycle, during a burglary of the house). My file was taken care of immediately. Welcome telephone and good advice. Full refund and within record deadlines !! I don't wis"&amp;"h anyone a disaster, but when it happens, it's great to have a good insurer! Bravo, the mutual of bikers, and thank you !!")</f>
        <v>Old customer of the Mutuelle des Motards, I had a double sinister flight (car and motorcycle, during a burglary of the house). My file was taken care of immediately. Welcome telephone and good advice. Full refund and within record deadlines !! I don't wish anyone a disaster, but when it happens, it's great to have a good insurer! Bravo, the mutual of bikers, and thank you !!</v>
      </c>
    </row>
    <row r="726" ht="15.75" customHeight="1">
      <c r="A726" s="2">
        <v>5.0</v>
      </c>
      <c r="B726" s="2" t="s">
        <v>2041</v>
      </c>
      <c r="C726" s="2" t="s">
        <v>2042</v>
      </c>
      <c r="D726" s="2" t="s">
        <v>32</v>
      </c>
      <c r="E726" s="2" t="s">
        <v>21</v>
      </c>
      <c r="F726" s="2" t="s">
        <v>15</v>
      </c>
      <c r="G726" s="2" t="s">
        <v>730</v>
      </c>
      <c r="H726" s="2" t="s">
        <v>38</v>
      </c>
      <c r="I726" s="2" t="str">
        <f>IFERROR(__xludf.DUMMYFUNCTION("GOOGLETRANSLATE(C726,""fr"",""en"")"),"Good value for money, possibility to adapt your contract with many options. The site is clear and practical, the first telephone contact was good.")</f>
        <v>Good value for money, possibility to adapt your contract with many options. The site is clear and practical, the first telephone contact was good.</v>
      </c>
    </row>
    <row r="727" ht="15.75" customHeight="1">
      <c r="A727" s="2">
        <v>5.0</v>
      </c>
      <c r="B727" s="2" t="s">
        <v>2043</v>
      </c>
      <c r="C727" s="2" t="s">
        <v>2044</v>
      </c>
      <c r="D727" s="2" t="s">
        <v>186</v>
      </c>
      <c r="E727" s="2" t="s">
        <v>42</v>
      </c>
      <c r="F727" s="2" t="s">
        <v>15</v>
      </c>
      <c r="G727" s="2" t="s">
        <v>1052</v>
      </c>
      <c r="H727" s="2" t="s">
        <v>87</v>
      </c>
      <c r="I727" s="2" t="str">
        <f>IFERROR(__xludf.DUMMYFUNCTION("GOOGLETRANSLATE(C727,""fr"",""en"")"),"Very satisfied with the house's file for the work.
And sincerely thanks you
Thank you for the Pacifica telephone reception is serious insurance")</f>
        <v>Very satisfied with the house's file for the work.
And sincerely thanks you
Thank you for the Pacifica telephone reception is serious insurance</v>
      </c>
    </row>
    <row r="728" ht="15.75" customHeight="1">
      <c r="A728" s="2">
        <v>2.0</v>
      </c>
      <c r="B728" s="2" t="s">
        <v>2045</v>
      </c>
      <c r="C728" s="2" t="s">
        <v>2046</v>
      </c>
      <c r="D728" s="2" t="s">
        <v>80</v>
      </c>
      <c r="E728" s="2" t="s">
        <v>14</v>
      </c>
      <c r="F728" s="2" t="s">
        <v>15</v>
      </c>
      <c r="G728" s="2" t="s">
        <v>38</v>
      </c>
      <c r="H728" s="2" t="s">
        <v>38</v>
      </c>
      <c r="I728" s="2" t="str">
        <f>IFERROR(__xludf.DUMMYFUNCTION("GOOGLETRANSLATE(C728,""fr"",""en"")"),"If you have health problems, run away, the management of your file by the advisers will only accentuate them! The follow -up is unacceptable, everything is complicated, even when you have the public hospital operated, you have to fight to obtain paid acts"&amp;" for landscape format to hope to be reimbursed. The MGEN does not allow any fluidity between the care center and the patient. I am still waiting for reimbursements dating from December, (we are in July) following an intervention at the Trousseau hospital "&amp;"in Tours! The MGEN Poitiers is asking me today to make a complaint letter to management. In my case, this is a reimbursement of bed costs to have been sleeping in my daughter's room for heavy intervention, blood samples ... Totally unacceptable!")</f>
        <v>If you have health problems, run away, the management of your file by the advisers will only accentuate them! The follow -up is unacceptable, everything is complicated, even when you have the public hospital operated, you have to fight to obtain paid acts for landscape format to hope to be reimbursed. The MGEN does not allow any fluidity between the care center and the patient. I am still waiting for reimbursements dating from December, (we are in July) following an intervention at the Trousseau hospital in Tours! The MGEN Poitiers is asking me today to make a complaint letter to management. In my case, this is a reimbursement of bed costs to have been sleeping in my daughter's room for heavy intervention, blood samples ... Totally unacceptable!</v>
      </c>
    </row>
    <row r="729" ht="15.75" customHeight="1">
      <c r="A729" s="2">
        <v>1.0</v>
      </c>
      <c r="B729" s="2" t="s">
        <v>2047</v>
      </c>
      <c r="C729" s="2" t="s">
        <v>2048</v>
      </c>
      <c r="D729" s="2" t="s">
        <v>222</v>
      </c>
      <c r="E729" s="2" t="s">
        <v>42</v>
      </c>
      <c r="F729" s="2" t="s">
        <v>15</v>
      </c>
      <c r="G729" s="2" t="s">
        <v>1384</v>
      </c>
      <c r="H729" s="2" t="s">
        <v>784</v>
      </c>
      <c r="I729" s="2" t="str">
        <f>IFERROR(__xludf.DUMMYFUNCTION("GOOGLETRANSLATE(C729,""fr"",""en"")"),"Hello,
Following a water damage linked to a pipe built in a wall, our advisor sends us back to the number of the platform located in Morocco (which we did not know yet). A manager takes our call and assures us that all the repairs will be supported but t"&amp;"hat it is first necessary to search for the leak. We specify that we know where it is located thanks to our plumber. She does not want to know anything and mandates their business, a mandatory condition for repair to be taken care of. 5 days of waiting an"&amp;"d a technician comes to spot the flight (and surprise, it is well where we pension), breaks the wall and, by doing this, aggravates the situation by creating a new leak. Then he writes a report and leaves. Another 4 days of waiting to learn that ultimatel"&amp;"y for insurance the file is closed (work completed for them) and that the repair will not be taken care of. The company billed 462 euros to insurance which claims 166 euros in franchise for a hole in a wall and a new leak. Since then, no news, no one answ"&amp;"ers neither the phone nor to our emails. Our advisor in France is amazed at the situation and tries to obtain a reminder of the platform but nothing. We stay with a water leak in our house, a gaping hole and today have nothing concrete. According to our A"&amp;"XA customer service, the work is completed and we have to pay the franchise. I thought I had chosen, 16 years ago, insurance for its proximity ... It has changed, more human, no more consideration of customers, we are just considered a source of profit .."&amp;". because Contributions are increasing year and year to be covered less and less.")</f>
        <v>Hello,
Following a water damage linked to a pipe built in a wall, our advisor sends us back to the number of the platform located in Morocco (which we did not know yet). A manager takes our call and assures us that all the repairs will be supported but that it is first necessary to search for the leak. We specify that we know where it is located thanks to our plumber. She does not want to know anything and mandates their business, a mandatory condition for repair to be taken care of. 5 days of waiting and a technician comes to spot the flight (and surprise, it is well where we pension), breaks the wall and, by doing this, aggravates the situation by creating a new leak. Then he writes a report and leaves. Another 4 days of waiting to learn that ultimately for insurance the file is closed (work completed for them) and that the repair will not be taken care of. The company billed 462 euros to insurance which claims 166 euros in franchise for a hole in a wall and a new leak. Since then, no news, no one answers neither the phone nor to our emails. Our advisor in France is amazed at the situation and tries to obtain a reminder of the platform but nothing. We stay with a water leak in our house, a gaping hole and today have nothing concrete. According to our AXA customer service, the work is completed and we have to pay the franchise. I thought I had chosen, 16 years ago, insurance for its proximity ... It has changed, more human, no more consideration of customers, we are just considered a source of profit ... because Contributions are increasing year and year to be covered less and less.</v>
      </c>
    </row>
    <row r="730" ht="15.75" customHeight="1">
      <c r="A730" s="2">
        <v>3.0</v>
      </c>
      <c r="B730" s="2" t="s">
        <v>2049</v>
      </c>
      <c r="C730" s="2" t="s">
        <v>2050</v>
      </c>
      <c r="D730" s="2" t="s">
        <v>32</v>
      </c>
      <c r="E730" s="2" t="s">
        <v>21</v>
      </c>
      <c r="F730" s="2" t="s">
        <v>15</v>
      </c>
      <c r="G730" s="2" t="s">
        <v>2051</v>
      </c>
      <c r="H730" s="2" t="s">
        <v>54</v>
      </c>
      <c r="I730" s="2" t="str">
        <f>IFERROR(__xludf.DUMMYFUNCTION("GOOGLETRANSLATE(C730,""fr"",""en"")"),"Hello, simple folder and easy to fill in less than 15 minutes, nevertheless I find the rates a little high. To see in time if the reimbursements and or reactivity will be up to par.")</f>
        <v>Hello, simple folder and easy to fill in less than 15 minutes, nevertheless I find the rates a little high. To see in time if the reimbursements and or reactivity will be up to par.</v>
      </c>
    </row>
    <row r="731" ht="15.75" customHeight="1">
      <c r="A731" s="2">
        <v>2.0</v>
      </c>
      <c r="B731" s="2" t="s">
        <v>2052</v>
      </c>
      <c r="C731" s="2" t="s">
        <v>2053</v>
      </c>
      <c r="D731" s="2" t="s">
        <v>150</v>
      </c>
      <c r="E731" s="2" t="s">
        <v>21</v>
      </c>
      <c r="F731" s="2" t="s">
        <v>15</v>
      </c>
      <c r="G731" s="2" t="s">
        <v>2054</v>
      </c>
      <c r="H731" s="2" t="s">
        <v>327</v>
      </c>
      <c r="I731" s="2" t="str">
        <f>IFERROR(__xludf.DUMMYFUNCTION("GOOGLETRANSLATE(C731,""fr"",""en"")"),"Victim of a road accident No effort made by the Macif to defend my good faith I am totally irresponsible and not wanting to go further than an observation filled with not correct ways by the opposing party and decides 50-50")</f>
        <v>Victim of a road accident No effort made by the Macif to defend my good faith I am totally irresponsible and not wanting to go further than an observation filled with not correct ways by the opposing party and decides 50-50</v>
      </c>
    </row>
    <row r="732" ht="15.75" customHeight="1">
      <c r="A732" s="2">
        <v>3.0</v>
      </c>
      <c r="B732" s="2" t="s">
        <v>2055</v>
      </c>
      <c r="C732" s="2" t="s">
        <v>2056</v>
      </c>
      <c r="D732" s="2" t="s">
        <v>32</v>
      </c>
      <c r="E732" s="2" t="s">
        <v>21</v>
      </c>
      <c r="F732" s="2" t="s">
        <v>15</v>
      </c>
      <c r="G732" s="2" t="s">
        <v>2057</v>
      </c>
      <c r="H732" s="2" t="s">
        <v>58</v>
      </c>
      <c r="I732" s="2" t="str">
        <f>IFERROR(__xludf.DUMMYFUNCTION("GOOGLETRANSLATE(C732,""fr"",""en"")"),"Quick subscription and very clear pack proposal.
Just payment of the first measurement and not very clear, nor the list of documents to send.")</f>
        <v>Quick subscription and very clear pack proposal.
Just payment of the first measurement and not very clear, nor the list of documents to send.</v>
      </c>
    </row>
    <row r="733" ht="15.75" customHeight="1">
      <c r="A733" s="2">
        <v>5.0</v>
      </c>
      <c r="B733" s="2" t="s">
        <v>2058</v>
      </c>
      <c r="C733" s="2" t="s">
        <v>2059</v>
      </c>
      <c r="D733" s="2" t="s">
        <v>32</v>
      </c>
      <c r="E733" s="2" t="s">
        <v>21</v>
      </c>
      <c r="F733" s="2" t="s">
        <v>15</v>
      </c>
      <c r="G733" s="2" t="s">
        <v>1940</v>
      </c>
      <c r="H733" s="2" t="s">
        <v>54</v>
      </c>
      <c r="I733" s="2" t="str">
        <f>IFERROR(__xludf.DUMMYFUNCTION("GOOGLETRANSLATE(C733,""fr"",""en"")"),"I am satisfied with your services the only problem I have is that you do not have the Mensieul payment
You have the insurance leader
THANK YOU")</f>
        <v>I am satisfied with your services the only problem I have is that you do not have the Mensieul payment
You have the insurance leader
THANK YOU</v>
      </c>
    </row>
    <row r="734" ht="15.75" customHeight="1">
      <c r="A734" s="2">
        <v>2.0</v>
      </c>
      <c r="B734" s="2" t="s">
        <v>2060</v>
      </c>
      <c r="C734" s="2" t="s">
        <v>2061</v>
      </c>
      <c r="D734" s="2" t="s">
        <v>146</v>
      </c>
      <c r="E734" s="2" t="s">
        <v>52</v>
      </c>
      <c r="F734" s="2" t="s">
        <v>15</v>
      </c>
      <c r="G734" s="2" t="s">
        <v>2062</v>
      </c>
      <c r="H734" s="2" t="s">
        <v>199</v>
      </c>
      <c r="I734" s="2" t="str">
        <f>IFERROR(__xludf.DUMMYFUNCTION("GOOGLETRANSLATE(C734,""fr"",""en"")"),"I am disappointed on the monitoring of claims, we are forced to run to information. In addition following my accident, as by chance my account is terminated without even being informed two months before by A/R knowing that before that, I had asked for a s"&amp;"uspension of contract which had been confirmed to me by this insurer. In addition, I do not even have access to my RI since my contract is terminated to subscribe to another insurer, despite several requests by email they do not care about it. . I am real"&amp;"ly disappointed and I strongly advise against this insurer, it is the hassle is the race for information etc etc ........ for those who want to know more do not hesitate to come and contact me by email. I am looking for insured in the same case because I "&amp;"grasp the repression of the CNIL fraud also.")</f>
        <v>I am disappointed on the monitoring of claims, we are forced to run to information. In addition following my accident, as by chance my account is terminated without even being informed two months before by A/R knowing that before that, I had asked for a suspension of contract which had been confirmed to me by this insurer. In addition, I do not even have access to my RI since my contract is terminated to subscribe to another insurer, despite several requests by email they do not care about it. . I am really disappointed and I strongly advise against this insurer, it is the hassle is the race for information etc etc ........ for those who want to know more do not hesitate to come and contact me by email. I am looking for insured in the same case because I grasp the repression of the CNIL fraud also.</v>
      </c>
    </row>
    <row r="735" ht="15.75" customHeight="1">
      <c r="A735" s="2">
        <v>2.0</v>
      </c>
      <c r="B735" s="2" t="s">
        <v>2063</v>
      </c>
      <c r="C735" s="2" t="s">
        <v>2064</v>
      </c>
      <c r="D735" s="2" t="s">
        <v>32</v>
      </c>
      <c r="E735" s="2" t="s">
        <v>21</v>
      </c>
      <c r="F735" s="2" t="s">
        <v>15</v>
      </c>
      <c r="G735" s="2" t="s">
        <v>466</v>
      </c>
      <c r="H735" s="2" t="s">
        <v>179</v>
      </c>
      <c r="I735" s="2" t="str">
        <f>IFERROR(__xludf.DUMMYFUNCTION("GOOGLETRANSLATE(C735,""fr"",""en"")"),"I already have problem of inconsistency between the quote and the contract you ask me to sign., So before I even start my insurance contract.")</f>
        <v>I already have problem of inconsistency between the quote and the contract you ask me to sign., So before I even start my insurance contract.</v>
      </c>
    </row>
    <row r="736" ht="15.75" customHeight="1">
      <c r="A736" s="2">
        <v>1.0</v>
      </c>
      <c r="B736" s="2" t="s">
        <v>2065</v>
      </c>
      <c r="C736" s="2" t="s">
        <v>2066</v>
      </c>
      <c r="D736" s="2" t="s">
        <v>146</v>
      </c>
      <c r="E736" s="2" t="s">
        <v>52</v>
      </c>
      <c r="F736" s="2" t="s">
        <v>15</v>
      </c>
      <c r="G736" s="2" t="s">
        <v>391</v>
      </c>
      <c r="H736" s="2" t="s">
        <v>54</v>
      </c>
      <c r="I736" s="2" t="str">
        <f>IFERROR(__xludf.DUMMYFUNCTION("GOOGLETRANSLATE(C736,""fr"",""en"")"),"A complicated payment for the rest The price is correct impatiently the full quote. Thank you for your attention. Pending my green card. Thanks")</f>
        <v>A complicated payment for the rest The price is correct impatiently the full quote. Thank you for your attention. Pending my green card. Thanks</v>
      </c>
    </row>
    <row r="737" ht="15.75" customHeight="1">
      <c r="A737" s="2">
        <v>1.0</v>
      </c>
      <c r="B737" s="2" t="s">
        <v>2067</v>
      </c>
      <c r="C737" s="2" t="s">
        <v>2068</v>
      </c>
      <c r="D737" s="2" t="s">
        <v>20</v>
      </c>
      <c r="E737" s="2" t="s">
        <v>21</v>
      </c>
      <c r="F737" s="2" t="s">
        <v>15</v>
      </c>
      <c r="G737" s="2" t="s">
        <v>699</v>
      </c>
      <c r="H737" s="2" t="s">
        <v>156</v>
      </c>
      <c r="I737" s="2" t="str">
        <f>IFERROR(__xludf.DUMMYFUNCTION("GOOGLETRANSLATE(C737,""fr"",""en"")"),"hello, 
I have an increase in contributions on the first year of 100 euros without having declared during this year any claim or having made any contract modification.
Having contacted the quality service I have no answer to date since 06/09/17 so goodb"&amp;"ye the olive tree ......
")</f>
        <v>hello, 
I have an increase in contributions on the first year of 100 euros without having declared during this year any claim or having made any contract modification.
Having contacted the quality service I have no answer to date since 06/09/17 so goodbye the olive tree ......
</v>
      </c>
    </row>
    <row r="738" ht="15.75" customHeight="1">
      <c r="A738" s="2">
        <v>2.0</v>
      </c>
      <c r="B738" s="2" t="s">
        <v>2069</v>
      </c>
      <c r="C738" s="2" t="s">
        <v>2070</v>
      </c>
      <c r="D738" s="2" t="s">
        <v>222</v>
      </c>
      <c r="E738" s="2" t="s">
        <v>21</v>
      </c>
      <c r="F738" s="2" t="s">
        <v>15</v>
      </c>
      <c r="G738" s="2" t="s">
        <v>2071</v>
      </c>
      <c r="H738" s="2" t="s">
        <v>504</v>
      </c>
      <c r="I738" s="2" t="str">
        <f>IFERROR(__xludf.DUMMYFUNCTION("GOOGLETRANSLATE(C738,""fr"",""en"")"),"Following a non -responsible car accident AXA first confirmed the coverage of taxi costs as well as a vehicle loan as stipulating on my contract
In the end I had to move the taxi fees and I no longer have a replacement car I report at least 60 times to a"&amp;"xa a blow c yes a blow c no I get upset to cry and I am offered a catch in Direct charge with a rental company I take a taxi with my two young children arriving at the agency The care document is not in accordance with or professional are the words of the"&amp;" agency manager The document was in the form Excel and n No matter who can modify it any legal notices was written in short a document that my baker could have created himself
I go home without a car and in addition I pay the taxi fees from my pocket whi"&amp;"ch will not be reimbursed
Thank you axa to fuck in the air my Christmas holidays the outings planned with my children the pleasure of going to choose Christmas gifts")</f>
        <v>Following a non -responsible car accident AXA first confirmed the coverage of taxi costs as well as a vehicle loan as stipulating on my contract
In the end I had to move the taxi fees and I no longer have a replacement car I report at least 60 times to axa a blow c yes a blow c no I get upset to cry and I am offered a catch in Direct charge with a rental company I take a taxi with my two young children arriving at the agency The care document is not in accordance with or professional are the words of the agency manager The document was in the form Excel and n No matter who can modify it any legal notices was written in short a document that my baker could have created himself
I go home without a car and in addition I pay the taxi fees from my pocket which will not be reimbursed
Thank you axa to fuck in the air my Christmas holidays the outings planned with my children the pleasure of going to choose Christmas gifts</v>
      </c>
    </row>
    <row r="739" ht="15.75" customHeight="1">
      <c r="A739" s="2">
        <v>4.0</v>
      </c>
      <c r="B739" s="2" t="s">
        <v>2072</v>
      </c>
      <c r="C739" s="2" t="s">
        <v>2073</v>
      </c>
      <c r="D739" s="2" t="s">
        <v>20</v>
      </c>
      <c r="E739" s="2" t="s">
        <v>21</v>
      </c>
      <c r="F739" s="2" t="s">
        <v>15</v>
      </c>
      <c r="G739" s="2" t="s">
        <v>2057</v>
      </c>
      <c r="H739" s="2" t="s">
        <v>58</v>
      </c>
      <c r="I739" s="2" t="str">
        <f>IFERROR(__xludf.DUMMYFUNCTION("GOOGLETRANSLATE(C739,""fr"",""en"")")," I am satisfied with the price, concerning the service for the moment everything is fine, however, it remains very early to have a precise idea on the operation of online insurance? This is my first experience")</f>
        <v> I am satisfied with the price, concerning the service for the moment everything is fine, however, it remains very early to have a precise idea on the operation of online insurance? This is my first experience</v>
      </c>
    </row>
    <row r="740" ht="15.75" customHeight="1">
      <c r="A740" s="2">
        <v>5.0</v>
      </c>
      <c r="B740" s="2" t="s">
        <v>2074</v>
      </c>
      <c r="C740" s="2" t="s">
        <v>2075</v>
      </c>
      <c r="D740" s="2" t="s">
        <v>146</v>
      </c>
      <c r="E740" s="2" t="s">
        <v>52</v>
      </c>
      <c r="F740" s="2" t="s">
        <v>15</v>
      </c>
      <c r="G740" s="2" t="s">
        <v>2057</v>
      </c>
      <c r="H740" s="2" t="s">
        <v>58</v>
      </c>
      <c r="I740" s="2" t="str">
        <f>IFERROR(__xludf.DUMMYFUNCTION("GOOGLETRANSLATE(C740,""fr"",""en"")"),"I am satisfied with the price and the services offered. These are the best prices I could find for an insurance. Very fast ras")</f>
        <v>I am satisfied with the price and the services offered. These are the best prices I could find for an insurance. Very fast ras</v>
      </c>
    </row>
    <row r="741" ht="15.75" customHeight="1">
      <c r="A741" s="2">
        <v>3.0</v>
      </c>
      <c r="B741" s="2" t="s">
        <v>2076</v>
      </c>
      <c r="C741" s="2" t="s">
        <v>2077</v>
      </c>
      <c r="D741" s="2" t="s">
        <v>32</v>
      </c>
      <c r="E741" s="2" t="s">
        <v>21</v>
      </c>
      <c r="F741" s="2" t="s">
        <v>15</v>
      </c>
      <c r="G741" s="2" t="s">
        <v>1983</v>
      </c>
      <c r="H741" s="2" t="s">
        <v>58</v>
      </c>
      <c r="I741" s="2" t="str">
        <f>IFERROR(__xludf.DUMMYFUNCTION("GOOGLETRANSLATE(C741,""fr"",""en"")"),"The application is simple and the choices clear.
The prices seem correct compared to the competitors.
Not yet had to call in real case, to be confirmed.")</f>
        <v>The application is simple and the choices clear.
The prices seem correct compared to the competitors.
Not yet had to call in real case, to be confirmed.</v>
      </c>
    </row>
    <row r="742" ht="15.75" customHeight="1">
      <c r="A742" s="2">
        <v>4.0</v>
      </c>
      <c r="B742" s="2" t="s">
        <v>2078</v>
      </c>
      <c r="C742" s="2" t="s">
        <v>2079</v>
      </c>
      <c r="D742" s="2" t="s">
        <v>20</v>
      </c>
      <c r="E742" s="2" t="s">
        <v>21</v>
      </c>
      <c r="F742" s="2" t="s">
        <v>15</v>
      </c>
      <c r="G742" s="2" t="s">
        <v>661</v>
      </c>
      <c r="H742" s="2" t="s">
        <v>179</v>
      </c>
      <c r="I742" s="2" t="str">
        <f>IFERROR(__xludf.DUMMYFUNCTION("GOOGLETRANSLATE(C742,""fr"",""en"")"),"Fast and efficient, contact with a very friendly salesperson by phone.
clear explanations. Advantageous price for young drivers. To see later.")</f>
        <v>Fast and efficient, contact with a very friendly salesperson by phone.
clear explanations. Advantageous price for young drivers. To see later.</v>
      </c>
    </row>
    <row r="743" ht="15.75" customHeight="1">
      <c r="A743" s="2">
        <v>4.0</v>
      </c>
      <c r="B743" s="2" t="s">
        <v>2080</v>
      </c>
      <c r="C743" s="2" t="s">
        <v>2081</v>
      </c>
      <c r="D743" s="2" t="s">
        <v>106</v>
      </c>
      <c r="E743" s="2" t="s">
        <v>14</v>
      </c>
      <c r="F743" s="2" t="s">
        <v>15</v>
      </c>
      <c r="G743" s="2" t="s">
        <v>1052</v>
      </c>
      <c r="H743" s="2" t="s">
        <v>87</v>
      </c>
      <c r="I743" s="2" t="str">
        <f>IFERROR(__xludf.DUMMYFUNCTION("GOOGLETRANSLATE(C743,""fr"",""en"")"),"I had Emeline in contact, who was an excellent advisor, and who helped me create my account adhere,
Very satisfied with the 1st contact after signing my mutual contract.
Cordially")</f>
        <v>I had Emeline in contact, who was an excellent advisor, and who helped me create my account adhere,
Very satisfied with the 1st contact after signing my mutual contract.
Cordially</v>
      </c>
    </row>
    <row r="744" ht="15.75" customHeight="1">
      <c r="A744" s="2">
        <v>1.0</v>
      </c>
      <c r="B744" s="2" t="s">
        <v>2082</v>
      </c>
      <c r="C744" s="2" t="s">
        <v>2083</v>
      </c>
      <c r="D744" s="2" t="s">
        <v>807</v>
      </c>
      <c r="E744" s="2" t="s">
        <v>544</v>
      </c>
      <c r="F744" s="2" t="s">
        <v>15</v>
      </c>
      <c r="G744" s="2" t="s">
        <v>1796</v>
      </c>
      <c r="H744" s="2" t="s">
        <v>378</v>
      </c>
      <c r="I744" s="2" t="str">
        <f>IFERROR(__xludf.DUMMYFUNCTION("GOOGLETRANSLATE(C744,""fr"",""en"")"),"We made, by mistake, a transfer for the benefit of this company.
Since July we have not counted emails, emails, and telephone calls that we have made to ask them for the refund of this error.
Without success, communications remain very vague .... they d"&amp;"o not know ...
How to trust a business that works like this?
We all know the reputation of insurance, and with Malakoff we have the caricature.
We will involve our bank, paid and not guaranteed service, but we are no longer ready!")</f>
        <v>We made, by mistake, a transfer for the benefit of this company.
Since July we have not counted emails, emails, and telephone calls that we have made to ask them for the refund of this error.
Without success, communications remain very vague .... they do not know ...
How to trust a business that works like this?
We all know the reputation of insurance, and with Malakoff we have the caricature.
We will involve our bank, paid and not guaranteed service, but we are no longer ready!</v>
      </c>
    </row>
    <row r="745" ht="15.75" customHeight="1">
      <c r="A745" s="2">
        <v>4.0</v>
      </c>
      <c r="B745" s="2" t="s">
        <v>2084</v>
      </c>
      <c r="C745" s="2" t="s">
        <v>2085</v>
      </c>
      <c r="D745" s="2" t="s">
        <v>113</v>
      </c>
      <c r="E745" s="2" t="s">
        <v>21</v>
      </c>
      <c r="F745" s="2" t="s">
        <v>15</v>
      </c>
      <c r="G745" s="2" t="s">
        <v>2086</v>
      </c>
      <c r="H745" s="2" t="s">
        <v>29</v>
      </c>
      <c r="I745" s="2" t="str">
        <f>IFERROR(__xludf.DUMMYFUNCTION("GOOGLETRANSLATE(C745,""fr"",""en"")"),"Very good experience and advice received with all the MAIF services: in particular following a car failure for the speed of repatriation at home and the quality of the chosen automotive expert, with competent monitoring of the legal service. Therefore, we"&amp;" have a certain serenity and certainty of being well insured with the MAIF.")</f>
        <v>Very good experience and advice received with all the MAIF services: in particular following a car failure for the speed of repatriation at home and the quality of the chosen automotive expert, with competent monitoring of the legal service. Therefore, we have a certain serenity and certainty of being well insured with the MAIF.</v>
      </c>
    </row>
    <row r="746" ht="15.75" customHeight="1">
      <c r="A746" s="2">
        <v>1.0</v>
      </c>
      <c r="B746" s="2" t="s">
        <v>2087</v>
      </c>
      <c r="C746" s="2" t="s">
        <v>2088</v>
      </c>
      <c r="D746" s="2" t="s">
        <v>32</v>
      </c>
      <c r="E746" s="2" t="s">
        <v>21</v>
      </c>
      <c r="F746" s="2" t="s">
        <v>15</v>
      </c>
      <c r="G746" s="2" t="s">
        <v>1549</v>
      </c>
      <c r="H746" s="2" t="s">
        <v>95</v>
      </c>
      <c r="I746" s="2" t="str">
        <f>IFERROR(__xludf.DUMMYFUNCTION("GOOGLETRANSLATE(C746,""fr"",""en"")"),"I am dissatisfied with the price. For 3 years the price has continued to increase. I plan to terminate the contract.
The explanation provided by the advisers remain incomprehensible.")</f>
        <v>I am dissatisfied with the price. For 3 years the price has continued to increase. I plan to terminate the contract.
The explanation provided by the advisers remain incomprehensible.</v>
      </c>
    </row>
    <row r="747" ht="15.75" customHeight="1">
      <c r="A747" s="2">
        <v>5.0</v>
      </c>
      <c r="B747" s="2" t="s">
        <v>2089</v>
      </c>
      <c r="C747" s="2" t="s">
        <v>2090</v>
      </c>
      <c r="D747" s="2" t="s">
        <v>20</v>
      </c>
      <c r="E747" s="2" t="s">
        <v>21</v>
      </c>
      <c r="F747" s="2" t="s">
        <v>15</v>
      </c>
      <c r="G747" s="2" t="s">
        <v>2091</v>
      </c>
      <c r="H747" s="2" t="s">
        <v>48</v>
      </c>
      <c r="I747" s="2" t="str">
        <f>IFERROR(__xludf.DUMMYFUNCTION("GOOGLETRANSLATE(C747,""fr"",""en"")"),"Very good service, I recommend, after several telephonic calls I always see a very good welcome and a very good relationship with this team
")</f>
        <v>Very good service, I recommend, after several telephonic calls I always see a very good welcome and a very good relationship with this team
</v>
      </c>
    </row>
    <row r="748" ht="15.75" customHeight="1">
      <c r="A748" s="2">
        <v>3.0</v>
      </c>
      <c r="B748" s="2" t="s">
        <v>2092</v>
      </c>
      <c r="C748" s="2" t="s">
        <v>2093</v>
      </c>
      <c r="D748" s="2" t="s">
        <v>41</v>
      </c>
      <c r="E748" s="2" t="s">
        <v>21</v>
      </c>
      <c r="F748" s="2" t="s">
        <v>15</v>
      </c>
      <c r="G748" s="2" t="s">
        <v>2094</v>
      </c>
      <c r="H748" s="2" t="s">
        <v>29</v>
      </c>
      <c r="I748" s="2" t="str">
        <f>IFERROR(__xludf.DUMMYFUNCTION("GOOGLETRANSLATE(C748,""fr"",""en"")"),"We are very disappointed with Maaf. Knowing that we had 6 different contracts, they terminated my son with a responsible accident. It's beautiful to make the super advertisements to attract people, but Maaf does nothing to keep customers.")</f>
        <v>We are very disappointed with Maaf. Knowing that we had 6 different contracts, they terminated my son with a responsible accident. It's beautiful to make the super advertisements to attract people, but Maaf does nothing to keep customers.</v>
      </c>
    </row>
    <row r="749" ht="15.75" customHeight="1">
      <c r="A749" s="2">
        <v>1.0</v>
      </c>
      <c r="B749" s="2" t="s">
        <v>2095</v>
      </c>
      <c r="C749" s="2" t="s">
        <v>2096</v>
      </c>
      <c r="D749" s="2" t="s">
        <v>93</v>
      </c>
      <c r="E749" s="2" t="s">
        <v>42</v>
      </c>
      <c r="F749" s="2" t="s">
        <v>15</v>
      </c>
      <c r="G749" s="2" t="s">
        <v>2097</v>
      </c>
      <c r="H749" s="2" t="s">
        <v>406</v>
      </c>
      <c r="I749" s="2" t="str">
        <f>IFERROR(__xludf.DUMMYFUNCTION("GOOGLETRANSLATE(C749,""fr"",""en"")"),"In 2018 my 90 -year -old mother paid 620 euros for an apartment of 74m2, contract dating from 2004
After his death my company billed me 217 euros for this same apartment or 3 times cheaper
Allianz agency in Sevran Livry to flee")</f>
        <v>In 2018 my 90 -year -old mother paid 620 euros for an apartment of 74m2, contract dating from 2004
After his death my company billed me 217 euros for this same apartment or 3 times cheaper
Allianz agency in Sevran Livry to flee</v>
      </c>
    </row>
    <row r="750" ht="15.75" customHeight="1">
      <c r="A750" s="2">
        <v>4.0</v>
      </c>
      <c r="B750" s="2" t="s">
        <v>2098</v>
      </c>
      <c r="C750" s="2" t="s">
        <v>2099</v>
      </c>
      <c r="D750" s="2" t="s">
        <v>32</v>
      </c>
      <c r="E750" s="2" t="s">
        <v>21</v>
      </c>
      <c r="F750" s="2" t="s">
        <v>15</v>
      </c>
      <c r="G750" s="2" t="s">
        <v>48</v>
      </c>
      <c r="H750" s="2" t="s">
        <v>48</v>
      </c>
      <c r="I750" s="2" t="str">
        <f>IFERROR(__xludf.DUMMYFUNCTION("GOOGLETRANSLATE(C750,""fr"",""en"")"),"Very easy and practical to subscribe online
The site is very well constructed and I have not encountered no difficulties in subscribing online
I will recommend around me")</f>
        <v>Very easy and practical to subscribe online
The site is very well constructed and I have not encountered no difficulties in subscribing online
I will recommend around me</v>
      </c>
    </row>
    <row r="751" ht="15.75" customHeight="1">
      <c r="A751" s="2">
        <v>4.0</v>
      </c>
      <c r="B751" s="2" t="s">
        <v>2100</v>
      </c>
      <c r="C751" s="2" t="s">
        <v>2101</v>
      </c>
      <c r="D751" s="2" t="s">
        <v>20</v>
      </c>
      <c r="E751" s="2" t="s">
        <v>21</v>
      </c>
      <c r="F751" s="2" t="s">
        <v>15</v>
      </c>
      <c r="G751" s="2" t="s">
        <v>822</v>
      </c>
      <c r="H751" s="2" t="s">
        <v>54</v>
      </c>
      <c r="I751" s="2" t="str">
        <f>IFERROR(__xludf.DUMMYFUNCTION("GOOGLETRANSLATE(C751,""fr"",""en"")"),"I am satisfied with the service
I am satisfied with the price
I am satisfied with the contact
I am satisfied with the guarantees
I am satisfied with the deadline
I am satisfied as a whole")</f>
        <v>I am satisfied with the service
I am satisfied with the price
I am satisfied with the contact
I am satisfied with the guarantees
I am satisfied with the deadline
I am satisfied as a whole</v>
      </c>
    </row>
    <row r="752" ht="15.75" customHeight="1">
      <c r="A752" s="2">
        <v>1.0</v>
      </c>
      <c r="B752" s="2" t="s">
        <v>2102</v>
      </c>
      <c r="C752" s="2" t="s">
        <v>2103</v>
      </c>
      <c r="D752" s="2" t="s">
        <v>37</v>
      </c>
      <c r="E752" s="2" t="s">
        <v>21</v>
      </c>
      <c r="F752" s="2" t="s">
        <v>15</v>
      </c>
      <c r="G752" s="2" t="s">
        <v>1141</v>
      </c>
      <c r="H752" s="2" t="s">
        <v>458</v>
      </c>
      <c r="I752" s="2" t="str">
        <f>IFERROR(__xludf.DUMMYFUNCTION("GOOGLETRANSLATE(C752,""fr"",""en"")"),"Insurance to flee breaks of ice taken into account only for an element if you break 3 ice if to do without 90 € to 368 € deductible it is better to pay a more expensive hair and be better assured they always have the little one Line to do not pay you it i"&amp;"nvoices you for guarding costs during the claim when my vehicle is insured any risk I end up with an expert opinion for my vehicle at 1700 € and hold on 898 € of compensation bravo long All risks to flee absolutely")</f>
        <v>Insurance to flee breaks of ice taken into account only for an element if you break 3 ice if to do without 90 € to 368 € deductible it is better to pay a more expensive hair and be better assured they always have the little one Line to do not pay you it invoices you for guarding costs during the claim when my vehicle is insured any risk I end up with an expert opinion for my vehicle at 1700 € and hold on 898 € of compensation bravo long All risks to flee absolutely</v>
      </c>
    </row>
    <row r="753" ht="15.75" customHeight="1">
      <c r="A753" s="2">
        <v>5.0</v>
      </c>
      <c r="B753" s="2" t="s">
        <v>2104</v>
      </c>
      <c r="C753" s="2" t="s">
        <v>2105</v>
      </c>
      <c r="D753" s="2" t="s">
        <v>2106</v>
      </c>
      <c r="E753" s="2" t="s">
        <v>52</v>
      </c>
      <c r="F753" s="2" t="s">
        <v>15</v>
      </c>
      <c r="G753" s="2" t="s">
        <v>2107</v>
      </c>
      <c r="H753" s="2" t="s">
        <v>299</v>
      </c>
      <c r="I753" s="2" t="str">
        <f>IFERROR(__xludf.DUMMYFUNCTION("GOOGLETRANSLATE(C753,""fr"",""en"")"),"I took my insurance for my motorcycle at Peyrac Insurance, I subscribed on the website in 5 minutes. The next day a counselor reminds me of if I understood everything and if I had questions.
Everything was clear and the documents sent easy and quick.
It"&amp;"'s really very simple and their cheap price")</f>
        <v>I took my insurance for my motorcycle at Peyrac Insurance, I subscribed on the website in 5 minutes. The next day a counselor reminds me of if I understood everything and if I had questions.
Everything was clear and the documents sent easy and quick.
It's really very simple and their cheap price</v>
      </c>
    </row>
    <row r="754" ht="15.75" customHeight="1">
      <c r="A754" s="2">
        <v>1.0</v>
      </c>
      <c r="B754" s="2" t="s">
        <v>2108</v>
      </c>
      <c r="C754" s="2" t="s">
        <v>2109</v>
      </c>
      <c r="D754" s="2" t="s">
        <v>32</v>
      </c>
      <c r="E754" s="2" t="s">
        <v>21</v>
      </c>
      <c r="F754" s="2" t="s">
        <v>15</v>
      </c>
      <c r="G754" s="2" t="s">
        <v>1943</v>
      </c>
      <c r="H754" s="2" t="s">
        <v>152</v>
      </c>
      <c r="I754" s="2" t="str">
        <f>IFERROR(__xludf.DUMMYFUNCTION("GOOGLETRANSLATE(C754,""fr"",""en"")"),"4 years that I am customers, 4 that the annual price has increased in Pluesisiers tens of euros without explanation.
At the same time, I have been winning in a bonus for 4 years ...
When I call them to ask for reason, and especially to tell them that "&amp;"I find cheaper insurance for the same guarantees, I am told that it is the fault of the claims in my region ... The joke :)")</f>
        <v>4 years that I am customers, 4 that the annual price has increased in Pluesisiers tens of euros without explanation.
At the same time, I have been winning in a bonus for 4 years ...
When I call them to ask for reason, and especially to tell them that I find cheaper insurance for the same guarantees, I am told that it is the fault of the claims in my region ... The joke :)</v>
      </c>
    </row>
    <row r="755" ht="15.75" customHeight="1">
      <c r="A755" s="2">
        <v>5.0</v>
      </c>
      <c r="B755" s="2" t="s">
        <v>2110</v>
      </c>
      <c r="C755" s="2" t="s">
        <v>2111</v>
      </c>
      <c r="D755" s="2" t="s">
        <v>32</v>
      </c>
      <c r="E755" s="2" t="s">
        <v>21</v>
      </c>
      <c r="F755" s="2" t="s">
        <v>15</v>
      </c>
      <c r="G755" s="2" t="s">
        <v>219</v>
      </c>
      <c r="H755" s="2" t="s">
        <v>54</v>
      </c>
      <c r="I755" s="2" t="str">
        <f>IFERROR(__xludf.DUMMYFUNCTION("GOOGLETRANSLATE(C755,""fr"",""en"")"),"I am satisfied with the service The prices suit me the speed of the procedures and the reliability of the site is great I strongly recommend it given the prices")</f>
        <v>I am satisfied with the service The prices suit me the speed of the procedures and the reliability of the site is great I strongly recommend it given the prices</v>
      </c>
    </row>
    <row r="756" ht="15.75" customHeight="1">
      <c r="A756" s="2">
        <v>4.0</v>
      </c>
      <c r="B756" s="2" t="s">
        <v>2112</v>
      </c>
      <c r="C756" s="2" t="s">
        <v>2113</v>
      </c>
      <c r="D756" s="2" t="s">
        <v>32</v>
      </c>
      <c r="E756" s="2" t="s">
        <v>21</v>
      </c>
      <c r="F756" s="2" t="s">
        <v>15</v>
      </c>
      <c r="G756" s="2" t="s">
        <v>1793</v>
      </c>
      <c r="H756" s="2" t="s">
        <v>58</v>
      </c>
      <c r="I756" s="2" t="str">
        <f>IFERROR(__xludf.DUMMYFUNCTION("GOOGLETRANSLATE(C756,""fr"",""en"")"),"Satisfied with the price and the quality and quick to ensure I will take any other assurance thank you very much and the pleasure of taking other insurance from you")</f>
        <v>Satisfied with the price and the quality and quick to ensure I will take any other assurance thank you very much and the pleasure of taking other insurance from you</v>
      </c>
    </row>
    <row r="757" ht="15.75" customHeight="1">
      <c r="A757" s="2">
        <v>2.0</v>
      </c>
      <c r="B757" s="2" t="s">
        <v>2114</v>
      </c>
      <c r="C757" s="2" t="s">
        <v>2115</v>
      </c>
      <c r="D757" s="2" t="s">
        <v>314</v>
      </c>
      <c r="E757" s="2" t="s">
        <v>21</v>
      </c>
      <c r="F757" s="2" t="s">
        <v>15</v>
      </c>
      <c r="G757" s="2" t="s">
        <v>2116</v>
      </c>
      <c r="H757" s="2" t="s">
        <v>319</v>
      </c>
      <c r="I757" s="2" t="str">
        <f>IFERROR(__xludf.DUMMYFUNCTION("GOOGLETRANSLATE(C757,""fr"",""en"")"),"I have set 3 months of insurance by CB, returned the quote in follow -up with all the necessary papers and still no green card since December 6! No response to the email and impossible to connect to the customer area I have never received my contract numb"&amp;"er")</f>
        <v>I have set 3 months of insurance by CB, returned the quote in follow -up with all the necessary papers and still no green card since December 6! No response to the email and impossible to connect to the customer area I have never received my contract number</v>
      </c>
    </row>
    <row r="758" ht="15.75" customHeight="1">
      <c r="A758" s="2">
        <v>1.0</v>
      </c>
      <c r="B758" s="2" t="s">
        <v>2117</v>
      </c>
      <c r="C758" s="2" t="s">
        <v>2118</v>
      </c>
      <c r="D758" s="2" t="s">
        <v>13</v>
      </c>
      <c r="E758" s="2" t="s">
        <v>14</v>
      </c>
      <c r="F758" s="2" t="s">
        <v>15</v>
      </c>
      <c r="G758" s="2" t="s">
        <v>2119</v>
      </c>
      <c r="H758" s="2" t="s">
        <v>1064</v>
      </c>
      <c r="I758" s="2" t="str">
        <f>IFERROR(__xludf.DUMMYFUNCTION("GOOGLETRANSLATE(C758,""fr"",""en"")"),"After 1 year with them following a canvassing, I recommend 100%. I do not know if this is the case, but I have the impression that everything is done to ""reimburse as little as possible"", avoid giving the third -party payment card to pay less, make ever"&amp;"ything drag. You have to look at everything is reimbursed correctly. In the last months, my third -party paid card was not even accepted in pharmacy. In short, a mutual insurance company where you cannot have confidence to be reimbursed, it is frankly not"&amp;" serious. Service that made me waste time, money. 0% confidence.")</f>
        <v>After 1 year with them following a canvassing, I recommend 100%. I do not know if this is the case, but I have the impression that everything is done to "reimburse as little as possible", avoid giving the third -party payment card to pay less, make everything drag. You have to look at everything is reimbursed correctly. In the last months, my third -party paid card was not even accepted in pharmacy. In short, a mutual insurance company where you cannot have confidence to be reimbursed, it is frankly not serious. Service that made me waste time, money. 0% confidence.</v>
      </c>
    </row>
    <row r="759" ht="15.75" customHeight="1">
      <c r="A759" s="2">
        <v>5.0</v>
      </c>
      <c r="B759" s="2" t="s">
        <v>2120</v>
      </c>
      <c r="C759" s="2" t="s">
        <v>2121</v>
      </c>
      <c r="D759" s="2" t="s">
        <v>32</v>
      </c>
      <c r="E759" s="2" t="s">
        <v>42</v>
      </c>
      <c r="F759" s="2" t="s">
        <v>15</v>
      </c>
      <c r="G759" s="2" t="s">
        <v>2122</v>
      </c>
      <c r="H759" s="2" t="s">
        <v>77</v>
      </c>
      <c r="I759" s="2" t="str">
        <f>IFERROR(__xludf.DUMMYFUNCTION("GOOGLETRANSLATE(C759,""fr"",""en"")"),"In all, more than 800 euros in saving, the top. I will group my auto and home contracts at Direct Insurance, because you are competitive. Thank you direct insurance")</f>
        <v>In all, more than 800 euros in saving, the top. I will group my auto and home contracts at Direct Insurance, because you are competitive. Thank you direct insurance</v>
      </c>
    </row>
    <row r="760" ht="15.75" customHeight="1">
      <c r="A760" s="2">
        <v>3.0</v>
      </c>
      <c r="B760" s="2" t="s">
        <v>2123</v>
      </c>
      <c r="C760" s="2" t="s">
        <v>2124</v>
      </c>
      <c r="D760" s="2" t="s">
        <v>146</v>
      </c>
      <c r="E760" s="2" t="s">
        <v>52</v>
      </c>
      <c r="F760" s="2" t="s">
        <v>15</v>
      </c>
      <c r="G760" s="2" t="s">
        <v>2125</v>
      </c>
      <c r="H760" s="2" t="s">
        <v>23</v>
      </c>
      <c r="I760" s="2" t="str">
        <f>IFERROR(__xludf.DUMMYFUNCTION("GOOGLETRANSLATE(C760,""fr"",""en"")"),"I am satisfied with prices and service
Advisor they are nice and they listen and are fast and profosienel thank you and see you soon equipped Aprila Insurance")</f>
        <v>I am satisfied with prices and service
Advisor they are nice and they listen and are fast and profosienel thank you and see you soon equipped Aprila Insurance</v>
      </c>
    </row>
    <row r="761" ht="15.75" customHeight="1">
      <c r="A761" s="2">
        <v>3.0</v>
      </c>
      <c r="B761" s="2" t="s">
        <v>2126</v>
      </c>
      <c r="C761" s="2" t="s">
        <v>2127</v>
      </c>
      <c r="D761" s="2" t="s">
        <v>20</v>
      </c>
      <c r="E761" s="2" t="s">
        <v>21</v>
      </c>
      <c r="F761" s="2" t="s">
        <v>15</v>
      </c>
      <c r="G761" s="2" t="s">
        <v>827</v>
      </c>
      <c r="H761" s="2" t="s">
        <v>54</v>
      </c>
      <c r="I761" s="2" t="str">
        <f>IFERROR(__xludf.DUMMYFUNCTION("GOOGLETRANSLATE(C761,""fr"",""en"")"),"Very well with your contract and I hope that I will continue this contract indeinely and that you sent me the insurance certificate faster possible")</f>
        <v>Very well with your contract and I hope that I will continue this contract indeinely and that you sent me the insurance certificate faster possible</v>
      </c>
    </row>
    <row r="762" ht="15.75" customHeight="1">
      <c r="A762" s="2">
        <v>3.0</v>
      </c>
      <c r="B762" s="2" t="s">
        <v>2128</v>
      </c>
      <c r="C762" s="2" t="s">
        <v>2129</v>
      </c>
      <c r="D762" s="2" t="s">
        <v>32</v>
      </c>
      <c r="E762" s="2" t="s">
        <v>21</v>
      </c>
      <c r="F762" s="2" t="s">
        <v>15</v>
      </c>
      <c r="G762" s="2" t="s">
        <v>466</v>
      </c>
      <c r="H762" s="2" t="s">
        <v>179</v>
      </c>
      <c r="I762" s="2" t="str">
        <f>IFERROR(__xludf.DUMMYFUNCTION("GOOGLETRANSLATE(C762,""fr"",""en"")"),"The price seems correct compared to the guarantees offered.
The use of the interface seems simple and practical on computer.
I will install the Android application to have an interface at any time")</f>
        <v>The price seems correct compared to the guarantees offered.
The use of the interface seems simple and practical on computer.
I will install the Android application to have an interface at any time</v>
      </c>
    </row>
    <row r="763" ht="15.75" customHeight="1">
      <c r="A763" s="2">
        <v>5.0</v>
      </c>
      <c r="B763" s="2" t="s">
        <v>2130</v>
      </c>
      <c r="C763" s="2" t="s">
        <v>2131</v>
      </c>
      <c r="D763" s="2" t="s">
        <v>20</v>
      </c>
      <c r="E763" s="2" t="s">
        <v>21</v>
      </c>
      <c r="F763" s="2" t="s">
        <v>15</v>
      </c>
      <c r="G763" s="2" t="s">
        <v>1775</v>
      </c>
      <c r="H763" s="2" t="s">
        <v>331</v>
      </c>
      <c r="I763" s="2" t="str">
        <f>IFERROR(__xludf.DUMMYFUNCTION("GOOGLETRANSLATE(C763,""fr"",""en"")"),"Perfect service, more ease and understanding, quick access and simplicity in the Demans to transfer the documents and declaration of Senister")</f>
        <v>Perfect service, more ease and understanding, quick access and simplicity in the Demans to transfer the documents and declaration of Senister</v>
      </c>
    </row>
    <row r="764" ht="15.75" customHeight="1">
      <c r="A764" s="2">
        <v>3.0</v>
      </c>
      <c r="B764" s="2" t="s">
        <v>2132</v>
      </c>
      <c r="C764" s="2" t="s">
        <v>2133</v>
      </c>
      <c r="D764" s="2" t="s">
        <v>150</v>
      </c>
      <c r="E764" s="2" t="s">
        <v>42</v>
      </c>
      <c r="F764" s="2" t="s">
        <v>15</v>
      </c>
      <c r="G764" s="2" t="s">
        <v>2134</v>
      </c>
      <c r="H764" s="2" t="s">
        <v>228</v>
      </c>
      <c r="I764" s="2" t="str">
        <f>IFERROR(__xludf.DUMMYFUNCTION("GOOGLETRANSLATE(C764,""fr"",""en"")"),"The Macif who has assumed me for 35 years my great disappointment.
I just had a fireplace, certainly my chimney was not busy but it was not compulsory at the time of the installation, and the Macif wanted nothing, it did not give anything.
Conclusion fo"&amp;"r her, I just went elsewhere to make sure, the Macif had to reimburse me nearly 800 euros (I gave her 1,300 euros per year), she will have given me the 800 euros I stayed at her house but no nothing to do did not give in. In conclusion an insurance which "&amp;"takes the money but which has no sensitivity when there is a disaster it is zero.
It must also be said that the expert who came to see the damage was absolutely zero.")</f>
        <v>The Macif who has assumed me for 35 years my great disappointment.
I just had a fireplace, certainly my chimney was not busy but it was not compulsory at the time of the installation, and the Macif wanted nothing, it did not give anything.
Conclusion for her, I just went elsewhere to make sure, the Macif had to reimburse me nearly 800 euros (I gave her 1,300 euros per year), she will have given me the 800 euros I stayed at her house but no nothing to do did not give in. In conclusion an insurance which takes the money but which has no sensitivity when there is a disaster it is zero.
It must also be said that the expert who came to see the damage was absolutely zero.</v>
      </c>
    </row>
    <row r="765" ht="15.75" customHeight="1">
      <c r="A765" s="2">
        <v>2.0</v>
      </c>
      <c r="B765" s="2" t="s">
        <v>2135</v>
      </c>
      <c r="C765" s="2" t="s">
        <v>2136</v>
      </c>
      <c r="D765" s="2" t="s">
        <v>32</v>
      </c>
      <c r="E765" s="2" t="s">
        <v>21</v>
      </c>
      <c r="F765" s="2" t="s">
        <v>15</v>
      </c>
      <c r="G765" s="2" t="s">
        <v>2137</v>
      </c>
      <c r="H765" s="2" t="s">
        <v>48</v>
      </c>
      <c r="I765" s="2" t="str">
        <f>IFERROR(__xludf.DUMMYFUNCTION("GOOGLETRANSLATE(C765,""fr"",""en"")"),"No return after a disaster to ultimately be recognized 100% at fault for no reason when no amicable observation was made for lack of agreement with the one returned to me, no communication, change of insurance planned for The faster, it's a shame, it won'"&amp;"t stay there.")</f>
        <v>No return after a disaster to ultimately be recognized 100% at fault for no reason when no amicable observation was made for lack of agreement with the one returned to me, no communication, change of insurance planned for The faster, it's a shame, it won't stay there.</v>
      </c>
    </row>
    <row r="766" ht="15.75" customHeight="1">
      <c r="A766" s="2">
        <v>5.0</v>
      </c>
      <c r="B766" s="2" t="s">
        <v>2138</v>
      </c>
      <c r="C766" s="2" t="s">
        <v>2139</v>
      </c>
      <c r="D766" s="2" t="s">
        <v>13</v>
      </c>
      <c r="E766" s="2" t="s">
        <v>14</v>
      </c>
      <c r="F766" s="2" t="s">
        <v>15</v>
      </c>
      <c r="G766" s="2" t="s">
        <v>2140</v>
      </c>
      <c r="H766" s="2" t="s">
        <v>525</v>
      </c>
      <c r="I766" s="2" t="str">
        <f>IFERROR(__xludf.DUMMYFUNCTION("GOOGLETRANSLATE(C766,""fr"",""en"")"),"Excellent service, very competitive price. Very satisfied with customer service! Best price found so far")</f>
        <v>Excellent service, very competitive price. Very satisfied with customer service! Best price found so far</v>
      </c>
    </row>
    <row r="767" ht="15.75" customHeight="1">
      <c r="A767" s="2">
        <v>1.0</v>
      </c>
      <c r="B767" s="2" t="s">
        <v>2141</v>
      </c>
      <c r="C767" s="2" t="s">
        <v>2142</v>
      </c>
      <c r="D767" s="2" t="s">
        <v>93</v>
      </c>
      <c r="E767" s="2" t="s">
        <v>21</v>
      </c>
      <c r="F767" s="2" t="s">
        <v>15</v>
      </c>
      <c r="G767" s="2" t="s">
        <v>2143</v>
      </c>
      <c r="H767" s="2" t="s">
        <v>23</v>
      </c>
      <c r="I767" s="2" t="str">
        <f>IFERROR(__xludf.DUMMYFUNCTION("GOOGLETRANSLATE(C767,""fr"",""en"")"),"To flee !!!
Auto accident not responsible in early September2021. I waited for more than 2 weeks for the expert to pass. You have to call them several times a week because no one contacts you. They compensated me following the acquisition of my vehicle o"&amp;"n 09/21. I waited for 2 weeks to get the money. Today I am fighting because they still haven't terminated my contract. No consideration for the insured, you are walking from service to service. No link between them. Deplorable. I feel like I am in a sketc"&amp;"h.")</f>
        <v>To flee !!!
Auto accident not responsible in early September2021. I waited for more than 2 weeks for the expert to pass. You have to call them several times a week because no one contacts you. They compensated me following the acquisition of my vehicle on 09/21. I waited for 2 weeks to get the money. Today I am fighting because they still haven't terminated my contract. No consideration for the insured, you are walking from service to service. No link between them. Deplorable. I feel like I am in a sketch.</v>
      </c>
    </row>
    <row r="768" ht="15.75" customHeight="1">
      <c r="A768" s="2">
        <v>2.0</v>
      </c>
      <c r="B768" s="2" t="s">
        <v>2144</v>
      </c>
      <c r="C768" s="2" t="s">
        <v>2145</v>
      </c>
      <c r="D768" s="2" t="s">
        <v>150</v>
      </c>
      <c r="E768" s="2" t="s">
        <v>21</v>
      </c>
      <c r="F768" s="2" t="s">
        <v>15</v>
      </c>
      <c r="G768" s="2" t="s">
        <v>2146</v>
      </c>
      <c r="H768" s="2" t="s">
        <v>327</v>
      </c>
      <c r="I768" s="2" t="str">
        <f>IFERROR(__xludf.DUMMYFUNCTION("GOOGLETRANSLATE(C768,""fr"",""en"")"),"I was a Macif member, I had a claim since June 2019, hitherto not reimbursed. An email was sent to me in March 2020 to tell me that the claim will be reimbursed, I have contacted it and no more response.")</f>
        <v>I was a Macif member, I had a claim since June 2019, hitherto not reimbursed. An email was sent to me in March 2020 to tell me that the claim will be reimbursed, I have contacted it and no more response.</v>
      </c>
    </row>
    <row r="769" ht="15.75" customHeight="1">
      <c r="A769" s="2">
        <v>1.0</v>
      </c>
      <c r="B769" s="2" t="s">
        <v>2147</v>
      </c>
      <c r="C769" s="2" t="s">
        <v>2148</v>
      </c>
      <c r="D769" s="2" t="s">
        <v>61</v>
      </c>
      <c r="E769" s="2" t="s">
        <v>283</v>
      </c>
      <c r="F769" s="2" t="s">
        <v>15</v>
      </c>
      <c r="G769" s="2" t="s">
        <v>1265</v>
      </c>
      <c r="H769" s="2" t="s">
        <v>95</v>
      </c>
      <c r="I769" s="2" t="str">
        <f>IFERROR(__xludf.DUMMYFUNCTION("GOOGLETRANSLATE(C769,""fr"",""en"")"),"For my part I was happy with animal insurance. In March we detect a disease from my dog. March April they reimburse. In May the veterinarian council no longer wants to claim a genetic anomaly being part of the exclusions to the contract! Two veterinarians"&amp;", mine and that of the Alfort house veterinary school made a letter explaining that the disease is in no way a congenital anomaly, nothing done. They don't reimburse me. The lawyer seen yesterday confirms that they are wrong and inconsistent. My dog ​​die"&amp;"d and I really didn't need this dispute. So choose another insurance. For my part I am very disappointed. 37 years old at CIC to get there ....")</f>
        <v>For my part I was happy with animal insurance. In March we detect a disease from my dog. March April they reimburse. In May the veterinarian council no longer wants to claim a genetic anomaly being part of the exclusions to the contract! Two veterinarians, mine and that of the Alfort house veterinary school made a letter explaining that the disease is in no way a congenital anomaly, nothing done. They don't reimburse me. The lawyer seen yesterday confirms that they are wrong and inconsistent. My dog ​​died and I really didn't need this dispute. So choose another insurance. For my part I am very disappointed. 37 years old at CIC to get there ....</v>
      </c>
    </row>
    <row r="770" ht="15.75" customHeight="1">
      <c r="A770" s="2">
        <v>4.0</v>
      </c>
      <c r="B770" s="2" t="s">
        <v>2149</v>
      </c>
      <c r="C770" s="2" t="s">
        <v>2150</v>
      </c>
      <c r="D770" s="2" t="s">
        <v>20</v>
      </c>
      <c r="E770" s="2" t="s">
        <v>21</v>
      </c>
      <c r="F770" s="2" t="s">
        <v>15</v>
      </c>
      <c r="G770" s="2" t="s">
        <v>1075</v>
      </c>
      <c r="H770" s="2" t="s">
        <v>48</v>
      </c>
      <c r="I770" s="2" t="str">
        <f>IFERROR(__xludf.DUMMYFUNCTION("GOOGLETRANSLATE(C770,""fr"",""en"")"),"Very satisfactory service on the online phone and by email exchange
attractive price brief the best choices I can make !!! Best regards")</f>
        <v>Very satisfactory service on the online phone and by email exchange
attractive price brief the best choices I can make !!! Best regards</v>
      </c>
    </row>
    <row r="771" ht="15.75" customHeight="1">
      <c r="A771" s="2">
        <v>1.0</v>
      </c>
      <c r="B771" s="2" t="s">
        <v>2151</v>
      </c>
      <c r="C771" s="2" t="s">
        <v>2152</v>
      </c>
      <c r="D771" s="2" t="s">
        <v>41</v>
      </c>
      <c r="E771" s="2" t="s">
        <v>21</v>
      </c>
      <c r="F771" s="2" t="s">
        <v>15</v>
      </c>
      <c r="G771" s="2" t="s">
        <v>1364</v>
      </c>
      <c r="H771" s="2" t="s">
        <v>458</v>
      </c>
      <c r="I771" s="2" t="str">
        <f>IFERROR(__xludf.DUMMYFUNCTION("GOOGLETRANSLATE(C771,""fr"",""en"")"),"Very disappointed, client for years, however. No consideration, really very disappointed and above all lack of communication on their part. No mail, terminate in a snap! I don't recommend")</f>
        <v>Very disappointed, client for years, however. No consideration, really very disappointed and above all lack of communication on their part. No mail, terminate in a snap! I don't recommend</v>
      </c>
    </row>
    <row r="772" ht="15.75" customHeight="1">
      <c r="A772" s="2">
        <v>4.0</v>
      </c>
      <c r="B772" s="2" t="s">
        <v>2153</v>
      </c>
      <c r="C772" s="2" t="s">
        <v>2154</v>
      </c>
      <c r="D772" s="2" t="s">
        <v>20</v>
      </c>
      <c r="E772" s="2" t="s">
        <v>21</v>
      </c>
      <c r="F772" s="2" t="s">
        <v>15</v>
      </c>
      <c r="G772" s="2" t="s">
        <v>202</v>
      </c>
      <c r="H772" s="2" t="s">
        <v>179</v>
      </c>
      <c r="I772" s="2" t="str">
        <f>IFERROR(__xludf.DUMMYFUNCTION("GOOGLETRANSLATE(C772,""fr"",""en"")"),"Cheaper for comparable benefits, in particular in comparison with mutual insurance automobile insurance, even with fidelity and comparable bonuses")</f>
        <v>Cheaper for comparable benefits, in particular in comparison with mutual insurance automobile insurance, even with fidelity and comparable bonuses</v>
      </c>
    </row>
    <row r="773" ht="15.75" customHeight="1">
      <c r="A773" s="2">
        <v>4.0</v>
      </c>
      <c r="B773" s="2" t="s">
        <v>2155</v>
      </c>
      <c r="C773" s="2" t="s">
        <v>2156</v>
      </c>
      <c r="D773" s="2" t="s">
        <v>20</v>
      </c>
      <c r="E773" s="2" t="s">
        <v>21</v>
      </c>
      <c r="F773" s="2" t="s">
        <v>15</v>
      </c>
      <c r="G773" s="2" t="s">
        <v>930</v>
      </c>
      <c r="H773" s="2" t="s">
        <v>87</v>
      </c>
      <c r="I773" s="2" t="str">
        <f>IFERROR(__xludf.DUMMYFUNCTION("GOOGLETRANSLATE(C773,""fr"",""en"")"),"Very good interpersonal skills
Perfect telephone reception
Listening
Very satisfied with the responses and requests to my interlocutor
Thank you and I will try to bring you customers")</f>
        <v>Very good interpersonal skills
Perfect telephone reception
Listening
Very satisfied with the responses and requests to my interlocutor
Thank you and I will try to bring you customers</v>
      </c>
    </row>
    <row r="774" ht="15.75" customHeight="1">
      <c r="A774" s="2">
        <v>3.0</v>
      </c>
      <c r="B774" s="2" t="s">
        <v>2157</v>
      </c>
      <c r="C774" s="2" t="s">
        <v>2158</v>
      </c>
      <c r="D774" s="2" t="s">
        <v>20</v>
      </c>
      <c r="E774" s="2" t="s">
        <v>21</v>
      </c>
      <c r="F774" s="2" t="s">
        <v>15</v>
      </c>
      <c r="G774" s="2" t="s">
        <v>231</v>
      </c>
      <c r="H774" s="2" t="s">
        <v>179</v>
      </c>
      <c r="I774" s="2" t="str">
        <f>IFERROR(__xludf.DUMMYFUNCTION("GOOGLETRANSLATE(C774,""fr"",""en"")"),"Hello, I find that the price is a little high but the service and the customer service for me OK so that is why I am sure you dear you")</f>
        <v>Hello, I find that the price is a little high but the service and the customer service for me OK so that is why I am sure you dear you</v>
      </c>
    </row>
    <row r="775" ht="15.75" customHeight="1">
      <c r="A775" s="2">
        <v>4.0</v>
      </c>
      <c r="B775" s="2" t="s">
        <v>2159</v>
      </c>
      <c r="C775" s="2" t="s">
        <v>2160</v>
      </c>
      <c r="D775" s="2" t="s">
        <v>32</v>
      </c>
      <c r="E775" s="2" t="s">
        <v>21</v>
      </c>
      <c r="F775" s="2" t="s">
        <v>15</v>
      </c>
      <c r="G775" s="2" t="s">
        <v>2161</v>
      </c>
      <c r="H775" s="2" t="s">
        <v>54</v>
      </c>
      <c r="I775" s="2" t="str">
        <f>IFERROR(__xludf.DUMMYFUNCTION("GOOGLETRANSLATE(C775,""fr"",""en"")"),"Satisfied with the price, the registration is simple and quick, I recommend direct insurance to friends, the future will tell me if I made the right choice by subscribing to Direct Insurance.")</f>
        <v>Satisfied with the price, the registration is simple and quick, I recommend direct insurance to friends, the future will tell me if I made the right choice by subscribing to Direct Insurance.</v>
      </c>
    </row>
    <row r="776" ht="15.75" customHeight="1">
      <c r="A776" s="2">
        <v>4.0</v>
      </c>
      <c r="B776" s="2" t="s">
        <v>2162</v>
      </c>
      <c r="C776" s="2" t="s">
        <v>2163</v>
      </c>
      <c r="D776" s="2" t="s">
        <v>20</v>
      </c>
      <c r="E776" s="2" t="s">
        <v>21</v>
      </c>
      <c r="F776" s="2" t="s">
        <v>15</v>
      </c>
      <c r="G776" s="2" t="s">
        <v>1673</v>
      </c>
      <c r="H776" s="2" t="s">
        <v>179</v>
      </c>
      <c r="I776" s="2" t="str">
        <f>IFERROR(__xludf.DUMMYFUNCTION("GOOGLETRANSLATE(C776,""fr"",""en"")"),"Simple light and fast service.
Competitive price and good support.
Reactive and professional customer service
Diversity of offers and services")</f>
        <v>Simple light and fast service.
Competitive price and good support.
Reactive and professional customer service
Diversity of offers and services</v>
      </c>
    </row>
    <row r="777" ht="15.75" customHeight="1">
      <c r="A777" s="2">
        <v>5.0</v>
      </c>
      <c r="B777" s="2" t="s">
        <v>2164</v>
      </c>
      <c r="C777" s="2" t="s">
        <v>2165</v>
      </c>
      <c r="D777" s="2" t="s">
        <v>32</v>
      </c>
      <c r="E777" s="2" t="s">
        <v>21</v>
      </c>
      <c r="F777" s="2" t="s">
        <v>15</v>
      </c>
      <c r="G777" s="2" t="s">
        <v>47</v>
      </c>
      <c r="H777" s="2" t="s">
        <v>48</v>
      </c>
      <c r="I777" s="2" t="str">
        <f>IFERROR(__xludf.DUMMYFUNCTION("GOOGLETRANSLATE(C777,""fr"",""en"")"),"I am satisfied, the prices are correct and following my calls my requests are included and made as soon as possible! I am happy with your services.")</f>
        <v>I am satisfied, the prices are correct and following my calls my requests are included and made as soon as possible! I am happy with your services.</v>
      </c>
    </row>
    <row r="778" ht="15.75" customHeight="1">
      <c r="A778" s="2">
        <v>2.0</v>
      </c>
      <c r="B778" s="2" t="s">
        <v>2166</v>
      </c>
      <c r="C778" s="2" t="s">
        <v>2167</v>
      </c>
      <c r="D778" s="2" t="s">
        <v>32</v>
      </c>
      <c r="E778" s="2" t="s">
        <v>21</v>
      </c>
      <c r="F778" s="2" t="s">
        <v>15</v>
      </c>
      <c r="G778" s="2" t="s">
        <v>2168</v>
      </c>
      <c r="H778" s="2" t="s">
        <v>163</v>
      </c>
      <c r="I778" s="2" t="str">
        <f>IFERROR(__xludf.DUMMYFUNCTION("GOOGLETRANSLATE(C778,""fr"",""en"")"),"After sinister no follow -up online 3 months for repair very badly made (small shock on bumper) did not redo the painting finally nothing good than to collect the premium! Very decu because I am Avias ETE assured at home for my first insurance in 1996 And"&amp;" it was very well passed, why I was trying to reassure them for my last vehicle; Thank you for giving me the opportunity to express me as for my experience it is necessary that people know")</f>
        <v>After sinister no follow -up online 3 months for repair very badly made (small shock on bumper) did not redo the painting finally nothing good than to collect the premium! Very decu because I am Avias ETE assured at home for my first insurance in 1996 And it was very well passed, why I was trying to reassure them for my last vehicle; Thank you for giving me the opportunity to express me as for my experience it is necessary that people know</v>
      </c>
    </row>
    <row r="779" ht="15.75" customHeight="1">
      <c r="A779" s="2">
        <v>1.0</v>
      </c>
      <c r="B779" s="2" t="s">
        <v>2169</v>
      </c>
      <c r="C779" s="2" t="s">
        <v>2170</v>
      </c>
      <c r="D779" s="2" t="s">
        <v>20</v>
      </c>
      <c r="E779" s="2" t="s">
        <v>21</v>
      </c>
      <c r="F779" s="2" t="s">
        <v>15</v>
      </c>
      <c r="G779" s="2" t="s">
        <v>2171</v>
      </c>
      <c r="H779" s="2" t="s">
        <v>87</v>
      </c>
      <c r="I779" s="2" t="str">
        <f>IFERROR(__xludf.DUMMYFUNCTION("GOOGLETRANSLATE(C779,""fr"",""en"")"),"I made sure having made a quote at 75 €/month. I was reminded, I subscribed later that I will finally pay 20 € more. Without counting the 110 € of file fees which were not mentioned to me that I saw withdrawn from my account. I asked that they aligned the"&amp;"mselves with the quote, they refused it and did not give me the choice to leave before minimum 1 year.")</f>
        <v>I made sure having made a quote at 75 €/month. I was reminded, I subscribed later that I will finally pay 20 € more. Without counting the 110 € of file fees which were not mentioned to me that I saw withdrawn from my account. I asked that they aligned themselves with the quote, they refused it and did not give me the choice to leave before minimum 1 year.</v>
      </c>
    </row>
    <row r="780" ht="15.75" customHeight="1">
      <c r="A780" s="2">
        <v>5.0</v>
      </c>
      <c r="B780" s="2" t="s">
        <v>2172</v>
      </c>
      <c r="C780" s="2" t="s">
        <v>2173</v>
      </c>
      <c r="D780" s="2" t="s">
        <v>32</v>
      </c>
      <c r="E780" s="2" t="s">
        <v>21</v>
      </c>
      <c r="F780" s="2" t="s">
        <v>15</v>
      </c>
      <c r="G780" s="2" t="s">
        <v>800</v>
      </c>
      <c r="H780" s="2" t="s">
        <v>95</v>
      </c>
      <c r="I780" s="2" t="str">
        <f>IFERROR(__xludf.DUMMYFUNCTION("GOOGLETRANSLATE(C780,""fr"",""en"")"),"I am very satisfied with your services, and your prices are more than reasonable, and the subscription is very simple, I am very happy for all these reasons")</f>
        <v>I am very satisfied with your services, and your prices are more than reasonable, and the subscription is very simple, I am very happy for all these reasons</v>
      </c>
    </row>
    <row r="781" ht="15.75" customHeight="1">
      <c r="A781" s="2">
        <v>1.0</v>
      </c>
      <c r="B781" s="2" t="s">
        <v>2174</v>
      </c>
      <c r="C781" s="2" t="s">
        <v>2175</v>
      </c>
      <c r="D781" s="2" t="s">
        <v>287</v>
      </c>
      <c r="E781" s="2" t="s">
        <v>283</v>
      </c>
      <c r="F781" s="2" t="s">
        <v>15</v>
      </c>
      <c r="G781" s="2" t="s">
        <v>2176</v>
      </c>
      <c r="H781" s="2" t="s">
        <v>199</v>
      </c>
      <c r="I781" s="2" t="str">
        <f>IFERROR(__xludf.DUMMYFUNCTION("GOOGLETRANSLATE(C781,""fr"",""en"")"),"Company to flee quickly! After 1 year of existence of my ""animal"" contract my contributions were increased by + 8.09% !! This insurance does not respect its own ""general conditions"", for an animal under 5 years old it is already planned + 5% /year !! "&amp;"it's incredible !! Conversely, canvassing for an online contract signature works, lack of information, very vague answers concerning my questions which are limits of lies! important information not mentioned etc ... !! Another example: if your animal has "&amp;"received its vaccination, the recall may be (depending on the convening of the vet) in the same year of the contract! No reimbursement of the recall !! After multiple exchanges I finally won the case concerning the termination of my contract!")</f>
        <v>Company to flee quickly! After 1 year of existence of my "animal" contract my contributions were increased by + 8.09% !! This insurance does not respect its own "general conditions", for an animal under 5 years old it is already planned + 5% /year !! it's incredible !! Conversely, canvassing for an online contract signature works, lack of information, very vague answers concerning my questions which are limits of lies! important information not mentioned etc ... !! Another example: if your animal has received its vaccination, the recall may be (depending on the convening of the vet) in the same year of the contract! No reimbursement of the recall !! After multiple exchanges I finally won the case concerning the termination of my contract!</v>
      </c>
    </row>
    <row r="782" ht="15.75" customHeight="1">
      <c r="A782" s="2">
        <v>4.0</v>
      </c>
      <c r="B782" s="2" t="s">
        <v>2177</v>
      </c>
      <c r="C782" s="2" t="s">
        <v>2178</v>
      </c>
      <c r="D782" s="2" t="s">
        <v>32</v>
      </c>
      <c r="E782" s="2" t="s">
        <v>21</v>
      </c>
      <c r="F782" s="2" t="s">
        <v>15</v>
      </c>
      <c r="G782" s="2" t="s">
        <v>1946</v>
      </c>
      <c r="H782" s="2" t="s">
        <v>385</v>
      </c>
      <c r="I782" s="2" t="str">
        <f>IFERROR(__xludf.DUMMYFUNCTION("GOOGLETRANSLATE(C782,""fr"",""en"")"),"I am satisfied with the service ... prices suit me ... simple and practical.
Thank you direct insurance ... I recommend direct insurance to all my friends.")</f>
        <v>I am satisfied with the service ... prices suit me ... simple and practical.
Thank you direct insurance ... I recommend direct insurance to all my friends.</v>
      </c>
    </row>
    <row r="783" ht="15.75" customHeight="1">
      <c r="A783" s="2">
        <v>5.0</v>
      </c>
      <c r="B783" s="2" t="s">
        <v>2179</v>
      </c>
      <c r="C783" s="2" t="s">
        <v>2180</v>
      </c>
      <c r="D783" s="2" t="s">
        <v>146</v>
      </c>
      <c r="E783" s="2" t="s">
        <v>52</v>
      </c>
      <c r="F783" s="2" t="s">
        <v>15</v>
      </c>
      <c r="G783" s="2" t="s">
        <v>500</v>
      </c>
      <c r="H783" s="2" t="s">
        <v>58</v>
      </c>
      <c r="I783" s="2" t="str">
        <f>IFERROR(__xludf.DUMMYFUNCTION("GOOGLETRANSLATE(C783,""fr"",""en"")"),"Very good insurance. Consistent and guaranteed quality price.
Nothing to report for the moment to see in time.
Also ensure boats at home. Ras")</f>
        <v>Very good insurance. Consistent and guaranteed quality price.
Nothing to report for the moment to see in time.
Also ensure boats at home. Ras</v>
      </c>
    </row>
    <row r="784" ht="15.75" customHeight="1">
      <c r="A784" s="2">
        <v>3.0</v>
      </c>
      <c r="B784" s="2" t="s">
        <v>2181</v>
      </c>
      <c r="C784" s="2" t="s">
        <v>2182</v>
      </c>
      <c r="D784" s="2" t="s">
        <v>150</v>
      </c>
      <c r="E784" s="2" t="s">
        <v>42</v>
      </c>
      <c r="F784" s="2" t="s">
        <v>15</v>
      </c>
      <c r="G784" s="2" t="s">
        <v>2183</v>
      </c>
      <c r="H784" s="2" t="s">
        <v>319</v>
      </c>
      <c r="I784" s="2" t="str">
        <f>IFERROR(__xludf.DUMMYFUNCTION("GOOGLETRANSLATE(C784,""fr"",""en"")"),"Resilies his contracts when we cost him too much on a short period 3 degats of waters suffered in 4 years and presto at the door yet third parties are identified")</f>
        <v>Resilies his contracts when we cost him too much on a short period 3 degats of waters suffered in 4 years and presto at the door yet third parties are identified</v>
      </c>
    </row>
    <row r="785" ht="15.75" customHeight="1">
      <c r="A785" s="2">
        <v>1.0</v>
      </c>
      <c r="B785" s="2" t="s">
        <v>2184</v>
      </c>
      <c r="C785" s="2" t="s">
        <v>2185</v>
      </c>
      <c r="D785" s="2" t="s">
        <v>106</v>
      </c>
      <c r="E785" s="2" t="s">
        <v>14</v>
      </c>
      <c r="F785" s="2" t="s">
        <v>15</v>
      </c>
      <c r="G785" s="2" t="s">
        <v>2186</v>
      </c>
      <c r="H785" s="2" t="s">
        <v>295</v>
      </c>
      <c r="I785" s="2" t="str">
        <f>IFERROR(__xludf.DUMMYFUNCTION("GOOGLETRANSLATE(C785,""fr"",""en"")"),"Insured for more than three months I have still not received my paid third party card, I have been asking for it since that time and I am sent to me a provisional card by email valid that each time, after comparison this mutual is More dear than many othe"&amp;"rs for the same coverage, I was followed up on a Santiane telephone harassment and impatiently awaits the anniversary date to bar me with this mutual")</f>
        <v>Insured for more than three months I have still not received my paid third party card, I have been asking for it since that time and I am sent to me a provisional card by email valid that each time, after comparison this mutual is More dear than many others for the same coverage, I was followed up on a Santiane telephone harassment and impatiently awaits the anniversary date to bar me with this mutual</v>
      </c>
    </row>
    <row r="786" ht="15.75" customHeight="1">
      <c r="A786" s="2">
        <v>1.0</v>
      </c>
      <c r="B786" s="2" t="s">
        <v>2187</v>
      </c>
      <c r="C786" s="2" t="s">
        <v>2188</v>
      </c>
      <c r="D786" s="2" t="s">
        <v>20</v>
      </c>
      <c r="E786" s="2" t="s">
        <v>21</v>
      </c>
      <c r="F786" s="2" t="s">
        <v>15</v>
      </c>
      <c r="G786" s="2" t="s">
        <v>1980</v>
      </c>
      <c r="H786" s="2" t="s">
        <v>1064</v>
      </c>
      <c r="I786" s="2" t="str">
        <f>IFERROR(__xludf.DUMMYFUNCTION("GOOGLETRANSLATE(C786,""fr"",""en"")"),"Following an accident, the repairs were very badly made, I went several times to other garages to try to repair ... 1 year and a half that it hard !!! Services wander you until you let go. It is never the same manager who manages your file of this fact .."&amp;". You must start again.")</f>
        <v>Following an accident, the repairs were very badly made, I went several times to other garages to try to repair ... 1 year and a half that it hard !!! Services wander you until you let go. It is never the same manager who manages your file of this fact ... You must start again.</v>
      </c>
    </row>
    <row r="787" ht="15.75" customHeight="1">
      <c r="A787" s="2">
        <v>3.0</v>
      </c>
      <c r="B787" s="2" t="s">
        <v>2189</v>
      </c>
      <c r="C787" s="2" t="s">
        <v>2190</v>
      </c>
      <c r="D787" s="2" t="s">
        <v>139</v>
      </c>
      <c r="E787" s="2" t="s">
        <v>21</v>
      </c>
      <c r="F787" s="2" t="s">
        <v>15</v>
      </c>
      <c r="G787" s="2" t="s">
        <v>38</v>
      </c>
      <c r="H787" s="2" t="s">
        <v>38</v>
      </c>
      <c r="I787" s="2" t="str">
        <f>IFERROR(__xludf.DUMMYFUNCTION("GOOGLETRANSLATE(C787,""fr"",""en"")"),"has always received good advice from advisers. Also appreciated the regular meetings to take stock without intention to sell new contracts.
Hope that in the event of an accident I will have such good contacts.")</f>
        <v>has always received good advice from advisers. Also appreciated the regular meetings to take stock without intention to sell new contracts.
Hope that in the event of an accident I will have such good contacts.</v>
      </c>
    </row>
    <row r="788" ht="15.75" customHeight="1">
      <c r="A788" s="2">
        <v>1.0</v>
      </c>
      <c r="B788" s="2" t="s">
        <v>2191</v>
      </c>
      <c r="C788" s="2" t="s">
        <v>2192</v>
      </c>
      <c r="D788" s="2" t="s">
        <v>26</v>
      </c>
      <c r="E788" s="2" t="s">
        <v>27</v>
      </c>
      <c r="F788" s="2" t="s">
        <v>15</v>
      </c>
      <c r="G788" s="2" t="s">
        <v>2193</v>
      </c>
      <c r="H788" s="2" t="s">
        <v>327</v>
      </c>
      <c r="I788" s="2" t="str">
        <f>IFERROR(__xludf.DUMMYFUNCTION("GOOGLETRANSLATE(C788,""fr"",""en"")"),"As many AFER heirs do not deign to respond to emails and registered letter, I have been without news for more than three months. My only contact, the advisor who encounters the same problem to obtain news. I counted investing in their homes following a fu"&amp;"ture real estate sale, but this company is really to be flee.")</f>
        <v>As many AFER heirs do not deign to respond to emails and registered letter, I have been without news for more than three months. My only contact, the advisor who encounters the same problem to obtain news. I counted investing in their homes following a future real estate sale, but this company is really to be flee.</v>
      </c>
    </row>
    <row r="789" ht="15.75" customHeight="1">
      <c r="A789" s="2">
        <v>4.0</v>
      </c>
      <c r="B789" s="2" t="s">
        <v>2194</v>
      </c>
      <c r="C789" s="2" t="s">
        <v>2195</v>
      </c>
      <c r="D789" s="2" t="s">
        <v>20</v>
      </c>
      <c r="E789" s="2" t="s">
        <v>21</v>
      </c>
      <c r="F789" s="2" t="s">
        <v>15</v>
      </c>
      <c r="G789" s="2" t="s">
        <v>718</v>
      </c>
      <c r="H789" s="2" t="s">
        <v>23</v>
      </c>
      <c r="I789" s="2" t="str">
        <f>IFERROR(__xludf.DUMMYFUNCTION("GOOGLETRANSLATE(C789,""fr"",""en"")"),"Simple and practical, just a few connections bugs, are interesting prices, very fast response especially for young drivers. Thank you for your attention")</f>
        <v>Simple and practical, just a few connections bugs, are interesting prices, very fast response especially for young drivers. Thank you for your attention</v>
      </c>
    </row>
    <row r="790" ht="15.75" customHeight="1">
      <c r="A790" s="2">
        <v>1.0</v>
      </c>
      <c r="B790" s="2" t="s">
        <v>2196</v>
      </c>
      <c r="C790" s="2" t="s">
        <v>2197</v>
      </c>
      <c r="D790" s="2" t="s">
        <v>113</v>
      </c>
      <c r="E790" s="2" t="s">
        <v>42</v>
      </c>
      <c r="F790" s="2" t="s">
        <v>15</v>
      </c>
      <c r="G790" s="2" t="s">
        <v>2198</v>
      </c>
      <c r="H790" s="2" t="s">
        <v>1079</v>
      </c>
      <c r="I790" s="2" t="str">
        <f>IFERROR(__xludf.DUMMYFUNCTION("GOOGLETRANSLATE(C790,""fr"",""en"")"),"The site is designed so that we cannot send our complaints. And when we manage to send them our request. She remains unanswered!")</f>
        <v>The site is designed so that we cannot send our complaints. And when we manage to send them our request. She remains unanswered!</v>
      </c>
    </row>
    <row r="791" ht="15.75" customHeight="1">
      <c r="A791" s="2">
        <v>1.0</v>
      </c>
      <c r="B791" s="2" t="s">
        <v>2199</v>
      </c>
      <c r="C791" s="2" t="s">
        <v>2200</v>
      </c>
      <c r="D791" s="2" t="s">
        <v>150</v>
      </c>
      <c r="E791" s="2" t="s">
        <v>21</v>
      </c>
      <c r="F791" s="2" t="s">
        <v>15</v>
      </c>
      <c r="G791" s="2" t="s">
        <v>228</v>
      </c>
      <c r="H791" s="2" t="s">
        <v>228</v>
      </c>
      <c r="I791" s="2" t="str">
        <f>IFERROR(__xludf.DUMMYFUNCTION("GOOGLETRANSLATE(C791,""fr"",""en"")"),"The Macif lied to me by telling me that I was going to be compensated for an accident where I was the victim of an offense of flight I was forced to do three expertise over several months for because the Macif does not The same is not contacted and I had "&amp;"to wait a year before these incapable informs me that he was not going to industrial me.")</f>
        <v>The Macif lied to me by telling me that I was going to be compensated for an accident where I was the victim of an offense of flight I was forced to do three expertise over several months for because the Macif does not The same is not contacted and I had to wait a year before these incapable informs me that he was not going to industrial me.</v>
      </c>
    </row>
    <row r="792" ht="15.75" customHeight="1">
      <c r="A792" s="2">
        <v>1.0</v>
      </c>
      <c r="B792" s="2" t="s">
        <v>2201</v>
      </c>
      <c r="C792" s="2" t="s">
        <v>2202</v>
      </c>
      <c r="D792" s="2" t="s">
        <v>106</v>
      </c>
      <c r="E792" s="2" t="s">
        <v>14</v>
      </c>
      <c r="F792" s="2" t="s">
        <v>15</v>
      </c>
      <c r="G792" s="2" t="s">
        <v>1079</v>
      </c>
      <c r="H792" s="2" t="s">
        <v>1079</v>
      </c>
      <c r="I792" s="2" t="str">
        <f>IFERROR(__xludf.DUMMYFUNCTION("GOOGLETRANSLATE(C792,""fr"",""en"")"),"When I subscribed to them I asked for death insurance, which according to them amounts to 60,000 euros, when I had to be operated on I asked again .... and surprise ..... no Provident death was not subscribed.
In addition, they refuse to terminate me bec"&amp;"ause supposedly I must remain subscribed to their homes 12 months. But lack of bowl they made several errors including that of announcing me the date at Laquels I can send my letter of termination law chatel, unfortunately for them nothing.
On the phone "&amp;"nobody never knows anything, they do not reimburse the quotes announced ....................
I am not absolutely satisfied with their service, they lie, make pellets wait.
Personally I enter justice and contact my legal assistance.")</f>
        <v>When I subscribed to them I asked for death insurance, which according to them amounts to 60,000 euros, when I had to be operated on I asked again .... and surprise ..... no Provident death was not subscribed.
In addition, they refuse to terminate me because supposedly I must remain subscribed to their homes 12 months. But lack of bowl they made several errors including that of announcing me the date at Laquels I can send my letter of termination law chatel, unfortunately for them nothing.
On the phone nobody never knows anything, they do not reimburse the quotes announced ....................
I am not absolutely satisfied with their service, they lie, make pellets wait.
Personally I enter justice and contact my legal assistance.</v>
      </c>
    </row>
    <row r="793" ht="15.75" customHeight="1">
      <c r="A793" s="2">
        <v>2.0</v>
      </c>
      <c r="B793" s="2" t="s">
        <v>2203</v>
      </c>
      <c r="C793" s="2" t="s">
        <v>2204</v>
      </c>
      <c r="D793" s="2" t="s">
        <v>32</v>
      </c>
      <c r="E793" s="2" t="s">
        <v>42</v>
      </c>
      <c r="F793" s="2" t="s">
        <v>15</v>
      </c>
      <c r="G793" s="2" t="s">
        <v>612</v>
      </c>
      <c r="H793" s="2" t="s">
        <v>77</v>
      </c>
      <c r="I793" s="2" t="str">
        <f>IFERROR(__xludf.DUMMYFUNCTION("GOOGLETRANSLATE(C793,""fr"",""en"")"),"The quotes for vehicles are competitive but the housing quote is much more expensive than another current proposal.
The site is very well done and easy to use")</f>
        <v>The quotes for vehicles are competitive but the housing quote is much more expensive than another current proposal.
The site is very well done and easy to use</v>
      </c>
    </row>
    <row r="794" ht="15.75" customHeight="1">
      <c r="A794" s="2">
        <v>1.0</v>
      </c>
      <c r="B794" s="2" t="s">
        <v>2205</v>
      </c>
      <c r="C794" s="2" t="s">
        <v>2206</v>
      </c>
      <c r="D794" s="2" t="s">
        <v>32</v>
      </c>
      <c r="E794" s="2" t="s">
        <v>21</v>
      </c>
      <c r="F794" s="2" t="s">
        <v>15</v>
      </c>
      <c r="G794" s="2" t="s">
        <v>1704</v>
      </c>
      <c r="H794" s="2" t="s">
        <v>179</v>
      </c>
      <c r="I794" s="2" t="str">
        <f>IFERROR(__xludf.DUMMYFUNCTION("GOOGLETRANSLATE(C794,""fr"",""en"")"),"How to justify a 10% increase in my contract over a year? It seems to me that the claims have seriously dropped following confinements. I am not satisfied with this excessive and unjustified increase.")</f>
        <v>How to justify a 10% increase in my contract over a year? It seems to me that the claims have seriously dropped following confinements. I am not satisfied with this excessive and unjustified increase.</v>
      </c>
    </row>
    <row r="795" ht="15.75" customHeight="1">
      <c r="A795" s="2">
        <v>5.0</v>
      </c>
      <c r="B795" s="2" t="s">
        <v>2207</v>
      </c>
      <c r="C795" s="2" t="s">
        <v>2208</v>
      </c>
      <c r="D795" s="2" t="s">
        <v>51</v>
      </c>
      <c r="E795" s="2" t="s">
        <v>52</v>
      </c>
      <c r="F795" s="2" t="s">
        <v>15</v>
      </c>
      <c r="G795" s="2" t="s">
        <v>129</v>
      </c>
      <c r="H795" s="2" t="s">
        <v>54</v>
      </c>
      <c r="I795" s="2" t="str">
        <f>IFERROR(__xludf.DUMMYFUNCTION("GOOGLETRANSLATE(C795,""fr"",""en"")"),"Everything suits me at AMV the ease of subscribing, the prices and formulas to the choice. I have been assured for several years and everything is perfect.")</f>
        <v>Everything suits me at AMV the ease of subscribing, the prices and formulas to the choice. I have been assured for several years and everything is perfect.</v>
      </c>
    </row>
    <row r="796" ht="15.75" customHeight="1">
      <c r="A796" s="2">
        <v>1.0</v>
      </c>
      <c r="B796" s="2" t="s">
        <v>2209</v>
      </c>
      <c r="C796" s="2" t="s">
        <v>2210</v>
      </c>
      <c r="D796" s="2" t="s">
        <v>139</v>
      </c>
      <c r="E796" s="2" t="s">
        <v>21</v>
      </c>
      <c r="F796" s="2" t="s">
        <v>15</v>
      </c>
      <c r="G796" s="2" t="s">
        <v>2211</v>
      </c>
      <c r="H796" s="2" t="s">
        <v>306</v>
      </c>
      <c r="I796" s="2" t="str">
        <f>IFERROR(__xludf.DUMMYFUNCTION("GOOGLETRANSLATE(C796,""fr"",""en"")"),"Very expensive in Guadeloupe, does not take into account the individual situation. Retired, in 41 years of license, including 30 in Guadeloupe not 1 accident, not 1 report, not 1 speed in my name. 50% for a very long time. Closed garage. Low rolling. But "&amp;"almost double my brother with equivalent situation in mainland France ...")</f>
        <v>Very expensive in Guadeloupe, does not take into account the individual situation. Retired, in 41 years of license, including 30 in Guadeloupe not 1 accident, not 1 report, not 1 speed in my name. 50% for a very long time. Closed garage. Low rolling. But almost double my brother with equivalent situation in mainland France ...</v>
      </c>
    </row>
    <row r="797" ht="15.75" customHeight="1">
      <c r="A797" s="2">
        <v>1.0</v>
      </c>
      <c r="B797" s="2" t="s">
        <v>2212</v>
      </c>
      <c r="C797" s="2" t="s">
        <v>2213</v>
      </c>
      <c r="D797" s="2" t="s">
        <v>61</v>
      </c>
      <c r="E797" s="2" t="s">
        <v>42</v>
      </c>
      <c r="F797" s="2" t="s">
        <v>15</v>
      </c>
      <c r="G797" s="2" t="s">
        <v>2214</v>
      </c>
      <c r="H797" s="2" t="s">
        <v>63</v>
      </c>
      <c r="I797" s="2" t="str">
        <f>IFERROR(__xludf.DUMMYFUNCTION("GOOGLETRANSLATE(C797,""fr"",""en"")"),"Insurance to flee")</f>
        <v>Insurance to flee</v>
      </c>
    </row>
    <row r="798" ht="15.75" customHeight="1">
      <c r="A798" s="2">
        <v>5.0</v>
      </c>
      <c r="B798" s="2" t="s">
        <v>2215</v>
      </c>
      <c r="C798" s="2" t="s">
        <v>2216</v>
      </c>
      <c r="D798" s="2" t="s">
        <v>32</v>
      </c>
      <c r="E798" s="2" t="s">
        <v>21</v>
      </c>
      <c r="F798" s="2" t="s">
        <v>15</v>
      </c>
      <c r="G798" s="2" t="s">
        <v>730</v>
      </c>
      <c r="H798" s="2" t="s">
        <v>38</v>
      </c>
      <c r="I798" s="2" t="str">
        <f>IFERROR(__xludf.DUMMYFUNCTION("GOOGLETRANSLATE(C798,""fr"",""en"")"),"I am satisfied with the service, fast, competitive, efficient price! Everything I needed in just a few minutes! This took me shortly and frankly I recommend!")</f>
        <v>I am satisfied with the service, fast, competitive, efficient price! Everything I needed in just a few minutes! This took me shortly and frankly I recommend!</v>
      </c>
    </row>
    <row r="799" ht="15.75" customHeight="1">
      <c r="A799" s="2">
        <v>3.0</v>
      </c>
      <c r="B799" s="2" t="s">
        <v>2217</v>
      </c>
      <c r="C799" s="2" t="s">
        <v>2218</v>
      </c>
      <c r="D799" s="2" t="s">
        <v>222</v>
      </c>
      <c r="E799" s="2" t="s">
        <v>52</v>
      </c>
      <c r="F799" s="2" t="s">
        <v>15</v>
      </c>
      <c r="G799" s="2" t="s">
        <v>993</v>
      </c>
      <c r="H799" s="2" t="s">
        <v>188</v>
      </c>
      <c r="I799" s="2" t="str">
        <f>IFERROR(__xludf.DUMMYFUNCTION("GOOGLETRANSLATE(C799,""fr"",""en"")"),"Abusive termination, and then, well, ultimately, no, unless yes, in short we do not know too much !!!!!!")</f>
        <v>Abusive termination, and then, well, ultimately, no, unless yes, in short we do not know too much !!!!!!</v>
      </c>
    </row>
    <row r="800" ht="15.75" customHeight="1">
      <c r="A800" s="2">
        <v>1.0</v>
      </c>
      <c r="B800" s="2" t="s">
        <v>2219</v>
      </c>
      <c r="C800" s="2" t="s">
        <v>2220</v>
      </c>
      <c r="D800" s="2" t="s">
        <v>32</v>
      </c>
      <c r="E800" s="2" t="s">
        <v>21</v>
      </c>
      <c r="F800" s="2" t="s">
        <v>15</v>
      </c>
      <c r="G800" s="2" t="s">
        <v>2221</v>
      </c>
      <c r="H800" s="2" t="s">
        <v>1269</v>
      </c>
      <c r="I800" s="2" t="str">
        <f>IFERROR(__xludf.DUMMYFUNCTION("GOOGLETRANSLATE(C800,""fr"",""en"")"),"Customer at home for 4 years, asks this day to review my car insurance because at competition I am offered the same thing with a difference 50 euros. The phone advisor tells me that we cannot make a reassessment of my contract that attractive offers are o"&amp;"nly for new customers. Funny loyalty at Direct Insurance. We attract new customers but we do nothing to keep them. Suddenly, I subscribed elsewhere. Bye bye direct insurance!")</f>
        <v>Customer at home for 4 years, asks this day to review my car insurance because at competition I am offered the same thing with a difference 50 euros. The phone advisor tells me that we cannot make a reassessment of my contract that attractive offers are only for new customers. Funny loyalty at Direct Insurance. We attract new customers but we do nothing to keep them. Suddenly, I subscribed elsewhere. Bye bye direct insurance!</v>
      </c>
    </row>
    <row r="801" ht="15.75" customHeight="1">
      <c r="A801" s="2">
        <v>4.0</v>
      </c>
      <c r="B801" s="2" t="s">
        <v>2222</v>
      </c>
      <c r="C801" s="2" t="s">
        <v>2223</v>
      </c>
      <c r="D801" s="2" t="s">
        <v>20</v>
      </c>
      <c r="E801" s="2" t="s">
        <v>21</v>
      </c>
      <c r="F801" s="2" t="s">
        <v>15</v>
      </c>
      <c r="G801" s="2" t="s">
        <v>2224</v>
      </c>
      <c r="H801" s="2" t="s">
        <v>95</v>
      </c>
      <c r="I801" s="2" t="str">
        <f>IFERROR(__xludf.DUMMYFUNCTION("GOOGLETRANSLATE(C801,""fr"",""en"")"),"I am satisfied with our exchanges I will recommend your insurance
A good connection with the customer and a very good accuail with your very reactive services")</f>
        <v>I am satisfied with our exchanges I will recommend your insurance
A good connection with the customer and a very good accuail with your very reactive services</v>
      </c>
    </row>
    <row r="802" ht="15.75" customHeight="1">
      <c r="A802" s="2">
        <v>1.0</v>
      </c>
      <c r="B802" s="2" t="s">
        <v>2225</v>
      </c>
      <c r="C802" s="2" t="s">
        <v>2226</v>
      </c>
      <c r="D802" s="2" t="s">
        <v>32</v>
      </c>
      <c r="E802" s="2" t="s">
        <v>21</v>
      </c>
      <c r="F802" s="2" t="s">
        <v>15</v>
      </c>
      <c r="G802" s="2" t="s">
        <v>1623</v>
      </c>
      <c r="H802" s="2" t="s">
        <v>48</v>
      </c>
      <c r="I802" s="2" t="str">
        <f>IFERROR(__xludf.DUMMYFUNCTION("GOOGLETRANSLATE(C802,""fr"",""en"")"),"Exorbitant price increases each year without any reason when I have never had an accident. When you want to talk to an advisor the platforms are abroad and gives you the same elements that you find on the advertiser's website. In short, I take the steps t"&amp;"o leave.")</f>
        <v>Exorbitant price increases each year without any reason when I have never had an accident. When you want to talk to an advisor the platforms are abroad and gives you the same elements that you find on the advertiser's website. In short, I take the steps to leave.</v>
      </c>
    </row>
    <row r="803" ht="15.75" customHeight="1">
      <c r="A803" s="2">
        <v>4.0</v>
      </c>
      <c r="B803" s="2" t="s">
        <v>2227</v>
      </c>
      <c r="C803" s="2" t="s">
        <v>2228</v>
      </c>
      <c r="D803" s="2" t="s">
        <v>32</v>
      </c>
      <c r="E803" s="2" t="s">
        <v>21</v>
      </c>
      <c r="F803" s="2" t="s">
        <v>15</v>
      </c>
      <c r="G803" s="2" t="s">
        <v>548</v>
      </c>
      <c r="H803" s="2" t="s">
        <v>48</v>
      </c>
      <c r="I803" s="2" t="str">
        <f>IFERROR(__xludf.DUMMYFUNCTION("GOOGLETRANSLATE(C803,""fr"",""en"")"),"Since 31/12 everything is fine!
The only insurance to have resumed my scooter insurance seniority so as not to start as a young driver.
We are satisfied")</f>
        <v>Since 31/12 everything is fine!
The only insurance to have resumed my scooter insurance seniority so as not to start as a young driver.
We are satisfied</v>
      </c>
    </row>
    <row r="804" ht="15.75" customHeight="1">
      <c r="A804" s="2">
        <v>4.0</v>
      </c>
      <c r="B804" s="2" t="s">
        <v>2229</v>
      </c>
      <c r="C804" s="2" t="s">
        <v>2230</v>
      </c>
      <c r="D804" s="2" t="s">
        <v>434</v>
      </c>
      <c r="E804" s="2" t="s">
        <v>14</v>
      </c>
      <c r="F804" s="2" t="s">
        <v>15</v>
      </c>
      <c r="G804" s="2" t="s">
        <v>1117</v>
      </c>
      <c r="H804" s="2" t="s">
        <v>23</v>
      </c>
      <c r="I804" s="2" t="str">
        <f>IFERROR(__xludf.DUMMYFUNCTION("GOOGLETRANSLATE(C804,""fr"",""en"")"),"Reactive mutual, listening advises you and guides you in your efforts ... Quick reimbursement without much effort I strongly recommend April health !!!")</f>
        <v>Reactive mutual, listening advises you and guides you in your efforts ... Quick reimbursement without much effort I strongly recommend April health !!!</v>
      </c>
    </row>
    <row r="805" ht="15.75" customHeight="1">
      <c r="A805" s="2">
        <v>3.0</v>
      </c>
      <c r="B805" s="2" t="s">
        <v>2231</v>
      </c>
      <c r="C805" s="2" t="s">
        <v>2232</v>
      </c>
      <c r="D805" s="2" t="s">
        <v>20</v>
      </c>
      <c r="E805" s="2" t="s">
        <v>21</v>
      </c>
      <c r="F805" s="2" t="s">
        <v>15</v>
      </c>
      <c r="G805" s="2" t="s">
        <v>1910</v>
      </c>
      <c r="H805" s="2" t="s">
        <v>95</v>
      </c>
      <c r="I805" s="2" t="str">
        <f>IFERROR(__xludf.DUMMYFUNCTION("GOOGLETRANSLATE(C805,""fr"",""en"")"),"Very professional thank you for your speed and your prices which are below the price offered on the internet. I recommend you undoubtedly and thank you")</f>
        <v>Very professional thank you for your speed and your prices which are below the price offered on the internet. I recommend you undoubtedly and thank you</v>
      </c>
    </row>
    <row r="806" ht="15.75" customHeight="1">
      <c r="A806" s="2">
        <v>1.0</v>
      </c>
      <c r="B806" s="2" t="s">
        <v>2233</v>
      </c>
      <c r="C806" s="2" t="s">
        <v>2234</v>
      </c>
      <c r="D806" s="2" t="s">
        <v>222</v>
      </c>
      <c r="E806" s="2" t="s">
        <v>21</v>
      </c>
      <c r="F806" s="2" t="s">
        <v>15</v>
      </c>
      <c r="G806" s="2" t="s">
        <v>2235</v>
      </c>
      <c r="H806" s="2" t="s">
        <v>406</v>
      </c>
      <c r="I806" s="2" t="str">
        <f>IFERROR(__xludf.DUMMYFUNCTION("GOOGLETRANSLATE(C806,""fr"",""en"")"),"Since 07/01/2019 I have been trying to terminate the contract with AXA I do everything as it should with the Hamon law
I still can't I tell me about site problems for 5 months
I am very angry")</f>
        <v>Since 07/01/2019 I have been trying to terminate the contract with AXA I do everything as it should with the Hamon law
I still can't I tell me about site problems for 5 months
I am very angry</v>
      </c>
    </row>
    <row r="807" ht="15.75" customHeight="1">
      <c r="A807" s="2">
        <v>1.0</v>
      </c>
      <c r="B807" s="2" t="s">
        <v>2236</v>
      </c>
      <c r="C807" s="2" t="s">
        <v>2237</v>
      </c>
      <c r="D807" s="2" t="s">
        <v>670</v>
      </c>
      <c r="E807" s="2" t="s">
        <v>14</v>
      </c>
      <c r="F807" s="2" t="s">
        <v>15</v>
      </c>
      <c r="G807" s="2" t="s">
        <v>2238</v>
      </c>
      <c r="H807" s="2" t="s">
        <v>48</v>
      </c>
      <c r="I807" s="2" t="str">
        <f>IFERROR(__xludf.DUMMYFUNCTION("GOOGLETRANSLATE(C807,""fr"",""en"")"),"My mother pays a fortune for a mutual that never responds or after a month !!! Impossible to join them which does not reimburse or very late and see not at all !!!")</f>
        <v>My mother pays a fortune for a mutual that never responds or after a month !!! Impossible to join them which does not reimburse or very late and see not at all !!!</v>
      </c>
    </row>
    <row r="808" ht="15.75" customHeight="1">
      <c r="A808" s="2">
        <v>4.0</v>
      </c>
      <c r="B808" s="2" t="s">
        <v>2239</v>
      </c>
      <c r="C808" s="2" t="s">
        <v>2240</v>
      </c>
      <c r="D808" s="2" t="s">
        <v>106</v>
      </c>
      <c r="E808" s="2" t="s">
        <v>14</v>
      </c>
      <c r="F808" s="2" t="s">
        <v>15</v>
      </c>
      <c r="G808" s="2" t="s">
        <v>2241</v>
      </c>
      <c r="H808" s="2" t="s">
        <v>110</v>
      </c>
      <c r="I808" s="2" t="str">
        <f>IFERROR(__xludf.DUMMYFUNCTION("GOOGLETRANSLATE(C808,""fr"",""en"")"),"I am very happy with this mutual insurance company that I have for 5 years warranty level reimbursement I am satisfied with customer service they answer generally fairly quickly")</f>
        <v>I am very happy with this mutual insurance company that I have for 5 years warranty level reimbursement I am satisfied with customer service they answer generally fairly quickly</v>
      </c>
    </row>
    <row r="809" ht="15.75" customHeight="1">
      <c r="A809" s="2">
        <v>2.0</v>
      </c>
      <c r="B809" s="2" t="s">
        <v>2242</v>
      </c>
      <c r="C809" s="2" t="s">
        <v>2243</v>
      </c>
      <c r="D809" s="2" t="s">
        <v>41</v>
      </c>
      <c r="E809" s="2" t="s">
        <v>21</v>
      </c>
      <c r="F809" s="2" t="s">
        <v>15</v>
      </c>
      <c r="G809" s="2" t="s">
        <v>2244</v>
      </c>
      <c r="H809" s="2" t="s">
        <v>276</v>
      </c>
      <c r="I809" s="2" t="str">
        <f>IFERROR(__xludf.DUMMYFUNCTION("GOOGLETRANSLATE(C809,""fr"",""en"")"),"This insurance can terminate your contract if you have two claims in one year when you have been a customer for 3 years and have made 90,000km the claims I had:
 - A break in ice that cost them € 108. I did not do it on purpose to have a small impact (lo"&amp;"wer than a part of € 2) on my windshield.
- A responsible disaster that cost them too much.
I am not profitable so goodbye madam. I find it lamentable !!")</f>
        <v>This insurance can terminate your contract if you have two claims in one year when you have been a customer for 3 years and have made 90,000km the claims I had:
 - A break in ice that cost them € 108. I did not do it on purpose to have a small impact (lower than a part of € 2) on my windshield.
- A responsible disaster that cost them too much.
I am not profitable so goodbye madam. I find it lamentable !!</v>
      </c>
    </row>
    <row r="810" ht="15.75" customHeight="1">
      <c r="A810" s="2">
        <v>2.0</v>
      </c>
      <c r="B810" s="2" t="s">
        <v>2245</v>
      </c>
      <c r="C810" s="2" t="s">
        <v>2246</v>
      </c>
      <c r="D810" s="2" t="s">
        <v>434</v>
      </c>
      <c r="E810" s="2" t="s">
        <v>128</v>
      </c>
      <c r="F810" s="2" t="s">
        <v>15</v>
      </c>
      <c r="G810" s="2" t="s">
        <v>2247</v>
      </c>
      <c r="H810" s="2" t="s">
        <v>199</v>
      </c>
      <c r="I810" s="2" t="str">
        <f>IFERROR(__xludf.DUMMYFUNCTION("GOOGLETRANSLATE(C810,""fr"",""en"")"),"A star is already too much !!!!!
I ask for a quote for borrower insurance. I accept the quote I am asked for tons of documents that I have, personal documents anyway !!!!
I am given an email to return documents that I have four times including on the mo"&amp;"bile phone and yet I am continuing to claim its same documents. I make one then two complaints and since radio silence.
April for me corresponds to lack of professionalism, ""fucking mouth"" sorry to be vulgar.
So thank you April because thanks to your "&amp;"lack of professionalism I decided to put an opinion and there I realize that you are not serious at all.
Fortunately for me suddenly !!! I will therefore not go further with you!")</f>
        <v>A star is already too much !!!!!
I ask for a quote for borrower insurance. I accept the quote I am asked for tons of documents that I have, personal documents anyway !!!!
I am given an email to return documents that I have four times including on the mobile phone and yet I am continuing to claim its same documents. I make one then two complaints and since radio silence.
April for me corresponds to lack of professionalism, "fucking mouth" sorry to be vulgar.
So thank you April because thanks to your lack of professionalism I decided to put an opinion and there I realize that you are not serious at all.
Fortunately for me suddenly !!! I will therefore not go further with you!</v>
      </c>
    </row>
    <row r="811" ht="15.75" customHeight="1">
      <c r="A811" s="2">
        <v>2.0</v>
      </c>
      <c r="B811" s="2" t="s">
        <v>2248</v>
      </c>
      <c r="C811" s="2" t="s">
        <v>2249</v>
      </c>
      <c r="D811" s="2" t="s">
        <v>150</v>
      </c>
      <c r="E811" s="2" t="s">
        <v>52</v>
      </c>
      <c r="F811" s="2" t="s">
        <v>15</v>
      </c>
      <c r="G811" s="2" t="s">
        <v>2250</v>
      </c>
      <c r="H811" s="2" t="s">
        <v>110</v>
      </c>
      <c r="I811" s="2" t="str">
        <f>IFERROR(__xludf.DUMMYFUNCTION("GOOGLETRANSLATE(C811,""fr"",""en"")"),"To flee. They only have the advantageous price but the service is disastrous.
When setting up insurance on the phone, the person who establishes me insurance offers me at all risk what I accept without offering other options including 0km assistance.
I "&amp;"broke down thereafter a few km from my home and I discover that there is no 0km assistance when they did not tell me at the same time when taking out insurance !!
Customer service who does not want to know anything")</f>
        <v>To flee. They only have the advantageous price but the service is disastrous.
When setting up insurance on the phone, the person who establishes me insurance offers me at all risk what I accept without offering other options including 0km assistance.
I broke down thereafter a few km from my home and I discover that there is no 0km assistance when they did not tell me at the same time when taking out insurance !!
Customer service who does not want to know anything</v>
      </c>
    </row>
    <row r="812" ht="15.75" customHeight="1">
      <c r="A812" s="2">
        <v>2.0</v>
      </c>
      <c r="B812" s="2" t="s">
        <v>2251</v>
      </c>
      <c r="C812" s="2" t="s">
        <v>2252</v>
      </c>
      <c r="D812" s="2" t="s">
        <v>819</v>
      </c>
      <c r="E812" s="2" t="s">
        <v>42</v>
      </c>
      <c r="F812" s="2" t="s">
        <v>15</v>
      </c>
      <c r="G812" s="2" t="s">
        <v>2253</v>
      </c>
      <c r="H812" s="2" t="s">
        <v>552</v>
      </c>
      <c r="I812" s="2" t="str">
        <f>IFERROR(__xludf.DUMMYFUNCTION("GOOGLETRANSLATE(C812,""fr"",""en"")"),"Despite a gendarmerie complaint against Mr V..TA..on for voluntary degradation of equipment, repair quote, 20 phone calls, recovery letters, a so -called expert who is inappropriate (never seen) but who To find the complex file, a new mandated expert, rai"&amp;"sing in agency. 1 Me after the disaster still no solutions for air conditioning which no longer works in my restaurant !!! June and July 2019 with temperature records. Thank you Groupama; To run away absolutely")</f>
        <v>Despite a gendarmerie complaint against Mr V..TA..on for voluntary degradation of equipment, repair quote, 20 phone calls, recovery letters, a so -called expert who is inappropriate (never seen) but who To find the complex file, a new mandated expert, raising in agency. 1 Me after the disaster still no solutions for air conditioning which no longer works in my restaurant !!! June and July 2019 with temperature records. Thank you Groupama; To run away absolutely</v>
      </c>
    </row>
    <row r="813" ht="15.75" customHeight="1">
      <c r="A813" s="2">
        <v>5.0</v>
      </c>
      <c r="B813" s="2" t="s">
        <v>2254</v>
      </c>
      <c r="C813" s="2" t="s">
        <v>2255</v>
      </c>
      <c r="D813" s="2" t="s">
        <v>20</v>
      </c>
      <c r="E813" s="2" t="s">
        <v>21</v>
      </c>
      <c r="F813" s="2" t="s">
        <v>15</v>
      </c>
      <c r="G813" s="2" t="s">
        <v>2256</v>
      </c>
      <c r="H813" s="2" t="s">
        <v>95</v>
      </c>
      <c r="I813" s="2" t="str">
        <f>IFERROR(__xludf.DUMMYFUNCTION("GOOGLETRANSLATE(C813,""fr"",""en"")"),"Satisfied with the service, the excellent value for money, simple and efficient response. The responses are to the author of the request with the optimal guarantees")</f>
        <v>Satisfied with the service, the excellent value for money, simple and efficient response. The responses are to the author of the request with the optimal guarantees</v>
      </c>
    </row>
    <row r="814" ht="15.75" customHeight="1">
      <c r="A814" s="2">
        <v>2.0</v>
      </c>
      <c r="B814" s="2" t="s">
        <v>2257</v>
      </c>
      <c r="C814" s="2" t="s">
        <v>2258</v>
      </c>
      <c r="D814" s="2" t="s">
        <v>1034</v>
      </c>
      <c r="E814" s="2" t="s">
        <v>128</v>
      </c>
      <c r="F814" s="2" t="s">
        <v>15</v>
      </c>
      <c r="G814" s="2" t="s">
        <v>2259</v>
      </c>
      <c r="H814" s="2" t="s">
        <v>253</v>
      </c>
      <c r="I814" s="2" t="str">
        <f>IFERROR(__xludf.DUMMYFUNCTION("GOOGLETRANSLATE(C814,""fr"",""en"")"),"Service bordering on honesty when I request multi impact to claim the reimbursement of the sums withdrawn
Folder fees are not taken into account if you do not motivate your request by email
(request and oral explanation made with customer service)
one "&amp;"way on their part not to reimburse the too perceived sum
not very serious or honest; The image of the insurer, once again degraded by a service where customer satisfaction is placed in the second rank!
")</f>
        <v>Service bordering on honesty when I request multi impact to claim the reimbursement of the sums withdrawn
Folder fees are not taken into account if you do not motivate your request by email
(request and oral explanation made with customer service)
one way on their part not to reimburse the too perceived sum
not very serious or honest; The image of the insurer, once again degraded by a service where customer satisfaction is placed in the second rank!
</v>
      </c>
    </row>
    <row r="815" ht="15.75" customHeight="1">
      <c r="A815" s="2">
        <v>5.0</v>
      </c>
      <c r="B815" s="2" t="s">
        <v>2260</v>
      </c>
      <c r="C815" s="2" t="s">
        <v>2261</v>
      </c>
      <c r="D815" s="2" t="s">
        <v>20</v>
      </c>
      <c r="E815" s="2" t="s">
        <v>21</v>
      </c>
      <c r="F815" s="2" t="s">
        <v>15</v>
      </c>
      <c r="G815" s="2" t="s">
        <v>1091</v>
      </c>
      <c r="H815" s="2" t="s">
        <v>54</v>
      </c>
      <c r="I815" s="2" t="str">
        <f>IFERROR(__xludf.DUMMYFUNCTION("GOOGLETRANSLATE(C815,""fr"",""en"")"),"I am satisfied
good contact
interesting price
I recommend the Olivier insurance at the attractive price and very attentive to their customer
Easy to access a car in two minutes")</f>
        <v>I am satisfied
good contact
interesting price
I recommend the Olivier insurance at the attractive price and very attentive to their customer
Easy to access a car in two minutes</v>
      </c>
    </row>
    <row r="816" ht="15.75" customHeight="1">
      <c r="A816" s="2">
        <v>4.0</v>
      </c>
      <c r="B816" s="2" t="s">
        <v>2262</v>
      </c>
      <c r="C816" s="2" t="s">
        <v>2263</v>
      </c>
      <c r="D816" s="2" t="s">
        <v>150</v>
      </c>
      <c r="E816" s="2" t="s">
        <v>21</v>
      </c>
      <c r="F816" s="2" t="s">
        <v>15</v>
      </c>
      <c r="G816" s="2" t="s">
        <v>1394</v>
      </c>
      <c r="H816" s="2" t="s">
        <v>48</v>
      </c>
      <c r="I816" s="2" t="str">
        <f>IFERROR(__xludf.DUMMYFUNCTION("GOOGLETRANSLATE(C816,""fr"",""en"")"),"Macif services presents a
Welcome, a good monitoring of the disaster. Very good responsiveness, good adaptable coverage and citizen involvement.")</f>
        <v>Macif services presents a
Welcome, a good monitoring of the disaster. Very good responsiveness, good adaptable coverage and citizen involvement.</v>
      </c>
    </row>
    <row r="817" ht="15.75" customHeight="1">
      <c r="A817" s="2">
        <v>1.0</v>
      </c>
      <c r="B817" s="2" t="s">
        <v>2264</v>
      </c>
      <c r="C817" s="2" t="s">
        <v>2265</v>
      </c>
      <c r="D817" s="2" t="s">
        <v>26</v>
      </c>
      <c r="E817" s="2" t="s">
        <v>27</v>
      </c>
      <c r="F817" s="2" t="s">
        <v>15</v>
      </c>
      <c r="G817" s="2" t="s">
        <v>2266</v>
      </c>
      <c r="H817" s="2" t="s">
        <v>34</v>
      </c>
      <c r="I817" s="2" t="str">
        <f>IFERROR(__xludf.DUMMYFUNCTION("GOOGLETRANSLATE(C817,""fr"",""en"")"),"Scandalous insurer! My mother died on April 17 and subscribed 2 life insurance. For the 1st, we finished the procedures and was paid on July 10. For AFER, warned at the same time, we are still waiting for the files. All is said ! No interlocutor, no answe"&amp;"r, the only communication is to ask us for the 2nd time who are the beneficiaries while this information is confidential and that they have it of course .... I am at the stage where I will seize a consumer association or even a lawyer. To flee.")</f>
        <v>Scandalous insurer! My mother died on April 17 and subscribed 2 life insurance. For the 1st, we finished the procedures and was paid on July 10. For AFER, warned at the same time, we are still waiting for the files. All is said ! No interlocutor, no answer, the only communication is to ask us for the 2nd time who are the beneficiaries while this information is confidential and that they have it of course .... I am at the stage where I will seize a consumer association or even a lawyer. To flee.</v>
      </c>
    </row>
    <row r="818" ht="15.75" customHeight="1">
      <c r="A818" s="2">
        <v>1.0</v>
      </c>
      <c r="B818" s="2" t="s">
        <v>2267</v>
      </c>
      <c r="C818" s="2" t="s">
        <v>2268</v>
      </c>
      <c r="D818" s="2" t="s">
        <v>314</v>
      </c>
      <c r="E818" s="2" t="s">
        <v>21</v>
      </c>
      <c r="F818" s="2" t="s">
        <v>15</v>
      </c>
      <c r="G818" s="2" t="s">
        <v>2269</v>
      </c>
      <c r="H818" s="2" t="s">
        <v>552</v>
      </c>
      <c r="I818" s="2" t="str">
        <f>IFERROR(__xludf.DUMMYFUNCTION("GOOGLETRANSLATE(C818,""fr"",""en"")"),"Hello, formal notice sent on July 4 for a direct debit which does this July 10, I call my bank to ask for explanations, the latter tells me that at the refusal was issued, I contact active insurance on a number That was provided to me, but no one picks up"&amp;", I am offered to click on DIES so that I am reminded, but nobody recalls and no response to my emails.
Knowing that I am still waiting for my green card")</f>
        <v>Hello, formal notice sent on July 4 for a direct debit which does this July 10, I call my bank to ask for explanations, the latter tells me that at the refusal was issued, I contact active insurance on a number That was provided to me, but no one picks up, I am offered to click on DIES so that I am reminded, but nobody recalls and no response to my emails.
Knowing that I am still waiting for my green card</v>
      </c>
    </row>
    <row r="819" ht="15.75" customHeight="1">
      <c r="A819" s="2">
        <v>1.0</v>
      </c>
      <c r="B819" s="2" t="s">
        <v>2270</v>
      </c>
      <c r="C819" s="2" t="s">
        <v>2271</v>
      </c>
      <c r="D819" s="2" t="s">
        <v>80</v>
      </c>
      <c r="E819" s="2" t="s">
        <v>14</v>
      </c>
      <c r="F819" s="2" t="s">
        <v>15</v>
      </c>
      <c r="G819" s="2" t="s">
        <v>2272</v>
      </c>
      <c r="H819" s="2" t="s">
        <v>199</v>
      </c>
      <c r="I819" s="2" t="str">
        <f>IFERROR(__xludf.DUMMYFUNCTION("GOOGLETRANSLATE(C819,""fr"",""en"")"),"Incompetent staff, it's exhausting to have to communicate with them. And the reimbursements are not interesting. Blow for national education ...")</f>
        <v>Incompetent staff, it's exhausting to have to communicate with them. And the reimbursements are not interesting. Blow for national education ...</v>
      </c>
    </row>
    <row r="820" ht="15.75" customHeight="1">
      <c r="A820" s="2">
        <v>4.0</v>
      </c>
      <c r="B820" s="2" t="s">
        <v>2273</v>
      </c>
      <c r="C820" s="2" t="s">
        <v>2274</v>
      </c>
      <c r="D820" s="2" t="s">
        <v>13</v>
      </c>
      <c r="E820" s="2" t="s">
        <v>14</v>
      </c>
      <c r="F820" s="2" t="s">
        <v>15</v>
      </c>
      <c r="G820" s="2" t="s">
        <v>2275</v>
      </c>
      <c r="H820" s="2" t="s">
        <v>188</v>
      </c>
      <c r="I820" s="2" t="str">
        <f>IFERROR(__xludf.DUMMYFUNCTION("GOOGLETRANSLATE(C820,""fr"",""en"")"),"I called Santiane to have information on a small concern for levy my account. I had a Caroline interlocutor who found the solution to me.")</f>
        <v>I called Santiane to have information on a small concern for levy my account. I had a Caroline interlocutor who found the solution to me.</v>
      </c>
    </row>
    <row r="821" ht="15.75" customHeight="1">
      <c r="A821" s="2">
        <v>5.0</v>
      </c>
      <c r="B821" s="2" t="s">
        <v>2276</v>
      </c>
      <c r="C821" s="2" t="s">
        <v>2277</v>
      </c>
      <c r="D821" s="2" t="s">
        <v>20</v>
      </c>
      <c r="E821" s="2" t="s">
        <v>21</v>
      </c>
      <c r="F821" s="2" t="s">
        <v>15</v>
      </c>
      <c r="G821" s="2" t="s">
        <v>1862</v>
      </c>
      <c r="H821" s="2" t="s">
        <v>58</v>
      </c>
      <c r="I821" s="2" t="str">
        <f>IFERROR(__xludf.DUMMYFUNCTION("GOOGLETRANSLATE(C821,""fr"",""en"")"),"I am very happy
Perfect customer service a good listening to the customer
I recommend because attractive price not as some others allowing us to ""steal"" us")</f>
        <v>I am very happy
Perfect customer service a good listening to the customer
I recommend because attractive price not as some others allowing us to "steal" us</v>
      </c>
    </row>
    <row r="822" ht="15.75" customHeight="1">
      <c r="A822" s="2">
        <v>5.0</v>
      </c>
      <c r="B822" s="2" t="s">
        <v>2278</v>
      </c>
      <c r="C822" s="2" t="s">
        <v>2279</v>
      </c>
      <c r="D822" s="2" t="s">
        <v>20</v>
      </c>
      <c r="E822" s="2" t="s">
        <v>21</v>
      </c>
      <c r="F822" s="2" t="s">
        <v>15</v>
      </c>
      <c r="G822" s="2" t="s">
        <v>450</v>
      </c>
      <c r="H822" s="2" t="s">
        <v>95</v>
      </c>
      <c r="I822" s="2" t="str">
        <f>IFERROR(__xludf.DUMMYFUNCTION("GOOGLETRANSLATE(C822,""fr"",""en"")"),"I was very well recommended for the subscription of my car contract. The prices are attractive and for the same guarantees as other companies. I do not regret my choice to be part of the new customers L’Olivier Assurances")</f>
        <v>I was very well recommended for the subscription of my car contract. The prices are attractive and for the same guarantees as other companies. I do not regret my choice to be part of the new customers L’Olivier Assurances</v>
      </c>
    </row>
    <row r="823" ht="15.75" customHeight="1">
      <c r="A823" s="2">
        <v>1.0</v>
      </c>
      <c r="B823" s="2" t="s">
        <v>2280</v>
      </c>
      <c r="C823" s="2" t="s">
        <v>2281</v>
      </c>
      <c r="D823" s="2" t="s">
        <v>150</v>
      </c>
      <c r="E823" s="2" t="s">
        <v>544</v>
      </c>
      <c r="F823" s="2" t="s">
        <v>15</v>
      </c>
      <c r="G823" s="2" t="s">
        <v>2282</v>
      </c>
      <c r="H823" s="2" t="s">
        <v>253</v>
      </c>
      <c r="I823" s="2" t="str">
        <f>IFERROR(__xludf.DUMMYFUNCTION("GOOGLETRANSLATE(C823,""fr"",""en"")"),"Surrealist event: I go a few days ago to my Macif agency to complain about the lack of responses following a bodily disaster that I declared several months ago. After complaining about the advisor, this likely ""at the end of the roller"" tells me that sh"&amp;"e is on the start as she can no longer be hably every day by Macif members . She also tells me that he ..... It is better that I go to make sure that the problems are innumerable to the Macif.
This is what I am doing !!")</f>
        <v>Surrealist event: I go a few days ago to my Macif agency to complain about the lack of responses following a bodily disaster that I declared several months ago. After complaining about the advisor, this likely "at the end of the roller" tells me that she is on the start as she can no longer be hably every day by Macif members . She also tells me that he ..... It is better that I go to make sure that the problems are innumerable to the Macif.
This is what I am doing !!</v>
      </c>
    </row>
    <row r="824" ht="15.75" customHeight="1">
      <c r="A824" s="2">
        <v>5.0</v>
      </c>
      <c r="B824" s="2" t="s">
        <v>2283</v>
      </c>
      <c r="C824" s="2" t="s">
        <v>2284</v>
      </c>
      <c r="D824" s="2" t="s">
        <v>106</v>
      </c>
      <c r="E824" s="2" t="s">
        <v>14</v>
      </c>
      <c r="F824" s="2" t="s">
        <v>15</v>
      </c>
      <c r="G824" s="2" t="s">
        <v>1114</v>
      </c>
      <c r="H824" s="2" t="s">
        <v>406</v>
      </c>
      <c r="I824" s="2" t="str">
        <f>IFERROR(__xludf.DUMMYFUNCTION("GOOGLETRANSLATE(C824,""fr"",""en"")"),"Sami informed me very well, I called by telling myself that I will have (like all other telephone services) more questions than answers and ultimately, I come out with more questions. A huge thank you to Sami!")</f>
        <v>Sami informed me very well, I called by telling myself that I will have (like all other telephone services) more questions than answers and ultimately, I come out with more questions. A huge thank you to Sami!</v>
      </c>
    </row>
    <row r="825" ht="15.75" customHeight="1">
      <c r="A825" s="2">
        <v>1.0</v>
      </c>
      <c r="B825" s="2" t="s">
        <v>2285</v>
      </c>
      <c r="C825" s="2" t="s">
        <v>2286</v>
      </c>
      <c r="D825" s="2" t="s">
        <v>61</v>
      </c>
      <c r="E825" s="2" t="s">
        <v>42</v>
      </c>
      <c r="F825" s="2" t="s">
        <v>15</v>
      </c>
      <c r="G825" s="2" t="s">
        <v>1088</v>
      </c>
      <c r="H825" s="2" t="s">
        <v>188</v>
      </c>
      <c r="I825" s="2" t="str">
        <f>IFERROR(__xludf.DUMMYFUNCTION("GOOGLETRANSLATE(C825,""fr"",""en"")"),"For more than 40 years at Crédit Mutuel, 25 years old at ACM, has negotiated 0 euros in deductible, and each year has paid 500 euros for that, has played insurance 5 times for small sums since 2016, in total no more 800 euros of reimbursement. This situat"&amp;"ion is intolerable for AMs, so they ask me to sign an amendment with a deductible of 150 euros, i.e. I get out.")</f>
        <v>For more than 40 years at Crédit Mutuel, 25 years old at ACM, has negotiated 0 euros in deductible, and each year has paid 500 euros for that, has played insurance 5 times for small sums since 2016, in total no more 800 euros of reimbursement. This situation is intolerable for AMs, so they ask me to sign an amendment with a deductible of 150 euros, i.e. I get out.</v>
      </c>
    </row>
    <row r="826" ht="15.75" customHeight="1">
      <c r="A826" s="2">
        <v>5.0</v>
      </c>
      <c r="B826" s="2" t="s">
        <v>2287</v>
      </c>
      <c r="C826" s="2" t="s">
        <v>2288</v>
      </c>
      <c r="D826" s="2" t="s">
        <v>20</v>
      </c>
      <c r="E826" s="2" t="s">
        <v>21</v>
      </c>
      <c r="F826" s="2" t="s">
        <v>15</v>
      </c>
      <c r="G826" s="2" t="s">
        <v>1785</v>
      </c>
      <c r="H826" s="2" t="s">
        <v>23</v>
      </c>
      <c r="I826" s="2" t="str">
        <f>IFERROR(__xludf.DUMMYFUNCTION("GOOGLETRANSLATE(C826,""fr"",""en"")"),"Super accepts all the drivers, even young people with powerful cars which is not the case for any other insurance. Thank you to you responsive and attentive I recommend.")</f>
        <v>Super accepts all the drivers, even young people with powerful cars which is not the case for any other insurance. Thank you to you responsive and attentive I recommend.</v>
      </c>
    </row>
    <row r="827" ht="15.75" customHeight="1">
      <c r="A827" s="2">
        <v>5.0</v>
      </c>
      <c r="B827" s="2" t="s">
        <v>2289</v>
      </c>
      <c r="C827" s="2" t="s">
        <v>2290</v>
      </c>
      <c r="D827" s="2" t="s">
        <v>32</v>
      </c>
      <c r="E827" s="2" t="s">
        <v>21</v>
      </c>
      <c r="F827" s="2" t="s">
        <v>15</v>
      </c>
      <c r="G827" s="2" t="s">
        <v>48</v>
      </c>
      <c r="H827" s="2" t="s">
        <v>48</v>
      </c>
      <c r="I827" s="2" t="str">
        <f>IFERROR(__xludf.DUMMYFUNCTION("GOOGLETRANSLATE(C827,""fr"",""en"")"),"I am happy with the price great value for money.
Very pleasant telephone reception. The person on the phone was very patient and very professional")</f>
        <v>I am happy with the price great value for money.
Very pleasant telephone reception. The person on the phone was very patient and very professional</v>
      </c>
    </row>
    <row r="828" ht="15.75" customHeight="1">
      <c r="A828" s="2">
        <v>1.0</v>
      </c>
      <c r="B828" s="2" t="s">
        <v>2291</v>
      </c>
      <c r="C828" s="2" t="s">
        <v>2292</v>
      </c>
      <c r="D828" s="2" t="s">
        <v>469</v>
      </c>
      <c r="E828" s="2" t="s">
        <v>14</v>
      </c>
      <c r="F828" s="2" t="s">
        <v>15</v>
      </c>
      <c r="G828" s="2" t="s">
        <v>2293</v>
      </c>
      <c r="H828" s="2" t="s">
        <v>1064</v>
      </c>
      <c r="I828" s="2" t="str">
        <f>IFERROR(__xludf.DUMMYFUNCTION("GOOGLETRANSLATE(C828,""fr"",""en"")"),"The worst mutual that I never had ... 5 months that I still have not solved a problem. Many calls and new information to be given each time. I strongly advise against it.")</f>
        <v>The worst mutual that I never had ... 5 months that I still have not solved a problem. Many calls and new information to be given each time. I strongly advise against it.</v>
      </c>
    </row>
    <row r="829" ht="15.75" customHeight="1">
      <c r="A829" s="2">
        <v>2.0</v>
      </c>
      <c r="B829" s="2" t="s">
        <v>2294</v>
      </c>
      <c r="C829" s="2" t="s">
        <v>2295</v>
      </c>
      <c r="D829" s="2" t="s">
        <v>150</v>
      </c>
      <c r="E829" s="2" t="s">
        <v>42</v>
      </c>
      <c r="F829" s="2" t="s">
        <v>15</v>
      </c>
      <c r="G829" s="2" t="s">
        <v>1946</v>
      </c>
      <c r="H829" s="2" t="s">
        <v>385</v>
      </c>
      <c r="I829" s="2" t="str">
        <f>IFERROR(__xludf.DUMMYFUNCTION("GOOGLETRANSLATE(C829,""fr"",""en"")"),"Deplorable service during this difficult period")</f>
        <v>Deplorable service during this difficult period</v>
      </c>
    </row>
    <row r="830" ht="15.75" customHeight="1">
      <c r="A830" s="2">
        <v>3.0</v>
      </c>
      <c r="B830" s="2" t="s">
        <v>2296</v>
      </c>
      <c r="C830" s="2" t="s">
        <v>2297</v>
      </c>
      <c r="D830" s="2" t="s">
        <v>139</v>
      </c>
      <c r="E830" s="2" t="s">
        <v>21</v>
      </c>
      <c r="F830" s="2" t="s">
        <v>15</v>
      </c>
      <c r="G830" s="2" t="s">
        <v>2298</v>
      </c>
      <c r="H830" s="2" t="s">
        <v>87</v>
      </c>
      <c r="I830" s="2" t="str">
        <f>IFERROR(__xludf.DUMMYFUNCTION("GOOGLETRANSLATE(C830,""fr"",""en"")"),"I am disappointed not to have a reduction when I moved to St Lô (AR 120 kms) to initiate this contract. I am a very old customer who did not have much disaster. I find the call policies of the new subscribers and little discount for old customers.")</f>
        <v>I am disappointed not to have a reduction when I moved to St Lô (AR 120 kms) to initiate this contract. I am a very old customer who did not have much disaster. I find the call policies of the new subscribers and little discount for old customers.</v>
      </c>
    </row>
    <row r="831" ht="15.75" customHeight="1">
      <c r="A831" s="2">
        <v>3.0</v>
      </c>
      <c r="B831" s="2" t="s">
        <v>2299</v>
      </c>
      <c r="C831" s="2" t="s">
        <v>2300</v>
      </c>
      <c r="D831" s="2" t="s">
        <v>32</v>
      </c>
      <c r="E831" s="2" t="s">
        <v>21</v>
      </c>
      <c r="F831" s="2" t="s">
        <v>15</v>
      </c>
      <c r="G831" s="2" t="s">
        <v>440</v>
      </c>
      <c r="H831" s="2" t="s">
        <v>38</v>
      </c>
      <c r="I831" s="2" t="str">
        <f>IFERROR(__xludf.DUMMYFUNCTION("GOOGLETRANSLATE(C831,""fr"",""en"")"),"I am satisfied with the services, but however, I find the scale of the monthly reimbursements of Youdrive somewhat severe. It is enough to go beyond a vehicle to see our note drop considerably, and therefore at the same time our reimbursement at the end o"&amp;"f the month.")</f>
        <v>I am satisfied with the services, but however, I find the scale of the monthly reimbursements of Youdrive somewhat severe. It is enough to go beyond a vehicle to see our note drop considerably, and therefore at the same time our reimbursement at the end of the month.</v>
      </c>
    </row>
    <row r="832" ht="15.75" customHeight="1">
      <c r="A832" s="2">
        <v>1.0</v>
      </c>
      <c r="B832" s="2" t="s">
        <v>2301</v>
      </c>
      <c r="C832" s="2" t="s">
        <v>2302</v>
      </c>
      <c r="D832" s="2" t="s">
        <v>1034</v>
      </c>
      <c r="E832" s="2" t="s">
        <v>544</v>
      </c>
      <c r="F832" s="2" t="s">
        <v>15</v>
      </c>
      <c r="G832" s="2" t="s">
        <v>2303</v>
      </c>
      <c r="H832" s="2" t="s">
        <v>418</v>
      </c>
      <c r="I832" s="2" t="str">
        <f>IFERROR(__xludf.DUMMYFUNCTION("GOOGLETRANSLATE(C832,""fr"",""en"")"),"Probably the ""worst"" French customer services, no responses to email, telephone and mail. Total contempt for the customer. Scandalous !!!")</f>
        <v>Probably the "worst" French customer services, no responses to email, telephone and mail. Total contempt for the customer. Scandalous !!!</v>
      </c>
    </row>
    <row r="833" ht="15.75" customHeight="1">
      <c r="A833" s="2">
        <v>1.0</v>
      </c>
      <c r="B833" s="2" t="s">
        <v>2304</v>
      </c>
      <c r="C833" s="2" t="s">
        <v>2305</v>
      </c>
      <c r="D833" s="2" t="s">
        <v>122</v>
      </c>
      <c r="E833" s="2" t="s">
        <v>21</v>
      </c>
      <c r="F833" s="2" t="s">
        <v>15</v>
      </c>
      <c r="G833" s="2" t="s">
        <v>2306</v>
      </c>
      <c r="H833" s="2" t="s">
        <v>552</v>
      </c>
      <c r="I833" s="2" t="str">
        <f>IFERROR(__xludf.DUMMYFUNCTION("GOOGLETRANSLATE(C833,""fr"",""en"")"),"For years at home, it has been enough for a breakdown to understand the incompetence of an assistance which if I could I would put a pointed zero. I am disappointed, that's why I go from home because not content insatist, they are not the cheapest on the "&amp;"market. Then even if all the insurers are the same, in principle I would no longer give one more penny.
The Matmut also brings together Maïf and Macif.")</f>
        <v>For years at home, it has been enough for a breakdown to understand the incompetence of an assistance which if I could I would put a pointed zero. I am disappointed, that's why I go from home because not content insatist, they are not the cheapest on the market. Then even if all the insurers are the same, in principle I would no longer give one more penny.
The Matmut also brings together Maïf and Macif.</v>
      </c>
    </row>
    <row r="834" ht="15.75" customHeight="1">
      <c r="A834" s="2">
        <v>4.0</v>
      </c>
      <c r="B834" s="2" t="s">
        <v>2307</v>
      </c>
      <c r="C834" s="2" t="s">
        <v>2308</v>
      </c>
      <c r="D834" s="2" t="s">
        <v>32</v>
      </c>
      <c r="E834" s="2" t="s">
        <v>21</v>
      </c>
      <c r="F834" s="2" t="s">
        <v>15</v>
      </c>
      <c r="G834" s="2" t="s">
        <v>440</v>
      </c>
      <c r="H834" s="2" t="s">
        <v>38</v>
      </c>
      <c r="I834" s="2" t="str">
        <f>IFERROR(__xludf.DUMMYFUNCTION("GOOGLETRANSLATE(C834,""fr"",""en"")"),"Easy subscription, correct price, but too complex termination process: put the registered letter model directly on your site instead of forcing us to call your customer service!")</f>
        <v>Easy subscription, correct price, but too complex termination process: put the registered letter model directly on your site instead of forcing us to call your customer service!</v>
      </c>
    </row>
    <row r="835" ht="15.75" customHeight="1">
      <c r="A835" s="2">
        <v>4.0</v>
      </c>
      <c r="B835" s="2" t="s">
        <v>2309</v>
      </c>
      <c r="C835" s="2" t="s">
        <v>2310</v>
      </c>
      <c r="D835" s="2" t="s">
        <v>106</v>
      </c>
      <c r="E835" s="2" t="s">
        <v>14</v>
      </c>
      <c r="F835" s="2" t="s">
        <v>15</v>
      </c>
      <c r="G835" s="2" t="s">
        <v>2311</v>
      </c>
      <c r="H835" s="2" t="s">
        <v>1372</v>
      </c>
      <c r="I835" s="2" t="str">
        <f>IFERROR(__xludf.DUMMYFUNCTION("GOOGLETRANSLATE(C835,""fr"",""en"")"),"Registration via broker Santiane.fr with access to doctrects and secondary.fr included. Cordial exchange with Sébastien for registration")</f>
        <v>Registration via broker Santiane.fr with access to doctrects and secondary.fr included. Cordial exchange with Sébastien for registration</v>
      </c>
    </row>
    <row r="836" ht="15.75" customHeight="1">
      <c r="A836" s="2">
        <v>2.0</v>
      </c>
      <c r="B836" s="2" t="s">
        <v>2312</v>
      </c>
      <c r="C836" s="2" t="s">
        <v>2313</v>
      </c>
      <c r="D836" s="2" t="s">
        <v>139</v>
      </c>
      <c r="E836" s="2" t="s">
        <v>21</v>
      </c>
      <c r="F836" s="2" t="s">
        <v>15</v>
      </c>
      <c r="G836" s="2" t="s">
        <v>2314</v>
      </c>
      <c r="H836" s="2" t="s">
        <v>876</v>
      </c>
      <c r="I836" s="2" t="str">
        <f>IFERROR(__xludf.DUMMYFUNCTION("GOOGLETRANSLATE(C836,""fr"",""en"")"),"Hello,
I was validated an auto insurance contract by phone and I was asked to go to an agency to file the papers.
Except once there I am refused the contract while payment in a credit card was made the same morning !!!!
So why sell a service that would"&amp;" not comply according to the gentleman who received me with a very cold welcome.
This same gentleman refused to listen to me when I explained what I was told on the phone twice.
I had to change the gray card to ensure the car in question !!!
I question"&amp;" the incompetence of certain people because today it is I who undergoes the consequences.
Suddenly I have another car insured at home as well as home insurance and other small contracts ... I will no longer stay with them and around me with my colleagues"&amp;" and families, I will share this case because I find it unacceptable.
 ")</f>
        <v>Hello,
I was validated an auto insurance contract by phone and I was asked to go to an agency to file the papers.
Except once there I am refused the contract while payment in a credit card was made the same morning !!!!
So why sell a service that would not comply according to the gentleman who received me with a very cold welcome.
This same gentleman refused to listen to me when I explained what I was told on the phone twice.
I had to change the gray card to ensure the car in question !!!
I question the incompetence of certain people because today it is I who undergoes the consequences.
Suddenly I have another car insured at home as well as home insurance and other small contracts ... I will no longer stay with them and around me with my colleagues and families, I will share this case because I find it unacceptable.
 </v>
      </c>
    </row>
    <row r="837" ht="15.75" customHeight="1">
      <c r="A837" s="2">
        <v>3.0</v>
      </c>
      <c r="B837" s="2" t="s">
        <v>2315</v>
      </c>
      <c r="C837" s="2" t="s">
        <v>2316</v>
      </c>
      <c r="D837" s="2" t="s">
        <v>32</v>
      </c>
      <c r="E837" s="2" t="s">
        <v>21</v>
      </c>
      <c r="F837" s="2" t="s">
        <v>15</v>
      </c>
      <c r="G837" s="2" t="s">
        <v>284</v>
      </c>
      <c r="H837" s="2" t="s">
        <v>110</v>
      </c>
      <c r="I837" s="2" t="str">
        <f>IFERROR(__xludf.DUMMYFUNCTION("GOOGLETRANSLATE(C837,""fr"",""en"")"),"I am satisfied with the change in exchange I had on your website and leave the quote I had.
                                           ")</f>
        <v>I am satisfied with the change in exchange I had on your website and leave the quote I had.
                                           </v>
      </c>
    </row>
    <row r="838" ht="15.75" customHeight="1">
      <c r="A838" s="2">
        <v>4.0</v>
      </c>
      <c r="B838" s="2" t="s">
        <v>2317</v>
      </c>
      <c r="C838" s="2" t="s">
        <v>2318</v>
      </c>
      <c r="D838" s="2" t="s">
        <v>32</v>
      </c>
      <c r="E838" s="2" t="s">
        <v>21</v>
      </c>
      <c r="F838" s="2" t="s">
        <v>15</v>
      </c>
      <c r="G838" s="2" t="s">
        <v>269</v>
      </c>
      <c r="H838" s="2" t="s">
        <v>54</v>
      </c>
      <c r="I838" s="2" t="str">
        <f>IFERROR(__xludf.DUMMYFUNCTION("GOOGLETRANSLATE(C838,""fr"",""en"")"),"Convincing price very good fast and precise website do a few minutes. I recommend this car insurance. Direct insurance trusts me with more vehicle")</f>
        <v>Convincing price very good fast and precise website do a few minutes. I recommend this car insurance. Direct insurance trusts me with more vehicle</v>
      </c>
    </row>
    <row r="839" ht="15.75" customHeight="1">
      <c r="A839" s="2">
        <v>4.0</v>
      </c>
      <c r="B839" s="2" t="s">
        <v>2319</v>
      </c>
      <c r="C839" s="2" t="s">
        <v>2320</v>
      </c>
      <c r="D839" s="2" t="s">
        <v>146</v>
      </c>
      <c r="E839" s="2" t="s">
        <v>52</v>
      </c>
      <c r="F839" s="2" t="s">
        <v>15</v>
      </c>
      <c r="G839" s="2" t="s">
        <v>705</v>
      </c>
      <c r="H839" s="2" t="s">
        <v>38</v>
      </c>
      <c r="I839" s="2" t="str">
        <f>IFERROR(__xludf.DUMMYFUNCTION("GOOGLETRANSLATE(C839,""fr"",""en"")"),"The prices are correct, the online services effective. For the moment (if nothing changes… ..) I remain a customer….")</f>
        <v>The prices are correct, the online services effective. For the moment (if nothing changes… ..) I remain a customer….</v>
      </c>
    </row>
    <row r="840" ht="15.75" customHeight="1">
      <c r="A840" s="2">
        <v>2.0</v>
      </c>
      <c r="B840" s="2" t="s">
        <v>2321</v>
      </c>
      <c r="C840" s="2" t="s">
        <v>2322</v>
      </c>
      <c r="D840" s="2" t="s">
        <v>32</v>
      </c>
      <c r="E840" s="2" t="s">
        <v>21</v>
      </c>
      <c r="F840" s="2" t="s">
        <v>15</v>
      </c>
      <c r="G840" s="2" t="s">
        <v>263</v>
      </c>
      <c r="H840" s="2" t="s">
        <v>38</v>
      </c>
      <c r="I840" s="2" t="str">
        <f>IFERROR(__xludf.DUMMYFUNCTION("GOOGLETRANSLATE(C840,""fr"",""en"")"),"Having three cars insured with you plus a home insurance I would have liked to have a commercial gesture concerning auto contributions quite the contrary, it increased a shame I think about going to do some quotes among the competitors.")</f>
        <v>Having three cars insured with you plus a home insurance I would have liked to have a commercial gesture concerning auto contributions quite the contrary, it increased a shame I think about going to do some quotes among the competitors.</v>
      </c>
    </row>
    <row r="841" ht="15.75" customHeight="1">
      <c r="A841" s="2">
        <v>4.0</v>
      </c>
      <c r="B841" s="2" t="s">
        <v>2323</v>
      </c>
      <c r="C841" s="2" t="s">
        <v>2324</v>
      </c>
      <c r="D841" s="2" t="s">
        <v>106</v>
      </c>
      <c r="E841" s="2" t="s">
        <v>14</v>
      </c>
      <c r="F841" s="2" t="s">
        <v>15</v>
      </c>
      <c r="G841" s="2" t="s">
        <v>1704</v>
      </c>
      <c r="H841" s="2" t="s">
        <v>179</v>
      </c>
      <c r="I841" s="2" t="str">
        <f>IFERROR(__xludf.DUMMYFUNCTION("GOOGLETRANSLATE(C841,""fr"",""en"")"),"I am very satisfied with the information provided to the Tel by Maria, precise clear information that allowed me to settle my problem thank you and I wish her a good day")</f>
        <v>I am very satisfied with the information provided to the Tel by Maria, precise clear information that allowed me to settle my problem thank you and I wish her a good day</v>
      </c>
    </row>
    <row r="842" ht="15.75" customHeight="1">
      <c r="A842" s="2">
        <v>5.0</v>
      </c>
      <c r="B842" s="2" t="s">
        <v>2325</v>
      </c>
      <c r="C842" s="2" t="s">
        <v>2326</v>
      </c>
      <c r="D842" s="2" t="s">
        <v>287</v>
      </c>
      <c r="E842" s="2" t="s">
        <v>283</v>
      </c>
      <c r="F842" s="2" t="s">
        <v>15</v>
      </c>
      <c r="G842" s="2" t="s">
        <v>2327</v>
      </c>
      <c r="H842" s="2" t="s">
        <v>1372</v>
      </c>
      <c r="I842" s="2" t="str">
        <f>IFERROR(__xludf.DUMMYFUNCTION("GOOGLETRANSLATE(C842,""fr"",""en"")"),"I recommend this insurance at least for animals me personally I have a dog insured here even and I have no problem nothing to say very serious for what reimbursement is very fast I am proud to have taken this insurance for my female dog")</f>
        <v>I recommend this insurance at least for animals me personally I have a dog insured here even and I have no problem nothing to say very serious for what reimbursement is very fast I am proud to have taken this insurance for my female dog</v>
      </c>
    </row>
    <row r="843" ht="15.75" customHeight="1">
      <c r="A843" s="2">
        <v>2.0</v>
      </c>
      <c r="B843" s="2" t="s">
        <v>2328</v>
      </c>
      <c r="C843" s="2" t="s">
        <v>2329</v>
      </c>
      <c r="D843" s="2" t="s">
        <v>51</v>
      </c>
      <c r="E843" s="2" t="s">
        <v>52</v>
      </c>
      <c r="F843" s="2" t="s">
        <v>15</v>
      </c>
      <c r="G843" s="2" t="s">
        <v>2330</v>
      </c>
      <c r="H843" s="2" t="s">
        <v>525</v>
      </c>
      <c r="I843" s="2" t="str">
        <f>IFERROR(__xludf.DUMMYFUNCTION("GOOGLETRANSLATE(C843,""fr"",""en"")"),"After a motorcycle accident from April 2017,
The AMV company cannot still compensate him because they have (according to them) not had the accident procedure on the part of Transpv ... lol plus two years later.
Assurance that must be flee.")</f>
        <v>After a motorcycle accident from April 2017,
The AMV company cannot still compensate him because they have (according to them) not had the accident procedure on the part of Transpv ... lol plus two years later.
Assurance that must be flee.</v>
      </c>
    </row>
    <row r="844" ht="15.75" customHeight="1">
      <c r="A844" s="2">
        <v>1.0</v>
      </c>
      <c r="B844" s="2" t="s">
        <v>2331</v>
      </c>
      <c r="C844" s="2" t="s">
        <v>2332</v>
      </c>
      <c r="D844" s="2" t="s">
        <v>222</v>
      </c>
      <c r="E844" s="2" t="s">
        <v>544</v>
      </c>
      <c r="F844" s="2" t="s">
        <v>15</v>
      </c>
      <c r="G844" s="2" t="s">
        <v>1082</v>
      </c>
      <c r="H844" s="2" t="s">
        <v>54</v>
      </c>
      <c r="I844" s="2" t="str">
        <f>IFERROR(__xludf.DUMMYFUNCTION("GOOGLETRANSLATE(C844,""fr"",""en"")"),"We had the misfortune to lose our son at the end of April 2021. This one, through his employer (large group in France), contributed to a health mutual and death. We have started the procedures with AXA in order to initially pay for the funeral costs (serv"&amp;"ice which appears on his mutual contract) and after having sent the act of notoriety, that he proceeds to pay the capital Death to the beneficiaries. To date, we are at the same point, unpaid funeral pumps and the same death duty. With each call, you are "&amp;"told that it is in the process of being regularized. Who do we take? Never the same interlocutor etc, etc ... angry, I will raise the behavior of this insurer to the management of the group for which our son worked. After all, it is they who negotiate ins"&amp;"urance for their employees. AXA is not the only French insurer. Personally, we will never sign contracts, what's at home.")</f>
        <v>We had the misfortune to lose our son at the end of April 2021. This one, through his employer (large group in France), contributed to a health mutual and death. We have started the procedures with AXA in order to initially pay for the funeral costs (service which appears on his mutual contract) and after having sent the act of notoriety, that he proceeds to pay the capital Death to the beneficiaries. To date, we are at the same point, unpaid funeral pumps and the same death duty. With each call, you are told that it is in the process of being regularized. Who do we take? Never the same interlocutor etc, etc ... angry, I will raise the behavior of this insurer to the management of the group for which our son worked. After all, it is they who negotiate insurance for their employees. AXA is not the only French insurer. Personally, we will never sign contracts, what's at home.</v>
      </c>
    </row>
    <row r="845" ht="15.75" customHeight="1">
      <c r="A845" s="2">
        <v>5.0</v>
      </c>
      <c r="B845" s="2" t="s">
        <v>2333</v>
      </c>
      <c r="C845" s="2" t="s">
        <v>2334</v>
      </c>
      <c r="D845" s="2" t="s">
        <v>146</v>
      </c>
      <c r="E845" s="2" t="s">
        <v>52</v>
      </c>
      <c r="F845" s="2" t="s">
        <v>15</v>
      </c>
      <c r="G845" s="2" t="s">
        <v>1007</v>
      </c>
      <c r="H845" s="2" t="s">
        <v>38</v>
      </c>
      <c r="I845" s="2" t="str">
        <f>IFERROR(__xludf.DUMMYFUNCTION("GOOGLETRANSLATE(C845,""fr"",""en"")"),"Very effective treed I highly recommend for this insurer I intend to continue with you resonable price nothing to say
For but other scooter motorcycle and everything")</f>
        <v>Very effective treed I highly recommend for this insurer I intend to continue with you resonable price nothing to say
For but other scooter motorcycle and everything</v>
      </c>
    </row>
    <row r="846" ht="15.75" customHeight="1">
      <c r="A846" s="2">
        <v>4.0</v>
      </c>
      <c r="B846" s="2" t="s">
        <v>2335</v>
      </c>
      <c r="C846" s="2" t="s">
        <v>2336</v>
      </c>
      <c r="D846" s="2" t="s">
        <v>127</v>
      </c>
      <c r="E846" s="2" t="s">
        <v>128</v>
      </c>
      <c r="F846" s="2" t="s">
        <v>15</v>
      </c>
      <c r="G846" s="2" t="s">
        <v>2337</v>
      </c>
      <c r="H846" s="2" t="s">
        <v>179</v>
      </c>
      <c r="I846" s="2" t="str">
        <f>IFERROR(__xludf.DUMMYFUNCTION("GOOGLETRANSLATE(C846,""fr"",""en"")"),"Service is satisfactory. Level price is attractive.
The site is responsive. We hope that the service will continue to be of quality in the long term.
")</f>
        <v>Service is satisfactory. Level price is attractive.
The site is responsive. We hope that the service will continue to be of quality in the long term.
</v>
      </c>
    </row>
    <row r="847" ht="15.75" customHeight="1">
      <c r="A847" s="2">
        <v>3.0</v>
      </c>
      <c r="B847" s="2" t="s">
        <v>2338</v>
      </c>
      <c r="C847" s="2" t="s">
        <v>2339</v>
      </c>
      <c r="D847" s="2" t="s">
        <v>75</v>
      </c>
      <c r="E847" s="2" t="s">
        <v>14</v>
      </c>
      <c r="F847" s="2" t="s">
        <v>15</v>
      </c>
      <c r="G847" s="2" t="s">
        <v>1653</v>
      </c>
      <c r="H847" s="2" t="s">
        <v>504</v>
      </c>
      <c r="I847" s="2" t="str">
        <f>IFERROR(__xludf.DUMMYFUNCTION("GOOGLETRANSLATE(C847,""fr"",""en"")"),"Couple provided maximum choice for fifty years at the MGP at the current rate of 2,400 euros annual contributions reassessed every year, taking into account the age plus annual tariff increases despite the non -indexing of pension pensions recently this m"&amp;"utual reimburses only on The base of 10% of the effective reimbursement of the SS if the specialist practitioner or the clinic has not signed the access to care outside hospitals and some practitioners in sector 1 who signed this agreement specialists are"&amp;" found in sector 2 free fees despite this social security reimburses a percentage of its price or even 100% of the ceiling without taking into account the signing of the case in addition the MGP reimbursed 30 or 40% or even 100% of the rest payable after "&amp;"reimbursement of SS now this n is that 10% example paid to the specialist 260 euros reimbursement SS 100% of the act on the basis of 112 euros mutual reimbursement 10% or 11 euros 20 insured at the rate m Aximum reimbursements lead to the minimum intervie"&amp;"wed the mutual retorts to go through their clear health network there are few good specialists on the other hand from slaughter yes in particular in dental or ophthalmo or optician given the reimbursements I understand why good specialists and clinics Do "&amp;"not want to do the third party even paying certain hospitals I no longer recognize the police mutual of the yesteryear general mutual of the police now the young people no longer attached you to the image of the house that you are praised. Another mutual "&amp;"can do as well but above all better the MGP has become an ordinary profit center and no longer a mutual of state bodies thank you to the leaders of this institution which was created for police officers managed by police officers and in the interest of po"&amp;"liceman
")</f>
        <v>Couple provided maximum choice for fifty years at the MGP at the current rate of 2,400 euros annual contributions reassessed every year, taking into account the age plus annual tariff increases despite the non -indexing of pension pensions recently this mutual reimburses only on The base of 10% of the effective reimbursement of the SS if the specialist practitioner or the clinic has not signed the access to care outside hospitals and some practitioners in sector 1 who signed this agreement specialists are found in sector 2 free fees despite this social security reimburses a percentage of its price or even 100% of the ceiling without taking into account the signing of the case in addition the MGP reimbursed 30 or 40% or even 100% of the rest payable after reimbursement of SS now this n is that 10% example paid to the specialist 260 euros reimbursement SS 100% of the act on the basis of 112 euros mutual reimbursement 10% or 11 euros 20 insured at the rate m Aximum reimbursements lead to the minimum interviewed the mutual retorts to go through their clear health network there are few good specialists on the other hand from slaughter yes in particular in dental or ophthalmo or optician given the reimbursements I understand why good specialists and clinics Do not want to do the third party even paying certain hospitals I no longer recognize the police mutual of the yesteryear general mutual of the police now the young people no longer attached you to the image of the house that you are praised. Another mutual can do as well but above all better the MGP has become an ordinary profit center and no longer a mutual of state bodies thank you to the leaders of this institution which was created for police officers managed by police officers and in the interest of policeman
</v>
      </c>
    </row>
    <row r="848" ht="15.75" customHeight="1">
      <c r="A848" s="2">
        <v>3.0</v>
      </c>
      <c r="B848" s="2" t="s">
        <v>2340</v>
      </c>
      <c r="C848" s="2" t="s">
        <v>2341</v>
      </c>
      <c r="D848" s="2" t="s">
        <v>222</v>
      </c>
      <c r="E848" s="2" t="s">
        <v>42</v>
      </c>
      <c r="F848" s="2" t="s">
        <v>15</v>
      </c>
      <c r="G848" s="2" t="s">
        <v>1004</v>
      </c>
      <c r="H848" s="2" t="s">
        <v>295</v>
      </c>
      <c r="I848" s="2" t="str">
        <f>IFERROR(__xludf.DUMMYFUNCTION("GOOGLETRANSLATE(C848,""fr"",""en"")"),"They make me pay for what the Hamon law guarantees me. never seen worse. Several home insurance and it is the only one that does this. They know that they will not be attacked for 200 euros. So they have little by little")</f>
        <v>They make me pay for what the Hamon law guarantees me. never seen worse. Several home insurance and it is the only one that does this. They know that they will not be attacked for 200 euros. So they have little by little</v>
      </c>
    </row>
    <row r="849" ht="15.75" customHeight="1">
      <c r="A849" s="2">
        <v>4.0</v>
      </c>
      <c r="B849" s="2" t="s">
        <v>2342</v>
      </c>
      <c r="C849" s="2" t="s">
        <v>2343</v>
      </c>
      <c r="D849" s="2" t="s">
        <v>32</v>
      </c>
      <c r="E849" s="2" t="s">
        <v>21</v>
      </c>
      <c r="F849" s="2" t="s">
        <v>15</v>
      </c>
      <c r="G849" s="2" t="s">
        <v>2344</v>
      </c>
      <c r="H849" s="2" t="s">
        <v>48</v>
      </c>
      <c r="I849" s="2" t="str">
        <f>IFERROR(__xludf.DUMMYFUNCTION("GOOGLETRANSLATE(C849,""fr"",""en"")"),"I am satisfied with the telephone reception I had, my interlocutor was very competent and very precise in his explanations.
Very good responsiveness")</f>
        <v>I am satisfied with the telephone reception I had, my interlocutor was very competent and very precise in his explanations.
Very good responsiveness</v>
      </c>
    </row>
    <row r="850" ht="15.75" customHeight="1">
      <c r="A850" s="2">
        <v>5.0</v>
      </c>
      <c r="B850" s="2" t="s">
        <v>2345</v>
      </c>
      <c r="C850" s="2" t="s">
        <v>2346</v>
      </c>
      <c r="D850" s="2" t="s">
        <v>32</v>
      </c>
      <c r="E850" s="2" t="s">
        <v>21</v>
      </c>
      <c r="F850" s="2" t="s">
        <v>15</v>
      </c>
      <c r="G850" s="2" t="s">
        <v>1623</v>
      </c>
      <c r="H850" s="2" t="s">
        <v>48</v>
      </c>
      <c r="I850" s="2" t="str">
        <f>IFERROR(__xludf.DUMMYFUNCTION("GOOGLETRANSLATE(C850,""fr"",""en"")"),"I am satisfied with the service
Normally no problem for the moment to see what it will give if there is a sinister
Nothing to complain about
JY BERGUIN")</f>
        <v>I am satisfied with the service
Normally no problem for the moment to see what it will give if there is a sinister
Nothing to complain about
JY BERGUIN</v>
      </c>
    </row>
    <row r="851" ht="15.75" customHeight="1">
      <c r="A851" s="2">
        <v>2.0</v>
      </c>
      <c r="B851" s="2" t="s">
        <v>2347</v>
      </c>
      <c r="C851" s="2" t="s">
        <v>2348</v>
      </c>
      <c r="D851" s="2" t="s">
        <v>314</v>
      </c>
      <c r="E851" s="2" t="s">
        <v>21</v>
      </c>
      <c r="F851" s="2" t="s">
        <v>15</v>
      </c>
      <c r="G851" s="2" t="s">
        <v>2349</v>
      </c>
      <c r="H851" s="2" t="s">
        <v>299</v>
      </c>
      <c r="I851" s="2" t="str">
        <f>IFERROR(__xludf.DUMMYFUNCTION("GOOGLETRANSLATE(C851,""fr"",""en"")"),"Ref Customer 112543 I sent them a registered letter to tell them that I terminate my contract on the date of my failure is to say on 11/11/2016 after spending 4 years with them. They received the registered letter since they left a copy in the customer ar"&amp;"ea. My big surprise they took me this month of January when I have terminated my contract, impossible to join them with their extra number they have me taken 3 months of contributions during my subscription instead of 2 months' I request the reimbursement")</f>
        <v>Ref Customer 112543 I sent them a registered letter to tell them that I terminate my contract on the date of my failure is to say on 11/11/2016 after spending 4 years with them. They received the registered letter since they left a copy in the customer area. My big surprise they took me this month of January when I have terminated my contract, impossible to join them with their extra number they have me taken 3 months of contributions during my subscription instead of 2 months' I request the reimbursement</v>
      </c>
    </row>
    <row r="852" ht="15.75" customHeight="1">
      <c r="A852" s="2">
        <v>5.0</v>
      </c>
      <c r="B852" s="2" t="s">
        <v>2350</v>
      </c>
      <c r="C852" s="2" t="s">
        <v>2351</v>
      </c>
      <c r="D852" s="2" t="s">
        <v>20</v>
      </c>
      <c r="E852" s="2" t="s">
        <v>21</v>
      </c>
      <c r="F852" s="2" t="s">
        <v>15</v>
      </c>
      <c r="G852" s="2" t="s">
        <v>1977</v>
      </c>
      <c r="H852" s="2" t="s">
        <v>199</v>
      </c>
      <c r="I852" s="2" t="str">
        <f>IFERROR(__xludf.DUMMYFUNCTION("GOOGLETRANSLATE(C852,""fr"",""en"")"),"Very responsive and above all very good advice. Good activity on the personal insurance account.
Very very competitive price.
I highly recommend.
")</f>
        <v>Very responsive and above all very good advice. Good activity on the personal insurance account.
Very very competitive price.
I highly recommend.
</v>
      </c>
    </row>
    <row r="853" ht="15.75" customHeight="1">
      <c r="A853" s="2">
        <v>1.0</v>
      </c>
      <c r="B853" s="2" t="s">
        <v>2352</v>
      </c>
      <c r="C853" s="2" t="s">
        <v>2353</v>
      </c>
      <c r="D853" s="2" t="s">
        <v>670</v>
      </c>
      <c r="E853" s="2" t="s">
        <v>14</v>
      </c>
      <c r="F853" s="2" t="s">
        <v>15</v>
      </c>
      <c r="G853" s="2" t="s">
        <v>628</v>
      </c>
      <c r="H853" s="2" t="s">
        <v>87</v>
      </c>
      <c r="I853" s="2" t="str">
        <f>IFERROR(__xludf.DUMMYFUNCTION("GOOGLETRANSLATE(C853,""fr"",""en"")"),"Ditto I have been trying to reach them by phone, by email and this for 1 month. Always the same answering machine, no recall, no response to my rating request following 4 important quotes. Mutual to avoid at all costs. On the other hand, the samples are w"&amp;"ell taken and time and on time. Very angry ... I am declared to anyone desiring to change or subscribe to this mutual !!!")</f>
        <v>Ditto I have been trying to reach them by phone, by email and this for 1 month. Always the same answering machine, no recall, no response to my rating request following 4 important quotes. Mutual to avoid at all costs. On the other hand, the samples are well taken and time and on time. Very angry ... I am declared to anyone desiring to change or subscribe to this mutual !!!</v>
      </c>
    </row>
    <row r="854" ht="15.75" customHeight="1">
      <c r="A854" s="2">
        <v>1.0</v>
      </c>
      <c r="B854" s="2" t="s">
        <v>2354</v>
      </c>
      <c r="C854" s="2" t="s">
        <v>2355</v>
      </c>
      <c r="D854" s="2" t="s">
        <v>543</v>
      </c>
      <c r="E854" s="2" t="s">
        <v>544</v>
      </c>
      <c r="F854" s="2" t="s">
        <v>15</v>
      </c>
      <c r="G854" s="2" t="s">
        <v>2356</v>
      </c>
      <c r="H854" s="2" t="s">
        <v>163</v>
      </c>
      <c r="I854" s="2" t="str">
        <f>IFERROR(__xludf.DUMMYFUNCTION("GOOGLETRANSLATE(C854,""fr"",""en"")"),"10 months of sick leave blocked file ""for anomalies in the calculations of the security, calculation reviewed after 6 months of stopping without any modification the Secu"" no other explanation, the people on the phone do not access your file and impossi"&amp;"ble to speak with The one that manages your file, contribution taken every month from the salary but now that you have to donate there is always something that is wrong. It is not pro and have your staff do a telephonic training so that they are more kind"&amp;".")</f>
        <v>10 months of sick leave blocked file "for anomalies in the calculations of the security, calculation reviewed after 6 months of stopping without any modification the Secu" no other explanation, the people on the phone do not access your file and impossible to speak with The one that manages your file, contribution taken every month from the salary but now that you have to donate there is always something that is wrong. It is not pro and have your staff do a telephonic training so that they are more kind.</v>
      </c>
    </row>
    <row r="855" ht="15.75" customHeight="1">
      <c r="A855" s="2">
        <v>5.0</v>
      </c>
      <c r="B855" s="2" t="s">
        <v>2357</v>
      </c>
      <c r="C855" s="2" t="s">
        <v>2358</v>
      </c>
      <c r="D855" s="2" t="s">
        <v>146</v>
      </c>
      <c r="E855" s="2" t="s">
        <v>52</v>
      </c>
      <c r="F855" s="2" t="s">
        <v>15</v>
      </c>
      <c r="G855" s="2" t="s">
        <v>266</v>
      </c>
      <c r="H855" s="2" t="s">
        <v>179</v>
      </c>
      <c r="I855" s="2" t="str">
        <f>IFERROR(__xludf.DUMMYFUNCTION("GOOGLETRANSLATE(C855,""fr"",""en"")"),"Very satisfied, effective and very attentive thank you, it is the second time that I have my scooter, and I have not yet my French license expect I have an international permit,")</f>
        <v>Very satisfied, effective and very attentive thank you, it is the second time that I have my scooter, and I have not yet my French license expect I have an international permit,</v>
      </c>
    </row>
    <row r="856" ht="15.75" customHeight="1">
      <c r="A856" s="2">
        <v>2.0</v>
      </c>
      <c r="B856" s="2" t="s">
        <v>2359</v>
      </c>
      <c r="C856" s="2" t="s">
        <v>2360</v>
      </c>
      <c r="D856" s="2" t="s">
        <v>543</v>
      </c>
      <c r="E856" s="2" t="s">
        <v>544</v>
      </c>
      <c r="F856" s="2" t="s">
        <v>15</v>
      </c>
      <c r="G856" s="2" t="s">
        <v>453</v>
      </c>
      <c r="H856" s="2" t="s">
        <v>454</v>
      </c>
      <c r="I856" s="2" t="str">
        <f>IFERROR(__xludf.DUMMYFUNCTION("GOOGLETRANSLATE(C856,""fr"",""en"")"),"I have a CPAM disability pension 2 nd category since January 1 and I still do not receive anything from AG2R they are constantly asking me for documents. They do not realize the financial troubles that we can have")</f>
        <v>I have a CPAM disability pension 2 nd category since January 1 and I still do not receive anything from AG2R they are constantly asking me for documents. They do not realize the financial troubles that we can have</v>
      </c>
    </row>
    <row r="857" ht="15.75" customHeight="1">
      <c r="A857" s="2">
        <v>2.0</v>
      </c>
      <c r="B857" s="2" t="s">
        <v>2361</v>
      </c>
      <c r="C857" s="2" t="s">
        <v>2362</v>
      </c>
      <c r="D857" s="2" t="s">
        <v>32</v>
      </c>
      <c r="E857" s="2" t="s">
        <v>21</v>
      </c>
      <c r="F857" s="2" t="s">
        <v>15</v>
      </c>
      <c r="G857" s="2" t="s">
        <v>1154</v>
      </c>
      <c r="H857" s="2" t="s">
        <v>38</v>
      </c>
      <c r="I857" s="2" t="str">
        <f>IFERROR(__xludf.DUMMYFUNCTION("GOOGLETRANSLATE(C857,""fr"",""en"")"),"Better not have a problem. I had an accident for which I am not responsible. My car was towed and bring to a garage approved by the troubleshooting service. 24 hours after the claim was not informed of the details of the selected garage. No communication "&amp;"between the 2 services. The costing of the expert is announced 48 hours after his visit ... it is 5 days since the expertise took place ... still no costing and the loan vehicle is made available only at the beginning of the work, so that Make a week that"&amp;" I don't have a vehicle. No clear answer to my questions, we just swing me texts learned by heart! I really don't recommend, I leave immediately! For 10 € more by me at another insurer I have a completely different service and a vehicle from the accident")</f>
        <v>Better not have a problem. I had an accident for which I am not responsible. My car was towed and bring to a garage approved by the troubleshooting service. 24 hours after the claim was not informed of the details of the selected garage. No communication between the 2 services. The costing of the expert is announced 48 hours after his visit ... it is 5 days since the expertise took place ... still no costing and the loan vehicle is made available only at the beginning of the work, so that Make a week that I don't have a vehicle. No clear answer to my questions, we just swing me texts learned by heart! I really don't recommend, I leave immediately! For 10 € more by me at another insurer I have a completely different service and a vehicle from the accident</v>
      </c>
    </row>
    <row r="858" ht="15.75" customHeight="1">
      <c r="A858" s="2">
        <v>1.0</v>
      </c>
      <c r="B858" s="2" t="s">
        <v>2363</v>
      </c>
      <c r="C858" s="2" t="s">
        <v>2364</v>
      </c>
      <c r="D858" s="2" t="s">
        <v>32</v>
      </c>
      <c r="E858" s="2" t="s">
        <v>21</v>
      </c>
      <c r="F858" s="2" t="s">
        <v>15</v>
      </c>
      <c r="G858" s="2" t="s">
        <v>2365</v>
      </c>
      <c r="H858" s="2" t="s">
        <v>804</v>
      </c>
      <c r="I858" s="2" t="str">
        <f>IFERROR(__xludf.DUMMYFUNCTION("GOOGLETRANSLATE(C858,""fr"",""en"")"),"No one to flee, once a declared disaster you are redirected to more than mediocre quality providers")</f>
        <v>No one to flee, once a declared disaster you are redirected to more than mediocre quality providers</v>
      </c>
    </row>
    <row r="859" ht="15.75" customHeight="1">
      <c r="A859" s="2">
        <v>1.0</v>
      </c>
      <c r="B859" s="2" t="s">
        <v>2366</v>
      </c>
      <c r="C859" s="2" t="s">
        <v>2367</v>
      </c>
      <c r="D859" s="2" t="s">
        <v>251</v>
      </c>
      <c r="E859" s="2" t="s">
        <v>14</v>
      </c>
      <c r="F859" s="2" t="s">
        <v>15</v>
      </c>
      <c r="G859" s="2" t="s">
        <v>2368</v>
      </c>
      <c r="H859" s="2" t="s">
        <v>299</v>
      </c>
      <c r="I859" s="2" t="str">
        <f>IFERROR(__xludf.DUMMYFUNCTION("GOOGLETRANSLATE(C859,""fr"",""en"")"),"After having terminated my membership, 1 month before the birthday, they continue to want to take me every month when I sent them the documents proving that the termination had been made, today they threaten me to Send the litigation service when everythi"&amp;"ng has been done in the rules. I have contributed for them for more than 20 years and today having found lower BCP insurance they thank me by ignoring my messages.")</f>
        <v>After having terminated my membership, 1 month before the birthday, they continue to want to take me every month when I sent them the documents proving that the termination had been made, today they threaten me to Send the litigation service when everything has been done in the rules. I have contributed for them for more than 20 years and today having found lower BCP insurance they thank me by ignoring my messages.</v>
      </c>
    </row>
    <row r="860" ht="15.75" customHeight="1">
      <c r="A860" s="2">
        <v>1.0</v>
      </c>
      <c r="B860" s="2" t="s">
        <v>2369</v>
      </c>
      <c r="C860" s="2" t="s">
        <v>2370</v>
      </c>
      <c r="D860" s="2" t="s">
        <v>186</v>
      </c>
      <c r="E860" s="2" t="s">
        <v>21</v>
      </c>
      <c r="F860" s="2" t="s">
        <v>15</v>
      </c>
      <c r="G860" s="2" t="s">
        <v>603</v>
      </c>
      <c r="H860" s="2" t="s">
        <v>54</v>
      </c>
      <c r="I860" s="2" t="str">
        <f>IFERROR(__xludf.DUMMYFUNCTION("GOOGLETRANSLATE(C860,""fr"",""en"")"),"Grotesque.
Pathetic.
Their platform agents are very
Missing (an insured is not necessarily a cheater ...).
And try to terminate a contract.
There you go to a universe
Kafkaïen. All the means are good
To continue to take you.
An impressive force of"&amp;" inertia.
What is our good old agricultural credit with these people there?")</f>
        <v>Grotesque.
Pathetic.
Their platform agents are very
Missing (an insured is not necessarily a cheater ...).
And try to terminate a contract.
There you go to a universe
Kafkaïen. All the means are good
To continue to take you.
An impressive force of inertia.
What is our good old agricultural credit with these people there?</v>
      </c>
    </row>
    <row r="861" ht="15.75" customHeight="1">
      <c r="A861" s="2">
        <v>2.0</v>
      </c>
      <c r="B861" s="2" t="s">
        <v>2371</v>
      </c>
      <c r="C861" s="2" t="s">
        <v>2372</v>
      </c>
      <c r="D861" s="2" t="s">
        <v>26</v>
      </c>
      <c r="E861" s="2" t="s">
        <v>27</v>
      </c>
      <c r="F861" s="2" t="s">
        <v>15</v>
      </c>
      <c r="G861" s="2" t="s">
        <v>358</v>
      </c>
      <c r="H861" s="2" t="s">
        <v>29</v>
      </c>
      <c r="I861" s="2" t="str">
        <f>IFERROR(__xludf.DUMMYFUNCTION("GOOGLETRANSLATE(C861,""fr"",""en"")"),"I wanted to subscribe to the life insurance contract. The advisor refused my subscription if I did not take 30% UC. It's refusal to sell")</f>
        <v>I wanted to subscribe to the life insurance contract. The advisor refused my subscription if I did not take 30% UC. It's refusal to sell</v>
      </c>
    </row>
    <row r="862" ht="15.75" customHeight="1">
      <c r="A862" s="2">
        <v>3.0</v>
      </c>
      <c r="B862" s="2" t="s">
        <v>1197</v>
      </c>
      <c r="C862" s="2" t="s">
        <v>2373</v>
      </c>
      <c r="D862" s="2" t="s">
        <v>325</v>
      </c>
      <c r="E862" s="2" t="s">
        <v>283</v>
      </c>
      <c r="F862" s="2" t="s">
        <v>15</v>
      </c>
      <c r="G862" s="2" t="s">
        <v>2134</v>
      </c>
      <c r="H862" s="2" t="s">
        <v>228</v>
      </c>
      <c r="I862" s="2" t="str">
        <f>IFERROR(__xludf.DUMMYFUNCTION("GOOGLETRANSLATE(C862,""fr"",""en"")"),"Quite satisfied with vet ensures I am not testing other insurer to compare the prices and other services")</f>
        <v>Quite satisfied with vet ensures I am not testing other insurer to compare the prices and other services</v>
      </c>
    </row>
    <row r="863" ht="15.75" customHeight="1">
      <c r="A863" s="2">
        <v>1.0</v>
      </c>
      <c r="B863" s="2" t="s">
        <v>2374</v>
      </c>
      <c r="C863" s="2" t="s">
        <v>2375</v>
      </c>
      <c r="D863" s="2" t="s">
        <v>325</v>
      </c>
      <c r="E863" s="2" t="s">
        <v>283</v>
      </c>
      <c r="F863" s="2" t="s">
        <v>15</v>
      </c>
      <c r="G863" s="2" t="s">
        <v>2091</v>
      </c>
      <c r="H863" s="2" t="s">
        <v>48</v>
      </c>
      <c r="I863" s="2" t="str">
        <f>IFERROR(__xludf.DUMMYFUNCTION("GOOGLETRANSLATE(C863,""fr"",""en"")"),"TO FLEE !!!! Above all, do not take a mutual insurance company for dysplasia they will always find something so as not to cover the costs. In addition, without indicating the commitment is for a year big surprise when you try to terminate !! Never subscri"&amp;"be to them !!")</f>
        <v>TO FLEE !!!! Above all, do not take a mutual insurance company for dysplasia they will always find something so as not to cover the costs. In addition, without indicating the commitment is for a year big surprise when you try to terminate !! Never subscribe to them !!</v>
      </c>
    </row>
    <row r="864" ht="15.75" customHeight="1">
      <c r="A864" s="2">
        <v>1.0</v>
      </c>
      <c r="B864" s="2" t="s">
        <v>2376</v>
      </c>
      <c r="C864" s="2" t="s">
        <v>2377</v>
      </c>
      <c r="D864" s="2" t="s">
        <v>186</v>
      </c>
      <c r="E864" s="2" t="s">
        <v>21</v>
      </c>
      <c r="F864" s="2" t="s">
        <v>15</v>
      </c>
      <c r="G864" s="2" t="s">
        <v>2378</v>
      </c>
      <c r="H864" s="2" t="s">
        <v>842</v>
      </c>
      <c r="I864" s="2" t="str">
        <f>IFERROR(__xludf.DUMMYFUNCTION("GOOGLETRANSLATE(C864,""fr"",""en"")"),"No one, completely zero.
do not have a sense of the customer, turned only for the profile.
only seeks to do cash without worrying about mounted customers for those who have several years of loyalty to Crédit Agricole.")</f>
        <v>No one, completely zero.
do not have a sense of the customer, turned only for the profile.
only seeks to do cash without worrying about mounted customers for those who have several years of loyalty to Crédit Agricole.</v>
      </c>
    </row>
    <row r="865" ht="15.75" customHeight="1">
      <c r="A865" s="2">
        <v>3.0</v>
      </c>
      <c r="B865" s="2" t="s">
        <v>2379</v>
      </c>
      <c r="C865" s="2" t="s">
        <v>2380</v>
      </c>
      <c r="D865" s="2" t="s">
        <v>314</v>
      </c>
      <c r="E865" s="2" t="s">
        <v>21</v>
      </c>
      <c r="F865" s="2" t="s">
        <v>15</v>
      </c>
      <c r="G865" s="2" t="s">
        <v>2381</v>
      </c>
      <c r="H865" s="2" t="s">
        <v>1372</v>
      </c>
      <c r="I865" s="2" t="str">
        <f>IFERROR(__xludf.DUMMYFUNCTION("GOOGLETRANSLATE(C865,""fr"",""en"")"),"Active insurance or inactive insurance ??")</f>
        <v>Active insurance or inactive insurance ??</v>
      </c>
    </row>
    <row r="866" ht="15.75" customHeight="1">
      <c r="A866" s="2">
        <v>1.0</v>
      </c>
      <c r="B866" s="2" t="s">
        <v>2382</v>
      </c>
      <c r="C866" s="2" t="s">
        <v>2383</v>
      </c>
      <c r="D866" s="2" t="s">
        <v>41</v>
      </c>
      <c r="E866" s="2" t="s">
        <v>21</v>
      </c>
      <c r="F866" s="2" t="s">
        <v>15</v>
      </c>
      <c r="G866" s="2" t="s">
        <v>2384</v>
      </c>
      <c r="H866" s="2" t="s">
        <v>1079</v>
      </c>
      <c r="I866" s="2" t="str">
        <f>IFERROR(__xludf.DUMMYFUNCTION("GOOGLETRANSLATE(C866,""fr"",""en"")"),"I sold my vehicle on 26/12, I terminated my car insurance, 2 weeks later I wanted to insure my new vehicle, they did not want to resume me because I had 2 accidents in 2017 and in 2019 , I have been at home for 14 years.")</f>
        <v>I sold my vehicle on 26/12, I terminated my car insurance, 2 weeks later I wanted to insure my new vehicle, they did not want to resume me because I had 2 accidents in 2017 and in 2019 , I have been at home for 14 years.</v>
      </c>
    </row>
    <row r="867" ht="15.75" customHeight="1">
      <c r="A867" s="2">
        <v>4.0</v>
      </c>
      <c r="B867" s="2" t="s">
        <v>2385</v>
      </c>
      <c r="C867" s="2" t="s">
        <v>2386</v>
      </c>
      <c r="D867" s="2" t="s">
        <v>13</v>
      </c>
      <c r="E867" s="2" t="s">
        <v>14</v>
      </c>
      <c r="F867" s="2" t="s">
        <v>15</v>
      </c>
      <c r="G867" s="2" t="s">
        <v>2387</v>
      </c>
      <c r="H867" s="2" t="s">
        <v>87</v>
      </c>
      <c r="I867" s="2" t="str">
        <f>IFERROR(__xludf.DUMMYFUNCTION("GOOGLETRANSLATE(C867,""fr"",""en"")"),"Angelique was very kind and pleasant answering all my questions. I did not wait long to come across an advisor.
The price according to the formula varies even I find it a little high.
 Overall it is a good service")</f>
        <v>Angelique was very kind and pleasant answering all my questions. I did not wait long to come across an advisor.
The price according to the formula varies even I find it a little high.
 Overall it is a good service</v>
      </c>
    </row>
    <row r="868" ht="15.75" customHeight="1">
      <c r="A868" s="2">
        <v>2.0</v>
      </c>
      <c r="B868" s="2" t="s">
        <v>2388</v>
      </c>
      <c r="C868" s="2" t="s">
        <v>2389</v>
      </c>
      <c r="D868" s="2" t="s">
        <v>32</v>
      </c>
      <c r="E868" s="2" t="s">
        <v>21</v>
      </c>
      <c r="F868" s="2" t="s">
        <v>15</v>
      </c>
      <c r="G868" s="2" t="s">
        <v>2390</v>
      </c>
      <c r="H868" s="2" t="s">
        <v>447</v>
      </c>
      <c r="I868" s="2" t="str">
        <f>IFERROR(__xludf.DUMMYFUNCTION("GOOGLETRANSLATE(C868,""fr"",""en"")"),"Hello, I had a responsible accident in June! The expert went in August and estimated that the vehicle was irreparable. Since August I have been contacting the insurance that walks from service to service! I can't find his normal, before I pay the car insu"&amp;"rance while the car has been sold in August! I have already contacted a lawyer to accelerate things!")</f>
        <v>Hello, I had a responsible accident in June! The expert went in August and estimated that the vehicle was irreparable. Since August I have been contacting the insurance that walks from service to service! I can't find his normal, before I pay the car insurance while the car has been sold in August! I have already contacted a lawyer to accelerate things!</v>
      </c>
    </row>
    <row r="869" ht="15.75" customHeight="1">
      <c r="A869" s="2">
        <v>5.0</v>
      </c>
      <c r="B869" s="2" t="s">
        <v>2391</v>
      </c>
      <c r="C869" s="2" t="s">
        <v>2392</v>
      </c>
      <c r="D869" s="2" t="s">
        <v>20</v>
      </c>
      <c r="E869" s="2" t="s">
        <v>21</v>
      </c>
      <c r="F869" s="2" t="s">
        <v>15</v>
      </c>
      <c r="G869" s="2" t="s">
        <v>54</v>
      </c>
      <c r="H869" s="2" t="s">
        <v>54</v>
      </c>
      <c r="I869" s="2" t="str">
        <f>IFERROR(__xludf.DUMMYFUNCTION("GOOGLETRANSLATE(C869,""fr"",""en"")"),"I am very satisfied with the price offered. Its suits me very well the preve that I assured my two cars at home. And to recommend for my loved ones thank you")</f>
        <v>I am very satisfied with the price offered. Its suits me very well the preve that I assured my two cars at home. And to recommend for my loved ones thank you</v>
      </c>
    </row>
    <row r="870" ht="15.75" customHeight="1">
      <c r="A870" s="2">
        <v>1.0</v>
      </c>
      <c r="B870" s="2" t="s">
        <v>2393</v>
      </c>
      <c r="C870" s="2" t="s">
        <v>2394</v>
      </c>
      <c r="D870" s="2" t="s">
        <v>1085</v>
      </c>
      <c r="E870" s="2" t="s">
        <v>27</v>
      </c>
      <c r="F870" s="2" t="s">
        <v>15</v>
      </c>
      <c r="G870" s="2" t="s">
        <v>2395</v>
      </c>
      <c r="H870" s="2" t="s">
        <v>327</v>
      </c>
      <c r="I870" s="2" t="str">
        <f>IFERROR(__xludf.DUMMYFUNCTION("GOOGLETRANSLATE(C870,""fr"",""en"")"),"Correct life insurance as long as we do not try to recover the funds. Would it be necessary to go through justice so that Cardif does his job?")</f>
        <v>Correct life insurance as long as we do not try to recover the funds. Would it be necessary to go through justice so that Cardif does his job?</v>
      </c>
    </row>
    <row r="871" ht="15.75" customHeight="1">
      <c r="A871" s="2">
        <v>1.0</v>
      </c>
      <c r="B871" s="2" t="s">
        <v>2396</v>
      </c>
      <c r="C871" s="2" t="s">
        <v>2397</v>
      </c>
      <c r="D871" s="2" t="s">
        <v>32</v>
      </c>
      <c r="E871" s="2" t="s">
        <v>21</v>
      </c>
      <c r="F871" s="2" t="s">
        <v>15</v>
      </c>
      <c r="G871" s="2" t="s">
        <v>770</v>
      </c>
      <c r="H871" s="2" t="s">
        <v>179</v>
      </c>
      <c r="I871" s="2" t="str">
        <f>IFERROR(__xludf.DUMMYFUNCTION("GOOGLETRANSLATE(C871,""fr"",""en"")"),"I am very disappointed with the subscription, very expensive for the few services in return.
You have changed my contract without informing it. I find it deplorable. I had no claims so all the benefit for you.
You are much more expensive than competitio"&amp;"n.
I will not recommend you.")</f>
        <v>I am very disappointed with the subscription, very expensive for the few services in return.
You have changed my contract without informing it. I find it deplorable. I had no claims so all the benefit for you.
You are much more expensive than competition.
I will not recommend you.</v>
      </c>
    </row>
    <row r="872" ht="15.75" customHeight="1">
      <c r="A872" s="2">
        <v>1.0</v>
      </c>
      <c r="B872" s="2" t="s">
        <v>2398</v>
      </c>
      <c r="C872" s="2" t="s">
        <v>2399</v>
      </c>
      <c r="D872" s="2" t="s">
        <v>1561</v>
      </c>
      <c r="E872" s="2" t="s">
        <v>27</v>
      </c>
      <c r="F872" s="2" t="s">
        <v>15</v>
      </c>
      <c r="G872" s="2" t="s">
        <v>2400</v>
      </c>
      <c r="H872" s="2" t="s">
        <v>685</v>
      </c>
      <c r="I872" s="2" t="str">
        <f>IFERROR(__xludf.DUMMYFUNCTION("GOOGLETRANSLATE(C872,""fr"",""en"")"),"After sending all the papers following the deces of my mother 1 interlocutor after 17mn of waiting as it tells me that he has the paper but did not take it into account; email 18/5 it did not please paper?")</f>
        <v>After sending all the papers following the deces of my mother 1 interlocutor after 17mn of waiting as it tells me that he has the paper but did not take it into account; email 18/5 it did not please paper?</v>
      </c>
    </row>
    <row r="873" ht="15.75" customHeight="1">
      <c r="A873" s="2">
        <v>1.0</v>
      </c>
      <c r="B873" s="2" t="s">
        <v>2401</v>
      </c>
      <c r="C873" s="2" t="s">
        <v>2402</v>
      </c>
      <c r="D873" s="2" t="s">
        <v>314</v>
      </c>
      <c r="E873" s="2" t="s">
        <v>21</v>
      </c>
      <c r="F873" s="2" t="s">
        <v>15</v>
      </c>
      <c r="G873" s="2" t="s">
        <v>2403</v>
      </c>
      <c r="H873" s="2" t="s">
        <v>860</v>
      </c>
      <c r="I873" s="2" t="str">
        <f>IFERROR(__xludf.DUMMYFUNCTION("GOOGLETRANSLATE(C873,""fr"",""en"")"),"Insurance. To avoid as much as possible.
Very mediocre service, no follow -up of files, communications than with number on Billed! I was offered an attractive quote once I set my file was refused to get reimbursed they took me. 170 € without communicatio"&amp;"n costs and recommended letters")</f>
        <v>Insurance. To avoid as much as possible.
Very mediocre service, no follow -up of files, communications than with number on Billed! I was offered an attractive quote once I set my file was refused to get reimbursed they took me. 170 € without communication costs and recommended letters</v>
      </c>
    </row>
    <row r="874" ht="15.75" customHeight="1">
      <c r="A874" s="2">
        <v>4.0</v>
      </c>
      <c r="B874" s="2" t="s">
        <v>2404</v>
      </c>
      <c r="C874" s="2" t="s">
        <v>2405</v>
      </c>
      <c r="D874" s="2" t="s">
        <v>20</v>
      </c>
      <c r="E874" s="2" t="s">
        <v>21</v>
      </c>
      <c r="F874" s="2" t="s">
        <v>15</v>
      </c>
      <c r="G874" s="2" t="s">
        <v>90</v>
      </c>
      <c r="H874" s="2" t="s">
        <v>38</v>
      </c>
      <c r="I874" s="2" t="str">
        <f>IFERROR(__xludf.DUMMYFUNCTION("GOOGLETRANSLATE(C874,""fr"",""en"")"),"I am satisfied with the service but also the price that is offered. I hope that our relationships in the future will be as well as now.")</f>
        <v>I am satisfied with the service but also the price that is offered. I hope that our relationships in the future will be as well as now.</v>
      </c>
    </row>
    <row r="875" ht="15.75" customHeight="1">
      <c r="A875" s="2">
        <v>4.0</v>
      </c>
      <c r="B875" s="2" t="s">
        <v>2406</v>
      </c>
      <c r="C875" s="2" t="s">
        <v>2407</v>
      </c>
      <c r="D875" s="2" t="s">
        <v>20</v>
      </c>
      <c r="E875" s="2" t="s">
        <v>21</v>
      </c>
      <c r="F875" s="2" t="s">
        <v>15</v>
      </c>
      <c r="G875" s="2" t="s">
        <v>22</v>
      </c>
      <c r="H875" s="2" t="s">
        <v>23</v>
      </c>
      <c r="I875" s="2" t="str">
        <f>IFERROR(__xludf.DUMMYFUNCTION("GOOGLETRANSLATE(C875,""fr"",""en"")"),"Delighted with your service, rapidity and patience of your advisers The prices are quite just papers is quickly transmitted very clear information Bravo")</f>
        <v>Delighted with your service, rapidity and patience of your advisers The prices are quite just papers is quickly transmitted very clear information Bravo</v>
      </c>
    </row>
    <row r="876" ht="15.75" customHeight="1">
      <c r="A876" s="2">
        <v>3.0</v>
      </c>
      <c r="B876" s="2" t="s">
        <v>2408</v>
      </c>
      <c r="C876" s="2" t="s">
        <v>2409</v>
      </c>
      <c r="D876" s="2" t="s">
        <v>32</v>
      </c>
      <c r="E876" s="2" t="s">
        <v>21</v>
      </c>
      <c r="F876" s="2" t="s">
        <v>15</v>
      </c>
      <c r="G876" s="2" t="s">
        <v>1623</v>
      </c>
      <c r="H876" s="2" t="s">
        <v>48</v>
      </c>
      <c r="I876" s="2" t="str">
        <f>IFERROR(__xludf.DUMMYFUNCTION("GOOGLETRANSLATE(C876,""fr"",""en"")"),"I have no review of customer service I have not yet been assured only for less than two weeks
I will give my opinion later I have no opinion yet")</f>
        <v>I have no review of customer service I have not yet been assured only for less than two weeks
I will give my opinion later I have no opinion yet</v>
      </c>
    </row>
    <row r="877" ht="15.75" customHeight="1">
      <c r="A877" s="2">
        <v>4.0</v>
      </c>
      <c r="B877" s="2" t="s">
        <v>2410</v>
      </c>
      <c r="C877" s="2" t="s">
        <v>2411</v>
      </c>
      <c r="D877" s="2" t="s">
        <v>20</v>
      </c>
      <c r="E877" s="2" t="s">
        <v>21</v>
      </c>
      <c r="F877" s="2" t="s">
        <v>15</v>
      </c>
      <c r="G877" s="2" t="s">
        <v>246</v>
      </c>
      <c r="H877" s="2" t="s">
        <v>58</v>
      </c>
      <c r="I877" s="2" t="str">
        <f>IFERROR(__xludf.DUMMYFUNCTION("GOOGLETRANSLATE(C877,""fr"",""en"")"),"Hello,
Your welcome is friendly and simple,
The explanations and details are very clear and personalized.
What else to tell you? Ah yes I cannot subscribe to your home insurance due to a burglary two years ago it is a bit of a shame ...
thank you")</f>
        <v>Hello,
Your welcome is friendly and simple,
The explanations and details are very clear and personalized.
What else to tell you? Ah yes I cannot subscribe to your home insurance due to a burglary two years ago it is a bit of a shame ...
thank you</v>
      </c>
    </row>
    <row r="878" ht="15.75" customHeight="1">
      <c r="A878" s="2">
        <v>1.0</v>
      </c>
      <c r="B878" s="2" t="s">
        <v>2412</v>
      </c>
      <c r="C878" s="2" t="s">
        <v>2413</v>
      </c>
      <c r="D878" s="2" t="s">
        <v>32</v>
      </c>
      <c r="E878" s="2" t="s">
        <v>21</v>
      </c>
      <c r="F878" s="2" t="s">
        <v>15</v>
      </c>
      <c r="G878" s="2" t="s">
        <v>94</v>
      </c>
      <c r="H878" s="2" t="s">
        <v>95</v>
      </c>
      <c r="I878" s="2" t="str">
        <f>IFERROR(__xludf.DUMMYFUNCTION("GOOGLETRANSLATE(C878,""fr"",""en"")"),"No consideration of my requests. The contract is not in line and I am refused monthly when I have several contracts which have been accepted
")</f>
        <v>No consideration of my requests. The contract is not in line and I am refused monthly when I have several contracts which have been accepted
</v>
      </c>
    </row>
    <row r="879" ht="15.75" customHeight="1">
      <c r="A879" s="2">
        <v>3.0</v>
      </c>
      <c r="B879" s="2" t="s">
        <v>2414</v>
      </c>
      <c r="C879" s="2" t="s">
        <v>2415</v>
      </c>
      <c r="D879" s="2" t="s">
        <v>139</v>
      </c>
      <c r="E879" s="2" t="s">
        <v>21</v>
      </c>
      <c r="F879" s="2" t="s">
        <v>15</v>
      </c>
      <c r="G879" s="2" t="s">
        <v>2416</v>
      </c>
      <c r="H879" s="2" t="s">
        <v>87</v>
      </c>
      <c r="I879" s="2" t="str">
        <f>IFERROR(__xludf.DUMMYFUNCTION("GOOGLETRANSLATE(C879,""fr"",""en"")"),"Hello,
In terms of prices there is always to be done, especially with multi-contract members ....! We say it but one day we will end up doing it :: peel the competition contract by contract ....
Satisfaction, increasing, more listening advisers .... and"&amp;" that's good!
Cordially.
PS: Inadmissible the price to pay the year for the monthly direct debit when it must, surely, manage itself computer!")</f>
        <v>Hello,
In terms of prices there is always to be done, especially with multi-contract members ....! We say it but one day we will end up doing it :: peel the competition contract by contract ....
Satisfaction, increasing, more listening advisers .... and that's good!
Cordially.
PS: Inadmissible the price to pay the year for the monthly direct debit when it must, surely, manage itself computer!</v>
      </c>
    </row>
    <row r="880" ht="15.75" customHeight="1">
      <c r="A880" s="2">
        <v>5.0</v>
      </c>
      <c r="B880" s="2" t="s">
        <v>2417</v>
      </c>
      <c r="C880" s="2" t="s">
        <v>2418</v>
      </c>
      <c r="D880" s="2" t="s">
        <v>32</v>
      </c>
      <c r="E880" s="2" t="s">
        <v>21</v>
      </c>
      <c r="F880" s="2" t="s">
        <v>15</v>
      </c>
      <c r="G880" s="2" t="s">
        <v>827</v>
      </c>
      <c r="H880" s="2" t="s">
        <v>54</v>
      </c>
      <c r="I880" s="2" t="str">
        <f>IFERROR(__xludf.DUMMYFUNCTION("GOOGLETRANSLATE(C880,""fr"",""en"")"),"The quote and the subscription are very easy, this is my first subscription from Direct Insurance, I hope that the contract will be up to promises")</f>
        <v>The quote and the subscription are very easy, this is my first subscription from Direct Insurance, I hope that the contract will be up to promises</v>
      </c>
    </row>
    <row r="881" ht="15.75" customHeight="1">
      <c r="A881" s="2">
        <v>4.0</v>
      </c>
      <c r="B881" s="2" t="s">
        <v>2419</v>
      </c>
      <c r="C881" s="2" t="s">
        <v>2420</v>
      </c>
      <c r="D881" s="2" t="s">
        <v>146</v>
      </c>
      <c r="E881" s="2" t="s">
        <v>52</v>
      </c>
      <c r="F881" s="2" t="s">
        <v>15</v>
      </c>
      <c r="G881" s="2" t="s">
        <v>119</v>
      </c>
      <c r="H881" s="2" t="s">
        <v>87</v>
      </c>
      <c r="I881" s="2" t="str">
        <f>IFERROR(__xludf.DUMMYFUNCTION("GOOGLETRANSLATE(C881,""fr"",""en"")"),"I am satisfied with the price, I am waiting to see in case of a problem if all this unfolding well. But otherwise it looks good at all, thank you, and have a nice day.")</f>
        <v>I am satisfied with the price, I am waiting to see in case of a problem if all this unfolding well. But otherwise it looks good at all, thank you, and have a nice day.</v>
      </c>
    </row>
    <row r="882" ht="15.75" customHeight="1">
      <c r="A882" s="2">
        <v>2.0</v>
      </c>
      <c r="B882" s="2" t="s">
        <v>2421</v>
      </c>
      <c r="C882" s="2" t="s">
        <v>2422</v>
      </c>
      <c r="D882" s="2" t="s">
        <v>32</v>
      </c>
      <c r="E882" s="2" t="s">
        <v>21</v>
      </c>
      <c r="F882" s="2" t="s">
        <v>15</v>
      </c>
      <c r="G882" s="2" t="s">
        <v>1742</v>
      </c>
      <c r="H882" s="2" t="s">
        <v>54</v>
      </c>
      <c r="I882" s="2" t="str">
        <f>IFERROR(__xludf.DUMMYFUNCTION("GOOGLETRANSLATE(C882,""fr"",""en"")"),"I rushed because I did not want to drive without insurance on weekends or I bought my vehicle. I am very disappointed
Today I have made several simulations and frankly they are far too expensive
I will not renew my contract with them. Strongly the due d"&amp;"ate!
I stupidly believed in advertising ??")</f>
        <v>I rushed because I did not want to drive without insurance on weekends or I bought my vehicle. I am very disappointed
Today I have made several simulations and frankly they are far too expensive
I will not renew my contract with them. Strongly the due date!
I stupidly believed in advertising ??</v>
      </c>
    </row>
    <row r="883" ht="15.75" customHeight="1">
      <c r="A883" s="2">
        <v>1.0</v>
      </c>
      <c r="B883" s="2" t="s">
        <v>2423</v>
      </c>
      <c r="C883" s="2" t="s">
        <v>2424</v>
      </c>
      <c r="D883" s="2" t="s">
        <v>113</v>
      </c>
      <c r="E883" s="2" t="s">
        <v>21</v>
      </c>
      <c r="F883" s="2" t="s">
        <v>15</v>
      </c>
      <c r="G883" s="2" t="s">
        <v>2425</v>
      </c>
      <c r="H883" s="2" t="s">
        <v>136</v>
      </c>
      <c r="I883" s="2" t="str">
        <f>IFERROR(__xludf.DUMMYFUNCTION("GOOGLETRANSLATE(C883,""fr"",""en"")"),"I put a star for each a pity that we could not choose 0 star subscription on the internet he takes the money the same day on the account but on the other hand we must not deceive in the data because cancellation of contract and contract and contract and c"&amp;"ontract and cancellation of contract and Refund at the end of the month by check. Very unpleasant on the phone and tries to look for no solution")</f>
        <v>I put a star for each a pity that we could not choose 0 star subscription on the internet he takes the money the same day on the account but on the other hand we must not deceive in the data because cancellation of contract and contract and contract and contract and cancellation of contract and Refund at the end of the month by check. Very unpleasant on the phone and tries to look for no solution</v>
      </c>
    </row>
    <row r="884" ht="15.75" customHeight="1">
      <c r="A884" s="2">
        <v>3.0</v>
      </c>
      <c r="B884" s="2" t="s">
        <v>2426</v>
      </c>
      <c r="C884" s="2" t="s">
        <v>2427</v>
      </c>
      <c r="D884" s="2" t="s">
        <v>37</v>
      </c>
      <c r="E884" s="2" t="s">
        <v>21</v>
      </c>
      <c r="F884" s="2" t="s">
        <v>15</v>
      </c>
      <c r="G884" s="2" t="s">
        <v>2428</v>
      </c>
      <c r="H884" s="2" t="s">
        <v>54</v>
      </c>
      <c r="I884" s="2" t="str">
        <f>IFERROR(__xludf.DUMMYFUNCTION("GOOGLETRANSLATE(C884,""fr"",""en"")"),"I must ensure a new more powerful vehicle of 200 hp he want to know why I buy this type of vehicle which I leave them as soon as I received my new vehicle")</f>
        <v>I must ensure a new more powerful vehicle of 200 hp he want to know why I buy this type of vehicle which I leave them as soon as I received my new vehicle</v>
      </c>
    </row>
    <row r="885" ht="15.75" customHeight="1">
      <c r="A885" s="2">
        <v>1.0</v>
      </c>
      <c r="B885" s="2" t="s">
        <v>2429</v>
      </c>
      <c r="C885" s="2" t="s">
        <v>2430</v>
      </c>
      <c r="D885" s="2" t="s">
        <v>32</v>
      </c>
      <c r="E885" s="2" t="s">
        <v>21</v>
      </c>
      <c r="F885" s="2" t="s">
        <v>15</v>
      </c>
      <c r="G885" s="2" t="s">
        <v>2431</v>
      </c>
      <c r="H885" s="2" t="s">
        <v>87</v>
      </c>
      <c r="I885" s="2" t="str">
        <f>IFERROR(__xludf.DUMMYFUNCTION("GOOGLETRANSLATE(C885,""fr"",""en"")"),"I find myself having to pay when my vehicle can not drive for over a year, Direct Insurance is aware and that the ""advisers"" only send the ball. The incompetence of the advisers is paid by the insured. Run away")</f>
        <v>I find myself having to pay when my vehicle can not drive for over a year, Direct Insurance is aware and that the "advisers" only send the ball. The incompetence of the advisers is paid by the insured. Run away</v>
      </c>
    </row>
    <row r="886" ht="15.75" customHeight="1">
      <c r="A886" s="2">
        <v>1.0</v>
      </c>
      <c r="B886" s="2" t="s">
        <v>2432</v>
      </c>
      <c r="C886" s="2" t="s">
        <v>2433</v>
      </c>
      <c r="D886" s="2" t="s">
        <v>314</v>
      </c>
      <c r="E886" s="2" t="s">
        <v>21</v>
      </c>
      <c r="F886" s="2" t="s">
        <v>15</v>
      </c>
      <c r="G886" s="2" t="s">
        <v>279</v>
      </c>
      <c r="H886" s="2" t="s">
        <v>199</v>
      </c>
      <c r="I886" s="2" t="str">
        <f>IFERROR(__xludf.DUMMYFUNCTION("GOOGLETRANSLATE(C886,""fr"",""en"")"),"15 days to check the supporting documents
Surprise of 2.80 euros more, cause 2 -day error on license date.
Watch out for other surprises of costs in addition. Power that a bank !!! Finally take cheaper by thinking not to put money in the air, is always "&amp;"too expensive. Impossible to take the right to the withdrawal delays because fresh and deposit kept and exorbitant. They count on it to keep force. Only I would not stay one more year, and would not forget to talk about it around me. Poor calculation for "&amp;"them, for me who has been a good driver since 1992 without accident and 12 points on her license.
I paid for bad drivers .k. But there, not even an ounce of consideration it starts to make too full. I think I'm going to go back to see the big groups with"&amp;"out surprise it will save me. Insurer to flee so .. there is only to look at the opinions .. I should have looked before.")</f>
        <v>15 days to check the supporting documents
Surprise of 2.80 euros more, cause 2 -day error on license date.
Watch out for other surprises of costs in addition. Power that a bank !!! Finally take cheaper by thinking not to put money in the air, is always too expensive. Impossible to take the right to the withdrawal delays because fresh and deposit kept and exorbitant. They count on it to keep force. Only I would not stay one more year, and would not forget to talk about it around me. Poor calculation for them, for me who has been a good driver since 1992 without accident and 12 points on her license.
I paid for bad drivers .k. But there, not even an ounce of consideration it starts to make too full. I think I'm going to go back to see the big groups without surprise it will save me. Insurer to flee so .. there is only to look at the opinions .. I should have looked before.</v>
      </c>
    </row>
    <row r="887" ht="15.75" customHeight="1">
      <c r="A887" s="2">
        <v>2.0</v>
      </c>
      <c r="B887" s="2" t="s">
        <v>2434</v>
      </c>
      <c r="C887" s="2" t="s">
        <v>2435</v>
      </c>
      <c r="D887" s="2" t="s">
        <v>287</v>
      </c>
      <c r="E887" s="2" t="s">
        <v>283</v>
      </c>
      <c r="F887" s="2" t="s">
        <v>15</v>
      </c>
      <c r="G887" s="2" t="s">
        <v>1148</v>
      </c>
      <c r="H887" s="2" t="s">
        <v>58</v>
      </c>
      <c r="I887" s="2" t="str">
        <f>IFERROR(__xludf.DUMMYFUNCTION("GOOGLETRANSLATE(C887,""fr"",""en"")"),"I paid in two years 800 euros of mutual for my and the N (was reimbursed only for 25 euros, either it is an unremarked drug either is a service not taken charge, moreover you do not have interlocutor they do not respond to your SMS do not subscribe to thi"&amp;"s mutual.")</f>
        <v>I paid in two years 800 euros of mutual for my and the N (was reimbursed only for 25 euros, either it is an unremarked drug either is a service not taken charge, moreover you do not have interlocutor they do not respond to your SMS do not subscribe to this mutual.</v>
      </c>
    </row>
    <row r="888" ht="15.75" customHeight="1">
      <c r="A888" s="2">
        <v>1.0</v>
      </c>
      <c r="B888" s="2" t="s">
        <v>2436</v>
      </c>
      <c r="C888" s="2" t="s">
        <v>2437</v>
      </c>
      <c r="D888" s="2" t="s">
        <v>93</v>
      </c>
      <c r="E888" s="2" t="s">
        <v>544</v>
      </c>
      <c r="F888" s="2" t="s">
        <v>15</v>
      </c>
      <c r="G888" s="2" t="s">
        <v>2438</v>
      </c>
      <c r="H888" s="2" t="s">
        <v>253</v>
      </c>
      <c r="I888" s="2" t="str">
        <f>IFERROR(__xludf.DUMMYFUNCTION("GOOGLETRANSLATE(C888,""fr"",""en"")"),"Attention following subscription via unim of an Allianz forecast contract; Following fall in staircase The doctor counsel Unim requires the sickness accident which makes it possible not to compensate (two months to instruct) Look for the error .....")</f>
        <v>Attention following subscription via unim of an Allianz forecast contract; Following fall in staircase The doctor counsel Unim requires the sickness accident which makes it possible not to compensate (two months to instruct) Look for the error .....</v>
      </c>
    </row>
    <row r="889" ht="15.75" customHeight="1">
      <c r="A889" s="2">
        <v>1.0</v>
      </c>
      <c r="B889" s="2" t="s">
        <v>2439</v>
      </c>
      <c r="C889" s="2" t="s">
        <v>2440</v>
      </c>
      <c r="D889" s="2" t="s">
        <v>1085</v>
      </c>
      <c r="E889" s="2" t="s">
        <v>27</v>
      </c>
      <c r="F889" s="2" t="s">
        <v>15</v>
      </c>
      <c r="G889" s="2" t="s">
        <v>2441</v>
      </c>
      <c r="H889" s="2" t="s">
        <v>152</v>
      </c>
      <c r="I889" s="2" t="str">
        <f>IFERROR(__xludf.DUMMYFUNCTION("GOOGLETRANSLATE(C889,""fr"",""en"")"),"My deceased aunt committed the error to take out two life insurance contracts with confidence in this unscrupulous company. After waiting for 4 months to obtain the tax service the certificate of non-expressibility, all the necessary documents were sent t"&amp;"o the company. It is only then that she realizes having made an ""error"" reducing the quotas by half without giving us to us, poor heirs supposedly naive, no proof. What is it traffic in this insurance company already sentenced repeatedly by the court?")</f>
        <v>My deceased aunt committed the error to take out two life insurance contracts with confidence in this unscrupulous company. After waiting for 4 months to obtain the tax service the certificate of non-expressibility, all the necessary documents were sent to the company. It is only then that she realizes having made an "error" reducing the quotas by half without giving us to us, poor heirs supposedly naive, no proof. What is it traffic in this insurance company already sentenced repeatedly by the court?</v>
      </c>
    </row>
    <row r="890" ht="15.75" customHeight="1">
      <c r="A890" s="2">
        <v>1.0</v>
      </c>
      <c r="B890" s="2" t="s">
        <v>2442</v>
      </c>
      <c r="C890" s="2" t="s">
        <v>2443</v>
      </c>
      <c r="D890" s="2" t="s">
        <v>32</v>
      </c>
      <c r="E890" s="2" t="s">
        <v>21</v>
      </c>
      <c r="F890" s="2" t="s">
        <v>15</v>
      </c>
      <c r="G890" s="2" t="s">
        <v>2444</v>
      </c>
      <c r="H890" s="2" t="s">
        <v>1269</v>
      </c>
      <c r="I890" s="2" t="str">
        <f>IFERROR(__xludf.DUMMYFUNCTION("GOOGLETRANSLATE(C890,""fr"",""en"")"),"Attractive price to attract new customers but increase of more than 100% in 2 years to find yourself more expensive than competition.
Customer service below everything and indicating lies with each call.")</f>
        <v>Attractive price to attract new customers but increase of more than 100% in 2 years to find yourself more expensive than competition.
Customer service below everything and indicating lies with each call.</v>
      </c>
    </row>
    <row r="891" ht="15.75" customHeight="1">
      <c r="A891" s="2">
        <v>4.0</v>
      </c>
      <c r="B891" s="2" t="s">
        <v>2445</v>
      </c>
      <c r="C891" s="2" t="s">
        <v>2446</v>
      </c>
      <c r="D891" s="2" t="s">
        <v>32</v>
      </c>
      <c r="E891" s="2" t="s">
        <v>21</v>
      </c>
      <c r="F891" s="2" t="s">
        <v>15</v>
      </c>
      <c r="G891" s="2" t="s">
        <v>1853</v>
      </c>
      <c r="H891" s="2" t="s">
        <v>48</v>
      </c>
      <c r="I891" s="2" t="str">
        <f>IFERROR(__xludf.DUMMYFUNCTION("GOOGLETRANSLATE(C891,""fr"",""en"")")," I am satisfied with the service, good responsiveness when I used direct insurance services. A small gesture on prices would be welcome when you have two insured vehicles")</f>
        <v> I am satisfied with the service, good responsiveness when I used direct insurance services. A small gesture on prices would be welcome when you have two insured vehicles</v>
      </c>
    </row>
    <row r="892" ht="15.75" customHeight="1">
      <c r="A892" s="2">
        <v>2.0</v>
      </c>
      <c r="B892" s="2" t="s">
        <v>2447</v>
      </c>
      <c r="C892" s="2" t="s">
        <v>2448</v>
      </c>
      <c r="D892" s="2" t="s">
        <v>122</v>
      </c>
      <c r="E892" s="2" t="s">
        <v>21</v>
      </c>
      <c r="F892" s="2" t="s">
        <v>15</v>
      </c>
      <c r="G892" s="2" t="s">
        <v>2449</v>
      </c>
      <c r="H892" s="2" t="s">
        <v>804</v>
      </c>
      <c r="I892" s="2" t="str">
        <f>IFERROR(__xludf.DUMMYFUNCTION("GOOGLETRANSLATE(C892,""fr"",""en"")"),"Hi there,
Huge disappointment at the level of the Matmut which has become far too commercial: looking for profit at the expense of the quality of management and customer empathy.
I have undergone an automotive claim for almost two months, I had signed a"&amp;"n all -risk automobile insurance contract for a monthly bonus up to a hundred euros.
Insured since 2010 without any claim, I fell from high when taking care of this disaster. Indeed, the managers on the phone make me go around in circles, there is even o"&amp;"ne that literally hung me on the nose!
I asked to speak with a manager to arrange the amicable situation but the manager did not want.
From then on, I will have to assign them in court and I would not fail to warn the local press. Indeed, we pay contrib"&amp;"utions but we have no counterpart during the occurrence of a claim.")</f>
        <v>Hi there,
Huge disappointment at the level of the Matmut which has become far too commercial: looking for profit at the expense of the quality of management and customer empathy.
I have undergone an automotive claim for almost two months, I had signed an all -risk automobile insurance contract for a monthly bonus up to a hundred euros.
Insured since 2010 without any claim, I fell from high when taking care of this disaster. Indeed, the managers on the phone make me go around in circles, there is even one that literally hung me on the nose!
I asked to speak with a manager to arrange the amicable situation but the manager did not want.
From then on, I will have to assign them in court and I would not fail to warn the local press. Indeed, we pay contributions but we have no counterpart during the occurrence of a claim.</v>
      </c>
    </row>
    <row r="893" ht="15.75" customHeight="1">
      <c r="A893" s="2">
        <v>2.0</v>
      </c>
      <c r="B893" s="2" t="s">
        <v>2450</v>
      </c>
      <c r="C893" s="2" t="s">
        <v>2451</v>
      </c>
      <c r="D893" s="2" t="s">
        <v>106</v>
      </c>
      <c r="E893" s="2" t="s">
        <v>14</v>
      </c>
      <c r="F893" s="2" t="s">
        <v>15</v>
      </c>
      <c r="G893" s="2" t="s">
        <v>2452</v>
      </c>
      <c r="H893" s="2" t="s">
        <v>1877</v>
      </c>
      <c r="I893" s="2" t="str">
        <f>IFERROR(__xludf.DUMMYFUNCTION("GOOGLETRANSLATE(C893,""fr"",""en"")"),"the worst mutuals, no response to our requests,
Support requested before intervention, on D -day no care sent.
Who are we laughing at.")</f>
        <v>the worst mutuals, no response to our requests,
Support requested before intervention, on D -day no care sent.
Who are we laughing at.</v>
      </c>
    </row>
    <row r="894" ht="15.75" customHeight="1">
      <c r="A894" s="2">
        <v>2.0</v>
      </c>
      <c r="B894" s="2" t="s">
        <v>2453</v>
      </c>
      <c r="C894" s="2" t="s">
        <v>2454</v>
      </c>
      <c r="D894" s="2" t="s">
        <v>41</v>
      </c>
      <c r="E894" s="2" t="s">
        <v>42</v>
      </c>
      <c r="F894" s="2" t="s">
        <v>15</v>
      </c>
      <c r="G894" s="2" t="s">
        <v>2455</v>
      </c>
      <c r="H894" s="2" t="s">
        <v>156</v>
      </c>
      <c r="I894" s="2" t="str">
        <f>IFERROR(__xludf.DUMMYFUNCTION("GOOGLETRANSLATE(C894,""fr"",""en"")"),"I do not understand why holder of seven contracts and MMAF customers for decades a contract will be terminated by the insurer for two claims in 2015 and 2016 of 550 and 530 euros")</f>
        <v>I do not understand why holder of seven contracts and MMAF customers for decades a contract will be terminated by the insurer for two claims in 2015 and 2016 of 550 and 530 euros</v>
      </c>
    </row>
    <row r="895" ht="15.75" customHeight="1">
      <c r="A895" s="2">
        <v>5.0</v>
      </c>
      <c r="B895" s="2" t="s">
        <v>2456</v>
      </c>
      <c r="C895" s="2" t="s">
        <v>2457</v>
      </c>
      <c r="D895" s="2" t="s">
        <v>127</v>
      </c>
      <c r="E895" s="2" t="s">
        <v>128</v>
      </c>
      <c r="F895" s="2" t="s">
        <v>15</v>
      </c>
      <c r="G895" s="2" t="s">
        <v>2458</v>
      </c>
      <c r="H895" s="2" t="s">
        <v>38</v>
      </c>
      <c r="I895" s="2" t="str">
        <f>IFERROR(__xludf.DUMMYFUNCTION("GOOGLETRANSLATE(C895,""fr"",""en"")"),"Impeccable service. Followed by the top file with a present interlocutor who accompanied me in the approach, everything is done by internet and no useless paperwork. The price ? twice cheaper as the insurance offered by my bank.")</f>
        <v>Impeccable service. Followed by the top file with a present interlocutor who accompanied me in the approach, everything is done by internet and no useless paperwork. The price ? twice cheaper as the insurance offered by my bank.</v>
      </c>
    </row>
    <row r="896" ht="15.75" customHeight="1">
      <c r="A896" s="2">
        <v>5.0</v>
      </c>
      <c r="B896" s="2" t="s">
        <v>2459</v>
      </c>
      <c r="C896" s="2" t="s">
        <v>2460</v>
      </c>
      <c r="D896" s="2" t="s">
        <v>32</v>
      </c>
      <c r="E896" s="2" t="s">
        <v>21</v>
      </c>
      <c r="F896" s="2" t="s">
        <v>15</v>
      </c>
      <c r="G896" s="2" t="s">
        <v>2051</v>
      </c>
      <c r="H896" s="2" t="s">
        <v>54</v>
      </c>
      <c r="I896" s="2" t="str">
        <f>IFERROR(__xludf.DUMMYFUNCTION("GOOGLETRANSLATE(C896,""fr"",""en"")"),"Simple and fast efficient cheap direct and accommodating.
Pleasant and available advisor.
Adapted and varied formulas.
Filled need. Rapid effect.")</f>
        <v>Simple and fast efficient cheap direct and accommodating.
Pleasant and available advisor.
Adapted and varied formulas.
Filled need. Rapid effect.</v>
      </c>
    </row>
    <row r="897" ht="15.75" customHeight="1">
      <c r="A897" s="2">
        <v>5.0</v>
      </c>
      <c r="B897" s="2" t="s">
        <v>2461</v>
      </c>
      <c r="C897" s="2" t="s">
        <v>2462</v>
      </c>
      <c r="D897" s="2" t="s">
        <v>20</v>
      </c>
      <c r="E897" s="2" t="s">
        <v>21</v>
      </c>
      <c r="F897" s="2" t="s">
        <v>15</v>
      </c>
      <c r="G897" s="2" t="s">
        <v>246</v>
      </c>
      <c r="H897" s="2" t="s">
        <v>58</v>
      </c>
      <c r="I897" s="2" t="str">
        <f>IFERROR(__xludf.DUMMYFUNCTION("GOOGLETRANSLATE(C897,""fr"",""en"")"),"I am very satisfied with the price and the contact with the salesperson who was very polite and attentive to my requests! Hoping for this will continue!")</f>
        <v>I am very satisfied with the price and the contact with the salesperson who was very polite and attentive to my requests! Hoping for this will continue!</v>
      </c>
    </row>
    <row r="898" ht="15.75" customHeight="1">
      <c r="A898" s="2">
        <v>2.0</v>
      </c>
      <c r="B898" s="2" t="s">
        <v>2463</v>
      </c>
      <c r="C898" s="2" t="s">
        <v>2464</v>
      </c>
      <c r="D898" s="2" t="s">
        <v>93</v>
      </c>
      <c r="E898" s="2" t="s">
        <v>544</v>
      </c>
      <c r="F898" s="2" t="s">
        <v>15</v>
      </c>
      <c r="G898" s="2" t="s">
        <v>1528</v>
      </c>
      <c r="H898" s="2" t="s">
        <v>842</v>
      </c>
      <c r="I898" s="2" t="str">
        <f>IFERROR(__xludf.DUMMYFUNCTION("GOOGLETRANSLATE(C898,""fr"",""en"")"),"At the end of our careers (retirement for me at 12/31/16) and with financial difficulties we wanted to lower the level of our two provident contracts. After several last -minute reports and cancellations from our Allianz correspondent we met our interlocu"&amp;"tor on 14/10 and decided with him to decline our contracts. These changes had to take effect in early December and were not made. Since despite several emails and telephone messages, no answer ......
very disappointed with the service.
")</f>
        <v>At the end of our careers (retirement for me at 12/31/16) and with financial difficulties we wanted to lower the level of our two provident contracts. After several last -minute reports and cancellations from our Allianz correspondent we met our interlocutor on 14/10 and decided with him to decline our contracts. These changes had to take effect in early December and were not made. Since despite several emails and telephone messages, no answer ......
very disappointed with the service.
</v>
      </c>
    </row>
    <row r="899" ht="15.75" customHeight="1">
      <c r="A899" s="2">
        <v>1.0</v>
      </c>
      <c r="B899" s="2" t="s">
        <v>2465</v>
      </c>
      <c r="C899" s="2" t="s">
        <v>2466</v>
      </c>
      <c r="D899" s="2" t="s">
        <v>37</v>
      </c>
      <c r="E899" s="2" t="s">
        <v>21</v>
      </c>
      <c r="F899" s="2" t="s">
        <v>15</v>
      </c>
      <c r="G899" s="2" t="s">
        <v>758</v>
      </c>
      <c r="H899" s="2" t="s">
        <v>253</v>
      </c>
      <c r="I899" s="2" t="str">
        <f>IFERROR(__xludf.DUMMYFUNCTION("GOOGLETRANSLATE(C899,""fr"",""en"")"),"Client for more than 10 years without loss of Eurofil responsible for me for no reason. Despite my complaints they confirm not having to say the why ... I terminated before their two -month delai for the Macif")</f>
        <v>Client for more than 10 years without loss of Eurofil responsible for me for no reason. Despite my complaints they confirm not having to say the why ... I terminated before their two -month delai for the Macif</v>
      </c>
    </row>
    <row r="900" ht="15.75" customHeight="1">
      <c r="A900" s="2">
        <v>2.0</v>
      </c>
      <c r="B900" s="2" t="s">
        <v>2467</v>
      </c>
      <c r="C900" s="2" t="s">
        <v>2468</v>
      </c>
      <c r="D900" s="2" t="s">
        <v>139</v>
      </c>
      <c r="E900" s="2" t="s">
        <v>42</v>
      </c>
      <c r="F900" s="2" t="s">
        <v>15</v>
      </c>
      <c r="G900" s="2" t="s">
        <v>2469</v>
      </c>
      <c r="H900" s="2" t="s">
        <v>319</v>
      </c>
      <c r="I900" s="2" t="str">
        <f>IFERROR(__xludf.DUMMYFUNCTION("GOOGLETRANSLATE(C900,""fr"",""en"")"),"Detail of the waters in April, I have finally received the check to launch the work !!
Beyond this long period largely attributable to the expert in charge of the file, the biggest downside is the difficulty in having customer service ... sometimes hours"&amp;" of waiting ...")</f>
        <v>Detail of the waters in April, I have finally received the check to launch the work !!
Beyond this long period largely attributable to the expert in charge of the file, the biggest downside is the difficulty in having customer service ... sometimes hours of waiting ...</v>
      </c>
    </row>
    <row r="901" ht="15.75" customHeight="1">
      <c r="A901" s="2">
        <v>1.0</v>
      </c>
      <c r="B901" s="2" t="s">
        <v>2470</v>
      </c>
      <c r="C901" s="2" t="s">
        <v>2471</v>
      </c>
      <c r="D901" s="2" t="s">
        <v>80</v>
      </c>
      <c r="E901" s="2" t="s">
        <v>14</v>
      </c>
      <c r="F901" s="2" t="s">
        <v>15</v>
      </c>
      <c r="G901" s="2" t="s">
        <v>2472</v>
      </c>
      <c r="H901" s="2" t="s">
        <v>253</v>
      </c>
      <c r="I901" s="2" t="str">
        <f>IFERROR(__xludf.DUMMYFUNCTION("GOOGLETRANSLATE(C901,""fr"",""en"")"),"The MGEN is excessively expensive for the quality of the services and the reimbursement. Certainly charming and pleasant staff but it remains a slow and rarely effective dinosaur, I did not hesitate to go to see elsewhere.")</f>
        <v>The MGEN is excessively expensive for the quality of the services and the reimbursement. Certainly charming and pleasant staff but it remains a slow and rarely effective dinosaur, I did not hesitate to go to see elsewhere.</v>
      </c>
    </row>
    <row r="902" ht="15.75" customHeight="1">
      <c r="A902" s="2">
        <v>4.0</v>
      </c>
      <c r="B902" s="2" t="s">
        <v>2473</v>
      </c>
      <c r="C902" s="2" t="s">
        <v>2474</v>
      </c>
      <c r="D902" s="2" t="s">
        <v>32</v>
      </c>
      <c r="E902" s="2" t="s">
        <v>21</v>
      </c>
      <c r="F902" s="2" t="s">
        <v>15</v>
      </c>
      <c r="G902" s="2" t="s">
        <v>1091</v>
      </c>
      <c r="H902" s="2" t="s">
        <v>54</v>
      </c>
      <c r="I902" s="2" t="str">
        <f>IFERROR(__xludf.DUMMYFUNCTION("GOOGLETRANSLATE(C902,""fr"",""en"")"),"I am satisfied because the service is simple and easy.
The prices are correct and attractive for young drivers.
A wide choice of options and possibility which offers hard choice for customer potential")</f>
        <v>I am satisfied because the service is simple and easy.
The prices are correct and attractive for young drivers.
A wide choice of options and possibility which offers hard choice for customer potential</v>
      </c>
    </row>
    <row r="903" ht="15.75" customHeight="1">
      <c r="A903" s="2">
        <v>1.0</v>
      </c>
      <c r="B903" s="2" t="s">
        <v>2475</v>
      </c>
      <c r="C903" s="2" t="s">
        <v>2476</v>
      </c>
      <c r="D903" s="2" t="s">
        <v>41</v>
      </c>
      <c r="E903" s="2" t="s">
        <v>21</v>
      </c>
      <c r="F903" s="2" t="s">
        <v>15</v>
      </c>
      <c r="G903" s="2" t="s">
        <v>330</v>
      </c>
      <c r="H903" s="2" t="s">
        <v>331</v>
      </c>
      <c r="I903" s="2" t="str">
        <f>IFERROR(__xludf.DUMMYFUNCTION("GOOGLETRANSLATE(C903,""fr"",""en"")"),"What a problem with them always responsible for broken ice and troubleshooting when you have a dialogue wheel dialogue with people who take care of incompetent accidents no dialogue and he understands nothing and in addition he does not even read between "&amp;"the lines he he should change his job cordially")</f>
        <v>What a problem with them always responsible for broken ice and troubleshooting when you have a dialogue wheel dialogue with people who take care of incompetent accidents no dialogue and he understands nothing and in addition he does not even read between the lines he he should change his job cordially</v>
      </c>
    </row>
    <row r="904" ht="15.75" customHeight="1">
      <c r="A904" s="2">
        <v>1.0</v>
      </c>
      <c r="B904" s="2" t="s">
        <v>2477</v>
      </c>
      <c r="C904" s="2" t="s">
        <v>2478</v>
      </c>
      <c r="D904" s="2" t="s">
        <v>186</v>
      </c>
      <c r="E904" s="2" t="s">
        <v>21</v>
      </c>
      <c r="F904" s="2" t="s">
        <v>15</v>
      </c>
      <c r="G904" s="2" t="s">
        <v>2479</v>
      </c>
      <c r="H904" s="2" t="s">
        <v>29</v>
      </c>
      <c r="I904" s="2" t="str">
        <f>IFERROR(__xludf.DUMMYFUNCTION("GOOGLETRANSLATE(C904,""fr"",""en"")"),"Pacifica hides us with non -compliance with a client")</f>
        <v>Pacifica hides us with non -compliance with a client</v>
      </c>
    </row>
    <row r="905" ht="15.75" customHeight="1">
      <c r="A905" s="2">
        <v>4.0</v>
      </c>
      <c r="B905" s="2" t="s">
        <v>2480</v>
      </c>
      <c r="C905" s="2" t="s">
        <v>2481</v>
      </c>
      <c r="D905" s="2" t="s">
        <v>139</v>
      </c>
      <c r="E905" s="2" t="s">
        <v>21</v>
      </c>
      <c r="F905" s="2" t="s">
        <v>15</v>
      </c>
      <c r="G905" s="2" t="s">
        <v>57</v>
      </c>
      <c r="H905" s="2" t="s">
        <v>58</v>
      </c>
      <c r="I905" s="2" t="str">
        <f>IFERROR(__xludf.DUMMYFUNCTION("GOOGLETRANSLATE(C905,""fr"",""en"")"),"Having not yet had big problems related to my insurance, I am satisfied with the services offered. I hope it will last in time. A small loyalty reduction would also be appreciable.")</f>
        <v>Having not yet had big problems related to my insurance, I am satisfied with the services offered. I hope it will last in time. A small loyalty reduction would also be appreciable.</v>
      </c>
    </row>
    <row r="906" ht="15.75" customHeight="1">
      <c r="A906" s="2">
        <v>4.0</v>
      </c>
      <c r="B906" s="2" t="s">
        <v>2482</v>
      </c>
      <c r="C906" s="2" t="s">
        <v>2483</v>
      </c>
      <c r="D906" s="2" t="s">
        <v>20</v>
      </c>
      <c r="E906" s="2" t="s">
        <v>21</v>
      </c>
      <c r="F906" s="2" t="s">
        <v>15</v>
      </c>
      <c r="G906" s="2" t="s">
        <v>147</v>
      </c>
      <c r="H906" s="2" t="s">
        <v>87</v>
      </c>
      <c r="I906" s="2" t="str">
        <f>IFERROR(__xludf.DUMMYFUNCTION("GOOGLETRANSLATE(C906,""fr"",""en"")"),"I am satisfied, very good work, professional and fast.
Always try to work on the price, especially you always compare to the competition. thank you")</f>
        <v>I am satisfied, very good work, professional and fast.
Always try to work on the price, especially you always compare to the competition. thank you</v>
      </c>
    </row>
    <row r="907" ht="15.75" customHeight="1">
      <c r="A907" s="2">
        <v>4.0</v>
      </c>
      <c r="B907" s="2" t="s">
        <v>2484</v>
      </c>
      <c r="C907" s="2" t="s">
        <v>2485</v>
      </c>
      <c r="D907" s="2" t="s">
        <v>32</v>
      </c>
      <c r="E907" s="2" t="s">
        <v>21</v>
      </c>
      <c r="F907" s="2" t="s">
        <v>15</v>
      </c>
      <c r="G907" s="2" t="s">
        <v>969</v>
      </c>
      <c r="H907" s="2" t="s">
        <v>58</v>
      </c>
      <c r="I907" s="2" t="str">
        <f>IFERROR(__xludf.DUMMYFUNCTION("GOOGLETRANSLATE(C907,""fr"",""en"")"),"Satisfaction of speed. Very fast and satisfied service on your part. I will continue to advise people who need this service afterwards or during a purchase.")</f>
        <v>Satisfaction of speed. Very fast and satisfied service on your part. I will continue to advise people who need this service afterwards or during a purchase.</v>
      </c>
    </row>
    <row r="908" ht="15.75" customHeight="1">
      <c r="A908" s="2">
        <v>4.0</v>
      </c>
      <c r="B908" s="2" t="s">
        <v>2486</v>
      </c>
      <c r="C908" s="2" t="s">
        <v>2487</v>
      </c>
      <c r="D908" s="2" t="s">
        <v>20</v>
      </c>
      <c r="E908" s="2" t="s">
        <v>21</v>
      </c>
      <c r="F908" s="2" t="s">
        <v>15</v>
      </c>
      <c r="G908" s="2" t="s">
        <v>1075</v>
      </c>
      <c r="H908" s="2" t="s">
        <v>48</v>
      </c>
      <c r="I908" s="2" t="str">
        <f>IFERROR(__xludf.DUMMYFUNCTION("GOOGLETRANSLATE(C908,""fr"",""en"")"),"The online service is pleasant, fast and efficient with the insurance olive tree.
I am really satisfied with my registration, the procedure for taking into account and providing online documents. It is very good.
I gladly recommend.")</f>
        <v>The online service is pleasant, fast and efficient with the insurance olive tree.
I am really satisfied with my registration, the procedure for taking into account and providing online documents. It is very good.
I gladly recommend.</v>
      </c>
    </row>
    <row r="909" ht="15.75" customHeight="1">
      <c r="A909" s="2">
        <v>2.0</v>
      </c>
      <c r="B909" s="2" t="s">
        <v>2488</v>
      </c>
      <c r="C909" s="2" t="s">
        <v>2489</v>
      </c>
      <c r="D909" s="2" t="s">
        <v>150</v>
      </c>
      <c r="E909" s="2" t="s">
        <v>42</v>
      </c>
      <c r="F909" s="2" t="s">
        <v>15</v>
      </c>
      <c r="G909" s="2" t="s">
        <v>1673</v>
      </c>
      <c r="H909" s="2" t="s">
        <v>179</v>
      </c>
      <c r="I909" s="2" t="str">
        <f>IFERROR(__xludf.DUMMYFUNCTION("GOOGLETRANSLATE(C909,""fr"",""en"")"),"Hello
In order to inform you of the level of service of Macif managers here is the letter I just sent them this morning by email to relation.clientweb@macif.fr
------------------------------------------------------------------------------------------ --"&amp;"--------------------------------------------------------------------------------------
Member:
N ° 3056850
Hello
I want to share my deep dissatisfaction with you about your service.
I all hold it first to point out that your telephone platf"&amp;"orm is not in question, your advisers are very kind and do their best.
I would like to know why in the management of disaster have we not returned from you? Neither mail, nor call, nor email?
Out of two undergoing claims, 201964627 dating from Decem"&amp;"ber 2020 and 201901282 dating from July 2020, I am systematically forced to inform myself of the expert or your platform to have any information and advance the file.
The expert is not in question and does his job.
I must continually check that you "&amp;"have received the elements sent by the expert or by the mandated company and remind you of taking them into account.
It is I who must ask what to do and who relaunch.
I wish to be contacted by phone quickly to take stock of the dysfunction of your p"&amp;"rocesses or possibly that I am explained in the oral voice that the level of service you provide is the one you validate internally.
Pending your call
")</f>
        <v>Hello
In order to inform you of the level of service of Macif managers here is the letter I just sent them this morning by email to relation.clientweb@macif.fr
------------------------------------------------------------------------------------------ ----------------------------------------------------------------------------------------
Member:
N ° 3056850
Hello
I want to share my deep dissatisfaction with you about your service.
I all hold it first to point out that your telephone platform is not in question, your advisers are very kind and do their best.
I would like to know why in the management of disaster have we not returned from you? Neither mail, nor call, nor email?
Out of two undergoing claims, 201964627 dating from December 2020 and 201901282 dating from July 2020, I am systematically forced to inform myself of the expert or your platform to have any information and advance the file.
The expert is not in question and does his job.
I must continually check that you have received the elements sent by the expert or by the mandated company and remind you of taking them into account.
It is I who must ask what to do and who relaunch.
I wish to be contacted by phone quickly to take stock of the dysfunction of your processes or possibly that I am explained in the oral voice that the level of service you provide is the one you validate internally.
Pending your call
</v>
      </c>
    </row>
    <row r="910" ht="15.75" customHeight="1">
      <c r="A910" s="2">
        <v>4.0</v>
      </c>
      <c r="B910" s="2" t="s">
        <v>2490</v>
      </c>
      <c r="C910" s="2" t="s">
        <v>2491</v>
      </c>
      <c r="D910" s="2" t="s">
        <v>20</v>
      </c>
      <c r="E910" s="2" t="s">
        <v>21</v>
      </c>
      <c r="F910" s="2" t="s">
        <v>15</v>
      </c>
      <c r="G910" s="2" t="s">
        <v>86</v>
      </c>
      <c r="H910" s="2" t="s">
        <v>87</v>
      </c>
      <c r="I910" s="2" t="str">
        <f>IFERROR(__xludf.DUMMYFUNCTION("GOOGLETRANSLATE(C910,""fr"",""en"")"),"I am satisfied, price and reception. Good answer to all my questions, problem with the signing settled. Have a good day. We hope this insurance will give us all satisfaction.")</f>
        <v>I am satisfied, price and reception. Good answer to all my questions, problem with the signing settled. Have a good day. We hope this insurance will give us all satisfaction.</v>
      </c>
    </row>
    <row r="911" ht="15.75" customHeight="1">
      <c r="A911" s="2">
        <v>5.0</v>
      </c>
      <c r="B911" s="2" t="s">
        <v>2492</v>
      </c>
      <c r="C911" s="2" t="s">
        <v>2493</v>
      </c>
      <c r="D911" s="2" t="s">
        <v>20</v>
      </c>
      <c r="E911" s="2" t="s">
        <v>21</v>
      </c>
      <c r="F911" s="2" t="s">
        <v>15</v>
      </c>
      <c r="G911" s="2" t="s">
        <v>90</v>
      </c>
      <c r="H911" s="2" t="s">
        <v>38</v>
      </c>
      <c r="I911" s="2" t="str">
        <f>IFERROR(__xludf.DUMMYFUNCTION("GOOGLETRANSLATE(C911,""fr"",""en"")"),"Exelent! I recommend.
TOP Customer Service. Always at the customer service. Very accommodating I recommend to everyone. I have insured for more than 2 years I have nothing to blame them for. Professional work.")</f>
        <v>Exelent! I recommend.
TOP Customer Service. Always at the customer service. Very accommodating I recommend to everyone. I have insured for more than 2 years I have nothing to blame them for. Professional work.</v>
      </c>
    </row>
    <row r="912" ht="15.75" customHeight="1">
      <c r="A912" s="2">
        <v>3.0</v>
      </c>
      <c r="B912" s="2" t="s">
        <v>2494</v>
      </c>
      <c r="C912" s="2" t="s">
        <v>2495</v>
      </c>
      <c r="D912" s="2" t="s">
        <v>41</v>
      </c>
      <c r="E912" s="2" t="s">
        <v>21</v>
      </c>
      <c r="F912" s="2" t="s">
        <v>15</v>
      </c>
      <c r="G912" s="2" t="s">
        <v>1580</v>
      </c>
      <c r="H912" s="2" t="s">
        <v>136</v>
      </c>
      <c r="I912" s="2" t="str">
        <f>IFERROR(__xludf.DUMMYFUNCTION("GOOGLETRANSLATE(C912,""fr"",""en"")"),"Ashamed ! I just learned that they will love me because they do not learn to have had to reimburse me the car without being able to ask for someone because I was stolen from my car and burnt down. So as they had to reimburse me hop they saw you. While I n"&amp;"ever had a responsible accident. It's a shame . It's already hurting your car to take over a credit and in addition it!
We are a customer that if we don't have to ask them anything otherwise go outside!")</f>
        <v>Ashamed ! I just learned that they will love me because they do not learn to have had to reimburse me the car without being able to ask for someone because I was stolen from my car and burnt down. So as they had to reimburse me hop they saw you. While I never had a responsible accident. It's a shame . It's already hurting your car to take over a credit and in addition it!
We are a customer that if we don't have to ask them anything otherwise go outside!</v>
      </c>
    </row>
    <row r="913" ht="15.75" customHeight="1">
      <c r="A913" s="2">
        <v>1.0</v>
      </c>
      <c r="B913" s="2" t="s">
        <v>2496</v>
      </c>
      <c r="C913" s="2" t="s">
        <v>2497</v>
      </c>
      <c r="D913" s="2" t="s">
        <v>32</v>
      </c>
      <c r="E913" s="2" t="s">
        <v>21</v>
      </c>
      <c r="F913" s="2" t="s">
        <v>15</v>
      </c>
      <c r="G913" s="2" t="s">
        <v>2344</v>
      </c>
      <c r="H913" s="2" t="s">
        <v>48</v>
      </c>
      <c r="I913" s="2" t="str">
        <f>IFERROR(__xludf.DUMMYFUNCTION("GOOGLETRANSLATE(C913,""fr"",""en"")"),"I pay 50 € per month for a Toyota Aygo which has 3CV tax. It is limited a karting, I pay full pot and I am not even reimbursed for a tow truck when I am assured of all risks + serenity pack. Not to mention the time that it took to terminate the second con"&amp;"tract which was on the same car ...")</f>
        <v>I pay 50 € per month for a Toyota Aygo which has 3CV tax. It is limited a karting, I pay full pot and I am not even reimbursed for a tow truck when I am assured of all risks + serenity pack. Not to mention the time that it took to terminate the second contract which was on the same car ...</v>
      </c>
    </row>
    <row r="914" ht="15.75" customHeight="1">
      <c r="A914" s="2">
        <v>1.0</v>
      </c>
      <c r="B914" s="2" t="s">
        <v>2498</v>
      </c>
      <c r="C914" s="2" t="s">
        <v>2499</v>
      </c>
      <c r="D914" s="2" t="s">
        <v>122</v>
      </c>
      <c r="E914" s="2" t="s">
        <v>21</v>
      </c>
      <c r="F914" s="2" t="s">
        <v>15</v>
      </c>
      <c r="G914" s="2" t="s">
        <v>2500</v>
      </c>
      <c r="H914" s="2" t="s">
        <v>34</v>
      </c>
      <c r="I914" s="2" t="str">
        <f>IFERROR(__xludf.DUMMYFUNCTION("GOOGLETRANSLATE(C914,""fr"",""en"")"),"Following an accident, at the end of April, in which I am not responsible, the other person did not want to make an observation by announcing a 50-50.
I immediately went to the store with photos as a bonus.
The insurer told me that it is obvious that I "&amp;"do not follow responsible.
My vehicle was repaired at my expense, I am a student, which cost me almost 3000 euros.
Since the beginning of May I harass the Matmut phone calls which repeats to me that my file is on the manager's office.
It's been almost "&amp;"3 months that I expect a refund to be able to support my needs, without recourse to my parents, because the Matmut means that hanging out and dragging.
Do you have to use justice so that insurance assures its customers? It is a possible solution ...")</f>
        <v>Following an accident, at the end of April, in which I am not responsible, the other person did not want to make an observation by announcing a 50-50.
I immediately went to the store with photos as a bonus.
The insurer told me that it is obvious that I do not follow responsible.
My vehicle was repaired at my expense, I am a student, which cost me almost 3000 euros.
Since the beginning of May I harass the Matmut phone calls which repeats to me that my file is on the manager's office.
It's been almost 3 months that I expect a refund to be able to support my needs, without recourse to my parents, because the Matmut means that hanging out and dragging.
Do you have to use justice so that insurance assures its customers? It is a possible solution ...</v>
      </c>
    </row>
    <row r="915" ht="15.75" customHeight="1">
      <c r="A915" s="2">
        <v>5.0</v>
      </c>
      <c r="B915" s="2" t="s">
        <v>2501</v>
      </c>
      <c r="C915" s="2" t="s">
        <v>2502</v>
      </c>
      <c r="D915" s="2" t="s">
        <v>146</v>
      </c>
      <c r="E915" s="2" t="s">
        <v>52</v>
      </c>
      <c r="F915" s="2" t="s">
        <v>15</v>
      </c>
      <c r="G915" s="2" t="s">
        <v>2503</v>
      </c>
      <c r="H915" s="2" t="s">
        <v>179</v>
      </c>
      <c r="I915" s="2" t="str">
        <f>IFERROR(__xludf.DUMMYFUNCTION("GOOGLETRANSLATE(C915,""fr"",""en"")"),"I am satisfied with the value for money
Very good guarantees for me and my family in the event of an accident it reassures me
Hope not to be disappointed in case problem
")</f>
        <v>I am satisfied with the value for money
Very good guarantees for me and my family in the event of an accident it reassures me
Hope not to be disappointed in case problem
</v>
      </c>
    </row>
    <row r="916" ht="15.75" customHeight="1">
      <c r="A916" s="2">
        <v>1.0</v>
      </c>
      <c r="B916" s="2" t="s">
        <v>2504</v>
      </c>
      <c r="C916" s="2" t="s">
        <v>2505</v>
      </c>
      <c r="D916" s="2" t="s">
        <v>32</v>
      </c>
      <c r="E916" s="2" t="s">
        <v>21</v>
      </c>
      <c r="F916" s="2" t="s">
        <v>15</v>
      </c>
      <c r="G916" s="2" t="s">
        <v>1623</v>
      </c>
      <c r="H916" s="2" t="s">
        <v>48</v>
      </c>
      <c r="I916" s="2" t="str">
        <f>IFERROR(__xludf.DUMMYFUNCTION("GOOGLETRANSLATE(C916,""fr"",""en"")"),"Totally dissatisfied with the service.
Salespeople who would sell their mother for the signing of a contract ...
Promise of motorcycle insurance following the signature and integral payment of the premium, and once the termination is made, no insurance "&amp;"possible for the motorcycle, the contract being already at AXA ...
I'm still waiting for your call ...
Lies with the subscription ... Congratulations, continue ... Another case that will present well in the press.")</f>
        <v>Totally dissatisfied with the service.
Salespeople who would sell their mother for the signing of a contract ...
Promise of motorcycle insurance following the signature and integral payment of the premium, and once the termination is made, no insurance possible for the motorcycle, the contract being already at AXA ...
I'm still waiting for your call ...
Lies with the subscription ... Congratulations, continue ... Another case that will present well in the press.</v>
      </c>
    </row>
    <row r="917" ht="15.75" customHeight="1">
      <c r="A917" s="2">
        <v>1.0</v>
      </c>
      <c r="B917" s="2" t="s">
        <v>2506</v>
      </c>
      <c r="C917" s="2" t="s">
        <v>2507</v>
      </c>
      <c r="D917" s="2" t="s">
        <v>251</v>
      </c>
      <c r="E917" s="2" t="s">
        <v>14</v>
      </c>
      <c r="F917" s="2" t="s">
        <v>15</v>
      </c>
      <c r="G917" s="2" t="s">
        <v>2508</v>
      </c>
      <c r="H917" s="2" t="s">
        <v>422</v>
      </c>
      <c r="I917" s="2" t="str">
        <f>IFERROR(__xludf.DUMMYFUNCTION("GOOGLETRANSLATE(C917,""fr"",""en"")"),"More than 10 months after my registration, I still have not received my paid third -party card, it is not for lack of going to the agency four times a year with each time promises of reception of the Map, not counting regular calls to the agency. Results,"&amp;" I have advanced many health costs, and how many months will I still have to wait to be reimbursed? I do not recommend anyone to register at home, their management is like nothingness.")</f>
        <v>More than 10 months after my registration, I still have not received my paid third -party card, it is not for lack of going to the agency four times a year with each time promises of reception of the Map, not counting regular calls to the agency. Results, I have advanced many health costs, and how many months will I still have to wait to be reimbursed? I do not recommend anyone to register at home, their management is like nothingness.</v>
      </c>
    </row>
    <row r="918" ht="15.75" customHeight="1">
      <c r="A918" s="2">
        <v>4.0</v>
      </c>
      <c r="B918" s="2" t="s">
        <v>2509</v>
      </c>
      <c r="C918" s="2" t="s">
        <v>2510</v>
      </c>
      <c r="D918" s="2" t="s">
        <v>106</v>
      </c>
      <c r="E918" s="2" t="s">
        <v>14</v>
      </c>
      <c r="F918" s="2" t="s">
        <v>15</v>
      </c>
      <c r="G918" s="2" t="s">
        <v>2511</v>
      </c>
      <c r="H918" s="2" t="s">
        <v>784</v>
      </c>
      <c r="I918" s="2" t="str">
        <f>IFERROR(__xludf.DUMMYFUNCTION("GOOGLETRANSLATE(C918,""fr"",""en"")"),"5 minutes of waiting, so very reasonable, I came across a very friendly and helpful telephone advisor (Erika), I hope then I hope to receive my final mutual card which is starting to be long.")</f>
        <v>5 minutes of waiting, so very reasonable, I came across a very friendly and helpful telephone advisor (Erika), I hope then I hope to receive my final mutual card which is starting to be long.</v>
      </c>
    </row>
    <row r="919" ht="15.75" customHeight="1">
      <c r="A919" s="2">
        <v>1.0</v>
      </c>
      <c r="B919" s="2" t="s">
        <v>2512</v>
      </c>
      <c r="C919" s="2" t="s">
        <v>2513</v>
      </c>
      <c r="D919" s="2" t="s">
        <v>186</v>
      </c>
      <c r="E919" s="2" t="s">
        <v>21</v>
      </c>
      <c r="F919" s="2" t="s">
        <v>15</v>
      </c>
      <c r="G919" s="2" t="s">
        <v>2514</v>
      </c>
      <c r="H919" s="2" t="s">
        <v>784</v>
      </c>
      <c r="I919" s="2" t="str">
        <f>IFERROR(__xludf.DUMMYFUNCTION("GOOGLETRANSLATE(C919,""fr"",""en"")"),"I really recommend this insurance, after several technical problems with them they always show bad liver, they always want to be right! For example, I received a letter from them to continue the legal protection contract, excluding I had already terminate"&amp;"d this contract 3 months before, I received this letter 10 days after sending, so I sent My letter by letter acknowledged to terminate a second time, I had at this stage only 10 days to answer because we have 20 J from sending their mails and despite ever"&amp;"ything I had no Answer and I have just been debit. And so on...")</f>
        <v>I really recommend this insurance, after several technical problems with them they always show bad liver, they always want to be right! For example, I received a letter from them to continue the legal protection contract, excluding I had already terminated this contract 3 months before, I received this letter 10 days after sending, so I sent My letter by letter acknowledged to terminate a second time, I had at this stage only 10 days to answer because we have 20 J from sending their mails and despite everything I had no Answer and I have just been debit. And so on...</v>
      </c>
    </row>
    <row r="920" ht="15.75" customHeight="1">
      <c r="A920" s="2">
        <v>5.0</v>
      </c>
      <c r="B920" s="2" t="s">
        <v>2515</v>
      </c>
      <c r="C920" s="2" t="s">
        <v>2516</v>
      </c>
      <c r="D920" s="2" t="s">
        <v>146</v>
      </c>
      <c r="E920" s="2" t="s">
        <v>52</v>
      </c>
      <c r="F920" s="2" t="s">
        <v>15</v>
      </c>
      <c r="G920" s="2" t="s">
        <v>90</v>
      </c>
      <c r="H920" s="2" t="s">
        <v>38</v>
      </c>
      <c r="I920" s="2" t="str">
        <f>IFERROR(__xludf.DUMMYFUNCTION("GOOGLETRANSLATE(C920,""fr"",""en"")"),"Satisfied with the service for the moment to see later, for the price I find its correct without any surprise to see for the future what its will give
")</f>
        <v>Satisfied with the service for the moment to see later, for the price I find its correct without any surprise to see for the future what its will give
</v>
      </c>
    </row>
    <row r="921" ht="15.75" customHeight="1">
      <c r="A921" s="2">
        <v>5.0</v>
      </c>
      <c r="B921" s="2" t="s">
        <v>2517</v>
      </c>
      <c r="C921" s="2" t="s">
        <v>2518</v>
      </c>
      <c r="D921" s="2" t="s">
        <v>32</v>
      </c>
      <c r="E921" s="2" t="s">
        <v>21</v>
      </c>
      <c r="F921" s="2" t="s">
        <v>15</v>
      </c>
      <c r="G921" s="2" t="s">
        <v>705</v>
      </c>
      <c r="H921" s="2" t="s">
        <v>38</v>
      </c>
      <c r="I921" s="2" t="str">
        <f>IFERROR(__xludf.DUMMYFUNCTION("GOOGLETRANSLATE(C921,""fr"",""en"")"),"I am satisfied with Direct Insurance ... No complaints.
They are pros, their site well done, simple, friendly. Very understanding advisers.
I can only advise them.")</f>
        <v>I am satisfied with Direct Insurance ... No complaints.
They are pros, their site well done, simple, friendly. Very understanding advisers.
I can only advise them.</v>
      </c>
    </row>
    <row r="922" ht="15.75" customHeight="1">
      <c r="A922" s="2">
        <v>3.0</v>
      </c>
      <c r="B922" s="2" t="s">
        <v>2519</v>
      </c>
      <c r="C922" s="2" t="s">
        <v>2520</v>
      </c>
      <c r="D922" s="2" t="s">
        <v>85</v>
      </c>
      <c r="E922" s="2" t="s">
        <v>14</v>
      </c>
      <c r="F922" s="2" t="s">
        <v>15</v>
      </c>
      <c r="G922" s="2" t="s">
        <v>1500</v>
      </c>
      <c r="H922" s="2" t="s">
        <v>95</v>
      </c>
      <c r="I922" s="2" t="str">
        <f>IFERROR(__xludf.DUMMYFUNCTION("GOOGLETRANSLATE(C922,""fr"",""en"")"),"When you want information, you have a robot to talk to and he doesn't understand anything.
In addition, the guarantees fell in 2021: in 2020 we were entitled to 3 osteopatia consultations and this year, only 85 € / person, while a session is € 55.
Busin"&amp;"ess mutuals often go down in repayment ... to meditate!")</f>
        <v>When you want information, you have a robot to talk to and he doesn't understand anything.
In addition, the guarantees fell in 2021: in 2020 we were entitled to 3 osteopatia consultations and this year, only 85 € / person, while a session is € 55.
Business mutuals often go down in repayment ... to meditate!</v>
      </c>
    </row>
    <row r="923" ht="15.75" customHeight="1">
      <c r="A923" s="2">
        <v>1.0</v>
      </c>
      <c r="B923" s="2" t="s">
        <v>2521</v>
      </c>
      <c r="C923" s="2" t="s">
        <v>2522</v>
      </c>
      <c r="D923" s="2" t="s">
        <v>106</v>
      </c>
      <c r="E923" s="2" t="s">
        <v>14</v>
      </c>
      <c r="F923" s="2" t="s">
        <v>15</v>
      </c>
      <c r="G923" s="2" t="s">
        <v>2272</v>
      </c>
      <c r="H923" s="2" t="s">
        <v>199</v>
      </c>
      <c r="I923" s="2" t="str">
        <f>IFERROR(__xludf.DUMMYFUNCTION("GOOGLETRANSLATE(C923,""fr"",""en"")"),"I was really 'insured' in this pseudo insurer and I strongly advise against subscribing because customer service (a foreign platform) is of an incompetence without name. No need to send an email to their site, you will never have a return. Regarding reimb"&amp;"ursements, I advise you to avoid brokers like BS Assur because they do not know how to respond according to your real care needs. Non -existent refund and customer follow -up. Very bad experience.")</f>
        <v>I was really 'insured' in this pseudo insurer and I strongly advise against subscribing because customer service (a foreign platform) is of an incompetence without name. No need to send an email to their site, you will never have a return. Regarding reimbursements, I advise you to avoid brokers like BS Assur because they do not know how to respond according to your real care needs. Non -existent refund and customer follow -up. Very bad experience.</v>
      </c>
    </row>
    <row r="924" ht="15.75" customHeight="1">
      <c r="A924" s="2">
        <v>1.0</v>
      </c>
      <c r="B924" s="2" t="s">
        <v>2523</v>
      </c>
      <c r="C924" s="2" t="s">
        <v>2524</v>
      </c>
      <c r="D924" s="2" t="s">
        <v>251</v>
      </c>
      <c r="E924" s="2" t="s">
        <v>14</v>
      </c>
      <c r="F924" s="2" t="s">
        <v>15</v>
      </c>
      <c r="G924" s="2" t="s">
        <v>2525</v>
      </c>
      <c r="H924" s="2" t="s">
        <v>418</v>
      </c>
      <c r="I924" s="2" t="str">
        <f>IFERROR(__xludf.DUMMYFUNCTION("GOOGLETRANSLATE(C924,""fr"",""en"")"),"Lamentable !!!!
We are March 7 and still no mutual card ... No problem I go to the site to edit it and what a surprise unavailable service.
Impossible to have a precise answer when my company also calls them they no longer respond to the email or the di"&amp;"rect business line ... what a shame !!!
They really make fun of members ...")</f>
        <v>Lamentable !!!!
We are March 7 and still no mutual card ... No problem I go to the site to edit it and what a surprise unavailable service.
Impossible to have a precise answer when my company also calls them they no longer respond to the email or the direct business line ... what a shame !!!
They really make fun of members ...</v>
      </c>
    </row>
    <row r="925" ht="15.75" customHeight="1">
      <c r="A925" s="2">
        <v>5.0</v>
      </c>
      <c r="B925" s="2" t="s">
        <v>2526</v>
      </c>
      <c r="C925" s="2" t="s">
        <v>2527</v>
      </c>
      <c r="D925" s="2" t="s">
        <v>127</v>
      </c>
      <c r="E925" s="2" t="s">
        <v>128</v>
      </c>
      <c r="F925" s="2" t="s">
        <v>15</v>
      </c>
      <c r="G925" s="2" t="s">
        <v>2458</v>
      </c>
      <c r="H925" s="2" t="s">
        <v>38</v>
      </c>
      <c r="I925" s="2" t="str">
        <f>IFERROR(__xludf.DUMMYFUNCTION("GOOGLETRANSLATE(C925,""fr"",""en"")"),"As the saying would say, we will test when the time comes but for the moment the price is very interesting.
Efficient and friendly person. Reactive and available")</f>
        <v>As the saying would say, we will test when the time comes but for the moment the price is very interesting.
Efficient and friendly person. Reactive and available</v>
      </c>
    </row>
    <row r="926" ht="15.75" customHeight="1">
      <c r="A926" s="2">
        <v>5.0</v>
      </c>
      <c r="B926" s="2" t="s">
        <v>2528</v>
      </c>
      <c r="C926" s="2" t="s">
        <v>2529</v>
      </c>
      <c r="D926" s="2" t="s">
        <v>20</v>
      </c>
      <c r="E926" s="2" t="s">
        <v>21</v>
      </c>
      <c r="F926" s="2" t="s">
        <v>15</v>
      </c>
      <c r="G926" s="2" t="s">
        <v>2161</v>
      </c>
      <c r="H926" s="2" t="s">
        <v>54</v>
      </c>
      <c r="I926" s="2" t="str">
        <f>IFERROR(__xludf.DUMMYFUNCTION("GOOGLETRANSLATE(C926,""fr"",""en"")"),"Very good and very fast.
I recommend, the website is well organized to ensure its vehicle in peace.
Good road all let's be careful.")</f>
        <v>Very good and very fast.
I recommend, the website is well organized to ensure its vehicle in peace.
Good road all let's be careful.</v>
      </c>
    </row>
    <row r="927" ht="15.75" customHeight="1">
      <c r="A927" s="2">
        <v>3.0</v>
      </c>
      <c r="B927" s="2" t="s">
        <v>2530</v>
      </c>
      <c r="C927" s="2" t="s">
        <v>2531</v>
      </c>
      <c r="D927" s="2" t="s">
        <v>32</v>
      </c>
      <c r="E927" s="2" t="s">
        <v>42</v>
      </c>
      <c r="F927" s="2" t="s">
        <v>15</v>
      </c>
      <c r="G927" s="2" t="s">
        <v>2532</v>
      </c>
      <c r="H927" s="2" t="s">
        <v>936</v>
      </c>
      <c r="I927" s="2" t="str">
        <f>IFERROR(__xludf.DUMMYFUNCTION("GOOGLETRANSLATE(C927,""fr"",""en"")"),"I find the price very well placed in comparative offers. To see in the event of a disaster or other inconvenience which is. I had this insurance for a car and in summer satisfied")</f>
        <v>I find the price very well placed in comparative offers. To see in the event of a disaster or other inconvenience which is. I had this insurance for a car and in summer satisfied</v>
      </c>
    </row>
    <row r="928" ht="15.75" customHeight="1">
      <c r="A928" s="2">
        <v>1.0</v>
      </c>
      <c r="B928" s="2" t="s">
        <v>2533</v>
      </c>
      <c r="C928" s="2" t="s">
        <v>2534</v>
      </c>
      <c r="D928" s="2" t="s">
        <v>2535</v>
      </c>
      <c r="E928" s="2" t="s">
        <v>544</v>
      </c>
      <c r="F928" s="2" t="s">
        <v>15</v>
      </c>
      <c r="G928" s="2" t="s">
        <v>794</v>
      </c>
      <c r="H928" s="2" t="s">
        <v>385</v>
      </c>
      <c r="I928" s="2" t="str">
        <f>IFERROR(__xludf.DUMMYFUNCTION("GOOGLETRANSLATE(C928,""fr"",""en"")"),"An insurer who does not provide! Complete File of Compensation Hospitalization at Gan for 3 months, still no news despite many reminders, I thought that foresight was used to protect the contractors, Gan is the opposite. to flee.")</f>
        <v>An insurer who does not provide! Complete File of Compensation Hospitalization at Gan for 3 months, still no news despite many reminders, I thought that foresight was used to protect the contractors, Gan is the opposite. to flee.</v>
      </c>
    </row>
    <row r="929" ht="15.75" customHeight="1">
      <c r="A929" s="2">
        <v>4.0</v>
      </c>
      <c r="B929" s="2" t="s">
        <v>2536</v>
      </c>
      <c r="C929" s="2" t="s">
        <v>2537</v>
      </c>
      <c r="D929" s="2" t="s">
        <v>20</v>
      </c>
      <c r="E929" s="2" t="s">
        <v>21</v>
      </c>
      <c r="F929" s="2" t="s">
        <v>15</v>
      </c>
      <c r="G929" s="2" t="s">
        <v>2538</v>
      </c>
      <c r="H929" s="2" t="s">
        <v>179</v>
      </c>
      <c r="I929" s="2" t="str">
        <f>IFERROR(__xludf.DUMMYFUNCTION("GOOGLETRANSLATE(C929,""fr"",""en"")"),"Very satisfied with services
Good availability and good responsiveness of stakeholders
Very satisfactory listening quality; Price up to my expectations")</f>
        <v>Very satisfied with services
Good availability and good responsiveness of stakeholders
Very satisfactory listening quality; Price up to my expectations</v>
      </c>
    </row>
    <row r="930" ht="15.75" customHeight="1">
      <c r="A930" s="2">
        <v>4.0</v>
      </c>
      <c r="B930" s="2" t="s">
        <v>2539</v>
      </c>
      <c r="C930" s="2" t="s">
        <v>2540</v>
      </c>
      <c r="D930" s="2" t="s">
        <v>146</v>
      </c>
      <c r="E930" s="2" t="s">
        <v>52</v>
      </c>
      <c r="F930" s="2" t="s">
        <v>15</v>
      </c>
      <c r="G930" s="2" t="s">
        <v>2143</v>
      </c>
      <c r="H930" s="2" t="s">
        <v>23</v>
      </c>
      <c r="I930" s="2" t="str">
        <f>IFERROR(__xludf.DUMMYFUNCTION("GOOGLETRANSLATE(C930,""fr"",""en"")"),"Nothing to report, if not the complexity to validate due to the Securipass system. It took me several days because I did not have the application yet ...")</f>
        <v>Nothing to report, if not the complexity to validate due to the Securipass system. It took me several days because I did not have the application yet ...</v>
      </c>
    </row>
    <row r="931" ht="15.75" customHeight="1">
      <c r="A931" s="2">
        <v>2.0</v>
      </c>
      <c r="B931" s="2" t="s">
        <v>2541</v>
      </c>
      <c r="C931" s="2" t="s">
        <v>2542</v>
      </c>
      <c r="D931" s="2" t="s">
        <v>32</v>
      </c>
      <c r="E931" s="2" t="s">
        <v>21</v>
      </c>
      <c r="F931" s="2" t="s">
        <v>15</v>
      </c>
      <c r="G931" s="2" t="s">
        <v>2543</v>
      </c>
      <c r="H931" s="2" t="s">
        <v>124</v>
      </c>
      <c r="I931" s="2" t="str">
        <f>IFERROR(__xludf.DUMMYFUNCTION("GOOGLETRANSLATE(C931,""fr"",""en"")"),"Customer service does not answer the question impossible to attach them even by the cat 5 emails without response and call for a simple request for adding driver")</f>
        <v>Customer service does not answer the question impossible to attach them even by the cat 5 emails without response and call for a simple request for adding driver</v>
      </c>
    </row>
    <row r="932" ht="15.75" customHeight="1">
      <c r="A932" s="2">
        <v>1.0</v>
      </c>
      <c r="B932" s="2" t="s">
        <v>2544</v>
      </c>
      <c r="C932" s="2" t="s">
        <v>2545</v>
      </c>
      <c r="D932" s="2" t="s">
        <v>543</v>
      </c>
      <c r="E932" s="2" t="s">
        <v>14</v>
      </c>
      <c r="F932" s="2" t="s">
        <v>15</v>
      </c>
      <c r="G932" s="2" t="s">
        <v>2546</v>
      </c>
      <c r="H932" s="2" t="s">
        <v>418</v>
      </c>
      <c r="I932" s="2" t="str">
        <f>IFERROR(__xludf.DUMMYFUNCTION("GOOGLETRANSLATE(C932,""fr"",""en"")"),"Pros in the field ... Non -payment of reimbursements and contributions quickly punctuated ... I had an operation with exceeding of fees that I paid in early January. Arpège told me that I would be reimbursed up to 117 euros but that I had to advance the c"&amp;"osts. Fortunately, I have another mutual that allows me not to move them forward! I sent all the complementary documents requested, I was made to turn in a watery for almost 3 months to say finally today ""No, we will not reimburse you because your maximu"&amp;"m package in the context of responsible contracts is reached "". Basically, just a phony pretext not to reimburse. On the other hand, to puncture contributions on my salary, that there is no problem at all. What I know is that I will go and complain to th"&amp;"e manager of the difficulties I had with Arpège, and apparently I am not the only one in the business. I already regret having taken the over -controlling this year. But what is on is that next year, I fully resilled Arpège, since now the mutual work is n"&amp;"o longer compulsory if we have another mutual. Because between a mutual insurance company with whom I had no problem in 20 years, and another with whom I only had problems in 3 months, the choice is quickly made.")</f>
        <v>Pros in the field ... Non -payment of reimbursements and contributions quickly punctuated ... I had an operation with exceeding of fees that I paid in early January. Arpège told me that I would be reimbursed up to 117 euros but that I had to advance the costs. Fortunately, I have another mutual that allows me not to move them forward! I sent all the complementary documents requested, I was made to turn in a watery for almost 3 months to say finally today "No, we will not reimburse you because your maximum package in the context of responsible contracts is reached ". Basically, just a phony pretext not to reimburse. On the other hand, to puncture contributions on my salary, that there is no problem at all. What I know is that I will go and complain to the manager of the difficulties I had with Arpège, and apparently I am not the only one in the business. I already regret having taken the over -controlling this year. But what is on is that next year, I fully resilled Arpège, since now the mutual work is no longer compulsory if we have another mutual. Because between a mutual insurance company with whom I had no problem in 20 years, and another with whom I only had problems in 3 months, the choice is quickly made.</v>
      </c>
    </row>
    <row r="933" ht="15.75" customHeight="1">
      <c r="A933" s="2">
        <v>1.0</v>
      </c>
      <c r="B933" s="2" t="s">
        <v>2547</v>
      </c>
      <c r="C933" s="2" t="s">
        <v>2548</v>
      </c>
      <c r="D933" s="2" t="s">
        <v>807</v>
      </c>
      <c r="E933" s="2" t="s">
        <v>544</v>
      </c>
      <c r="F933" s="2" t="s">
        <v>15</v>
      </c>
      <c r="G933" s="2" t="s">
        <v>2549</v>
      </c>
      <c r="H933" s="2" t="s">
        <v>58</v>
      </c>
      <c r="I933" s="2" t="str">
        <f>IFERROR(__xludf.DUMMYFUNCTION("GOOGLETRANSLATE(C933,""fr"",""en"")"),"It has been a year that I made a review of my dependence compensation following a change of GIR. Still no positive response from them despite multiple exchanges by emails or telephone, always the same excuse: the file is being investigated.")</f>
        <v>It has been a year that I made a review of my dependence compensation following a change of GIR. Still no positive response from them despite multiple exchanges by emails or telephone, always the same excuse: the file is being investigated.</v>
      </c>
    </row>
    <row r="934" ht="15.75" customHeight="1">
      <c r="A934" s="2">
        <v>2.0</v>
      </c>
      <c r="B934" s="2" t="s">
        <v>2550</v>
      </c>
      <c r="C934" s="2" t="s">
        <v>2551</v>
      </c>
      <c r="D934" s="2" t="s">
        <v>122</v>
      </c>
      <c r="E934" s="2" t="s">
        <v>21</v>
      </c>
      <c r="F934" s="2" t="s">
        <v>15</v>
      </c>
      <c r="G934" s="2" t="s">
        <v>143</v>
      </c>
      <c r="H934" s="2" t="s">
        <v>54</v>
      </c>
      <c r="I934" s="2" t="str">
        <f>IFERROR(__xludf.DUMMYFUNCTION("GOOGLETRANSLATE(C934,""fr"",""en"")"),"Insurance too expensive and no effort for the right drivers on the price. I am looking for another insurance and if possible insure my car for the kilometers traveled")</f>
        <v>Insurance too expensive and no effort for the right drivers on the price. I am looking for another insurance and if possible insure my car for the kilometers traveled</v>
      </c>
    </row>
    <row r="935" ht="15.75" customHeight="1">
      <c r="A935" s="2">
        <v>3.0</v>
      </c>
      <c r="B935" s="2" t="s">
        <v>2552</v>
      </c>
      <c r="C935" s="2" t="s">
        <v>2553</v>
      </c>
      <c r="D935" s="2" t="s">
        <v>32</v>
      </c>
      <c r="E935" s="2" t="s">
        <v>21</v>
      </c>
      <c r="F935" s="2" t="s">
        <v>15</v>
      </c>
      <c r="G935" s="2" t="s">
        <v>2554</v>
      </c>
      <c r="H935" s="2" t="s">
        <v>38</v>
      </c>
      <c r="I935" s="2" t="str">
        <f>IFERROR(__xludf.DUMMYFUNCTION("GOOGLETRANSLATE(C935,""fr"",""en"")"),"Offer OK
But sample of the first 2 unjustified months
The offer is not the most competitive on the market
To be reviewed at least from this point of view
Cordially")</f>
        <v>Offer OK
But sample of the first 2 unjustified months
The offer is not the most competitive on the market
To be reviewed at least from this point of view
Cordially</v>
      </c>
    </row>
    <row r="936" ht="15.75" customHeight="1">
      <c r="A936" s="2">
        <v>2.0</v>
      </c>
      <c r="B936" s="2" t="s">
        <v>2555</v>
      </c>
      <c r="C936" s="2" t="s">
        <v>2556</v>
      </c>
      <c r="D936" s="2" t="s">
        <v>113</v>
      </c>
      <c r="E936" s="2" t="s">
        <v>21</v>
      </c>
      <c r="F936" s="2" t="s">
        <v>15</v>
      </c>
      <c r="G936" s="2" t="s">
        <v>1268</v>
      </c>
      <c r="H936" s="2" t="s">
        <v>1269</v>
      </c>
      <c r="I936" s="2" t="str">
        <f>IFERROR(__xludf.DUMMYFUNCTION("GOOGLETRANSLATE(C936,""fr"",""en"")"),"At the maif for 25 years, I prove that at Macif their quote is better, the maif does not want to hear anything, when you call an advisor we tell you if you find a cheaper quote Cut us than words .. nothing in action")</f>
        <v>At the maif for 25 years, I prove that at Macif their quote is better, the maif does not want to hear anything, when you call an advisor we tell you if you find a cheaper quote Cut us than words .. nothing in action</v>
      </c>
    </row>
    <row r="937" ht="15.75" customHeight="1">
      <c r="A937" s="2">
        <v>4.0</v>
      </c>
      <c r="B937" s="2" t="s">
        <v>2557</v>
      </c>
      <c r="C937" s="2" t="s">
        <v>2558</v>
      </c>
      <c r="D937" s="2" t="s">
        <v>20</v>
      </c>
      <c r="E937" s="2" t="s">
        <v>21</v>
      </c>
      <c r="F937" s="2" t="s">
        <v>15</v>
      </c>
      <c r="G937" s="2" t="s">
        <v>1691</v>
      </c>
      <c r="H937" s="2" t="s">
        <v>87</v>
      </c>
      <c r="I937" s="2" t="str">
        <f>IFERROR(__xludf.DUMMYFUNCTION("GOOGLETRANSLATE(C937,""fr"",""en"")"),"Small bug on the site at the time of return payment and misunderstanding of the salesperson but then the person in customer service was perfect! Thanks")</f>
        <v>Small bug on the site at the time of return payment and misunderstanding of the salesperson but then the person in customer service was perfect! Thanks</v>
      </c>
    </row>
    <row r="938" ht="15.75" customHeight="1">
      <c r="A938" s="2">
        <v>5.0</v>
      </c>
      <c r="B938" s="2" t="s">
        <v>2559</v>
      </c>
      <c r="C938" s="2" t="s">
        <v>2560</v>
      </c>
      <c r="D938" s="2" t="s">
        <v>20</v>
      </c>
      <c r="E938" s="2" t="s">
        <v>21</v>
      </c>
      <c r="F938" s="2" t="s">
        <v>15</v>
      </c>
      <c r="G938" s="2" t="s">
        <v>129</v>
      </c>
      <c r="H938" s="2" t="s">
        <v>54</v>
      </c>
      <c r="I938" s="2" t="str">
        <f>IFERROR(__xludf.DUMMYFUNCTION("GOOGLETRANSLATE(C938,""fr"",""en"")"),"The staff are pleasant, the prices are affordable even for small budget, the personal space is practical and the subscription of the contract is done very quickly.")</f>
        <v>The staff are pleasant, the prices are affordable even for small budget, the personal space is practical and the subscription of the contract is done very quickly.</v>
      </c>
    </row>
    <row r="939" ht="15.75" customHeight="1">
      <c r="A939" s="2">
        <v>5.0</v>
      </c>
      <c r="B939" s="2" t="s">
        <v>2561</v>
      </c>
      <c r="C939" s="2" t="s">
        <v>2562</v>
      </c>
      <c r="D939" s="2" t="s">
        <v>20</v>
      </c>
      <c r="E939" s="2" t="s">
        <v>21</v>
      </c>
      <c r="F939" s="2" t="s">
        <v>15</v>
      </c>
      <c r="G939" s="2" t="s">
        <v>322</v>
      </c>
      <c r="H939" s="2" t="s">
        <v>95</v>
      </c>
      <c r="I939" s="2" t="str">
        <f>IFERROR(__xludf.DUMMYFUNCTION("GOOGLETRANSLATE(C939,""fr"",""en"")"),"I am very satisfied with your quick response from your telephone reception as well as the rapid sending of documents despite your connection concerns thank you")</f>
        <v>I am very satisfied with your quick response from your telephone reception as well as the rapid sending of documents despite your connection concerns thank you</v>
      </c>
    </row>
    <row r="940" ht="15.75" customHeight="1">
      <c r="A940" s="2">
        <v>1.0</v>
      </c>
      <c r="B940" s="2" t="s">
        <v>2563</v>
      </c>
      <c r="C940" s="2" t="s">
        <v>2564</v>
      </c>
      <c r="D940" s="2" t="s">
        <v>122</v>
      </c>
      <c r="E940" s="2" t="s">
        <v>21</v>
      </c>
      <c r="F940" s="2" t="s">
        <v>15</v>
      </c>
      <c r="G940" s="2" t="s">
        <v>16</v>
      </c>
      <c r="H940" s="2" t="s">
        <v>17</v>
      </c>
      <c r="I940" s="2" t="str">
        <f>IFERROR(__xludf.DUMMYFUNCTION("GOOGLETRANSLATE(C940,""fr"",""en"")"),"Good evening, we are deeply disappointed with the continuation which was given to our request. We declared the flight inside our vehicle by break -in on 08/01/2019. Knowing that we did not check the option of a few euros which allowed us to take care of s"&amp;"tolen business and/or the repair of a hood scratch, we had requested a commercial gesture with your service. We thought that our loyalty for 16 years and the 6 contracts subscribed to date could assert a certain recognition. It was only 6 weeks later that"&amp;" we receive a hostile letter which explains to us that the mutual can intervene for the possibility of an exceptional participation. This is the 2nd time that we have faced the disappointment of your services. Consequently, we conclude that a member remai"&amp;"ns a lambda member. If it is not satisfied, Matmut prefers the termination of contracts to opt for a commercial gesture and the loyalty of its customers.")</f>
        <v>Good evening, we are deeply disappointed with the continuation which was given to our request. We declared the flight inside our vehicle by break -in on 08/01/2019. Knowing that we did not check the option of a few euros which allowed us to take care of stolen business and/or the repair of a hood scratch, we had requested a commercial gesture with your service. We thought that our loyalty for 16 years and the 6 contracts subscribed to date could assert a certain recognition. It was only 6 weeks later that we receive a hostile letter which explains to us that the mutual can intervene for the possibility of an exceptional participation. This is the 2nd time that we have faced the disappointment of your services. Consequently, we conclude that a member remains a lambda member. If it is not satisfied, Matmut prefers the termination of contracts to opt for a commercial gesture and the loyalty of its customers.</v>
      </c>
    </row>
    <row r="941" ht="15.75" customHeight="1">
      <c r="A941" s="2">
        <v>4.0</v>
      </c>
      <c r="B941" s="2" t="s">
        <v>2565</v>
      </c>
      <c r="C941" s="2" t="s">
        <v>2566</v>
      </c>
      <c r="D941" s="2" t="s">
        <v>32</v>
      </c>
      <c r="E941" s="2" t="s">
        <v>21</v>
      </c>
      <c r="F941" s="2" t="s">
        <v>15</v>
      </c>
      <c r="G941" s="2" t="s">
        <v>384</v>
      </c>
      <c r="H941" s="2" t="s">
        <v>385</v>
      </c>
      <c r="I941" s="2" t="str">
        <f>IFERROR(__xludf.DUMMYFUNCTION("GOOGLETRANSLATE(C941,""fr"",""en"")"),"I am satisfied with the service offer by internet for vehicle insurance.
The price is suitable and the options clear.
Best regards
Thanks")</f>
        <v>I am satisfied with the service offer by internet for vehicle insurance.
The price is suitable and the options clear.
Best regards
Thanks</v>
      </c>
    </row>
    <row r="942" ht="15.75" customHeight="1">
      <c r="A942" s="2">
        <v>2.0</v>
      </c>
      <c r="B942" s="2" t="s">
        <v>2567</v>
      </c>
      <c r="C942" s="2" t="s">
        <v>2568</v>
      </c>
      <c r="D942" s="2" t="s">
        <v>1085</v>
      </c>
      <c r="E942" s="2" t="s">
        <v>128</v>
      </c>
      <c r="F942" s="2" t="s">
        <v>15</v>
      </c>
      <c r="G942" s="2" t="s">
        <v>582</v>
      </c>
      <c r="H942" s="2" t="s">
        <v>406</v>
      </c>
      <c r="I942" s="2" t="str">
        <f>IFERROR(__xludf.DUMMYFUNCTION("GOOGLETRANSLATE(C942,""fr"",""en"")"),"His just good to make us pay insurance.")</f>
        <v>His just good to make us pay insurance.</v>
      </c>
    </row>
    <row r="943" ht="15.75" customHeight="1">
      <c r="A943" s="2">
        <v>5.0</v>
      </c>
      <c r="B943" s="2" t="s">
        <v>2569</v>
      </c>
      <c r="C943" s="2" t="s">
        <v>2570</v>
      </c>
      <c r="D943" s="2" t="s">
        <v>20</v>
      </c>
      <c r="E943" s="2" t="s">
        <v>21</v>
      </c>
      <c r="F943" s="2" t="s">
        <v>15</v>
      </c>
      <c r="G943" s="2" t="s">
        <v>90</v>
      </c>
      <c r="H943" s="2" t="s">
        <v>38</v>
      </c>
      <c r="I943" s="2" t="str">
        <f>IFERROR(__xludf.DUMMYFUNCTION("GOOGLETRANSLATE(C943,""fr"",""en"")"),"Fully satisfied. No wait for pleasant welcome to listen to good explanation and understanding I strongly recommend the insurance olive assurance.")</f>
        <v>Fully satisfied. No wait for pleasant welcome to listen to good explanation and understanding I strongly recommend the insurance olive assurance.</v>
      </c>
    </row>
    <row r="944" ht="15.75" customHeight="1">
      <c r="A944" s="2">
        <v>3.0</v>
      </c>
      <c r="B944" s="2" t="s">
        <v>2571</v>
      </c>
      <c r="C944" s="2" t="s">
        <v>2572</v>
      </c>
      <c r="D944" s="2" t="s">
        <v>146</v>
      </c>
      <c r="E944" s="2" t="s">
        <v>52</v>
      </c>
      <c r="F944" s="2" t="s">
        <v>15</v>
      </c>
      <c r="G944" s="2" t="s">
        <v>466</v>
      </c>
      <c r="H944" s="2" t="s">
        <v>179</v>
      </c>
      <c r="I944" s="2" t="str">
        <f>IFERROR(__xludf.DUMMYFUNCTION("GOOGLETRANSLATE(C944,""fr"",""en"")"),"Insurance allowing you to choose options that meet the expectations of the insured in two wheels! It's not always the case ! Congratulations to you; and correct price
")</f>
        <v>Insurance allowing you to choose options that meet the expectations of the insured in two wheels! It's not always the case ! Congratulations to you; and correct price
</v>
      </c>
    </row>
    <row r="945" ht="15.75" customHeight="1">
      <c r="A945" s="2">
        <v>1.0</v>
      </c>
      <c r="B945" s="2" t="s">
        <v>2573</v>
      </c>
      <c r="C945" s="2" t="s">
        <v>2574</v>
      </c>
      <c r="D945" s="2" t="s">
        <v>32</v>
      </c>
      <c r="E945" s="2" t="s">
        <v>21</v>
      </c>
      <c r="F945" s="2" t="s">
        <v>15</v>
      </c>
      <c r="G945" s="2" t="s">
        <v>867</v>
      </c>
      <c r="H945" s="2" t="s">
        <v>179</v>
      </c>
      <c r="I945" s="2" t="str">
        <f>IFERROR(__xludf.DUMMYFUNCTION("GOOGLETRANSLATE(C945,""fr"",""en"")"),"HELLO.
I am no longer satisfied following a strong increase in your prices on my two vehicles.
A vehicle with a contract for February 2021
A vehicle with a contract for May 2020")</f>
        <v>HELLO.
I am no longer satisfied following a strong increase in your prices on my two vehicles.
A vehicle with a contract for February 2021
A vehicle with a contract for May 2020</v>
      </c>
    </row>
    <row r="946" ht="15.75" customHeight="1">
      <c r="A946" s="2">
        <v>1.0</v>
      </c>
      <c r="B946" s="2" t="s">
        <v>2575</v>
      </c>
      <c r="C946" s="2" t="s">
        <v>2576</v>
      </c>
      <c r="D946" s="2" t="s">
        <v>20</v>
      </c>
      <c r="E946" s="2" t="s">
        <v>21</v>
      </c>
      <c r="F946" s="2" t="s">
        <v>15</v>
      </c>
      <c r="G946" s="2" t="s">
        <v>175</v>
      </c>
      <c r="H946" s="2" t="s">
        <v>54</v>
      </c>
      <c r="I946" s="2" t="str">
        <f>IFERROR(__xludf.DUMMYFUNCTION("GOOGLETRANSLATE(C946,""fr"",""en"")"),"We will see for the rest of the duration of the contract, in terms of subscription, it went rather well. The rest is during its execution that we will see")</f>
        <v>We will see for the rest of the duration of the contract, in terms of subscription, it went rather well. The rest is during its execution that we will see</v>
      </c>
    </row>
    <row r="947" ht="15.75" customHeight="1">
      <c r="A947" s="2">
        <v>1.0</v>
      </c>
      <c r="B947" s="2" t="s">
        <v>2577</v>
      </c>
      <c r="C947" s="2" t="s">
        <v>2578</v>
      </c>
      <c r="D947" s="2" t="s">
        <v>469</v>
      </c>
      <c r="E947" s="2" t="s">
        <v>14</v>
      </c>
      <c r="F947" s="2" t="s">
        <v>15</v>
      </c>
      <c r="G947" s="2" t="s">
        <v>2431</v>
      </c>
      <c r="H947" s="2" t="s">
        <v>87</v>
      </c>
      <c r="I947" s="2" t="str">
        <f>IFERROR(__xludf.DUMMYFUNCTION("GOOGLETRANSLATE(C947,""fr"",""en"")"),"It's been 1 and a half years since I subscribed to Mercer, but I still haven't received my paid tier card.
I call non -stop customer service to claim my paid tier card but they are not measures to answer my questions and tell me that I will soon receive "&amp;"my card but to date I am still waiting for my card, I have Emergencies but without the paid tier card I can do nothing.
MERCER customer service is incompetent, they cannot answer questions and always answer the same thing.
A mutual to avoid …….")</f>
        <v>It's been 1 and a half years since I subscribed to Mercer, but I still haven't received my paid tier card.
I call non -stop customer service to claim my paid tier card but they are not measures to answer my questions and tell me that I will soon receive my card but to date I am still waiting for my card, I have Emergencies but without the paid tier card I can do nothing.
MERCER customer service is incompetent, they cannot answer questions and always answer the same thing.
A mutual to avoid …….</v>
      </c>
    </row>
    <row r="948" ht="15.75" customHeight="1">
      <c r="A948" s="2">
        <v>5.0</v>
      </c>
      <c r="B948" s="2" t="s">
        <v>2579</v>
      </c>
      <c r="C948" s="2" t="s">
        <v>2580</v>
      </c>
      <c r="D948" s="2" t="s">
        <v>146</v>
      </c>
      <c r="E948" s="2" t="s">
        <v>52</v>
      </c>
      <c r="F948" s="2" t="s">
        <v>15</v>
      </c>
      <c r="G948" s="2" t="s">
        <v>343</v>
      </c>
      <c r="H948" s="2" t="s">
        <v>95</v>
      </c>
      <c r="I948" s="2" t="str">
        <f>IFERROR(__xludf.DUMMYFUNCTION("GOOGLETRANSLATE(C948,""fr"",""en"")"),"Very satisfied with the price and the excellent welcome I highly recommend to all young bikers you would not find less dear good road")</f>
        <v>Very satisfied with the price and the excellent welcome I highly recommend to all young bikers you would not find less dear good road</v>
      </c>
    </row>
    <row r="949" ht="15.75" customHeight="1">
      <c r="A949" s="2">
        <v>4.0</v>
      </c>
      <c r="B949" s="2" t="s">
        <v>2581</v>
      </c>
      <c r="C949" s="2" t="s">
        <v>2582</v>
      </c>
      <c r="D949" s="2" t="s">
        <v>32</v>
      </c>
      <c r="E949" s="2" t="s">
        <v>21</v>
      </c>
      <c r="F949" s="2" t="s">
        <v>15</v>
      </c>
      <c r="G949" s="2" t="s">
        <v>827</v>
      </c>
      <c r="H949" s="2" t="s">
        <v>54</v>
      </c>
      <c r="I949" s="2" t="str">
        <f>IFERROR(__xludf.DUMMYFUNCTION("GOOGLETRANSLATE(C949,""fr"",""en"")"),"Very good personal insurance very understandable thank you to all teams
I will recommend my friends (es) I wish you a good day take care of you")</f>
        <v>Very good personal insurance very understandable thank you to all teams
I will recommend my friends (es) I wish you a good day take care of you</v>
      </c>
    </row>
    <row r="950" ht="15.75" customHeight="1">
      <c r="A950" s="2">
        <v>1.0</v>
      </c>
      <c r="B950" s="2" t="s">
        <v>2583</v>
      </c>
      <c r="C950" s="2" t="s">
        <v>2584</v>
      </c>
      <c r="D950" s="2" t="s">
        <v>222</v>
      </c>
      <c r="E950" s="2" t="s">
        <v>21</v>
      </c>
      <c r="F950" s="2" t="s">
        <v>15</v>
      </c>
      <c r="G950" s="2" t="s">
        <v>2585</v>
      </c>
      <c r="H950" s="2" t="s">
        <v>422</v>
      </c>
      <c r="I950" s="2" t="str">
        <f>IFERROR(__xludf.DUMMYFUNCTION("GOOGLETRANSLATE(C950,""fr"",""en"")"),"I am assured of any risk my car has undergone a chest level during removal town hall Paris crosses 600 euros my charge and 80 euros axa pay")</f>
        <v>I am assured of any risk my car has undergone a chest level during removal town hall Paris crosses 600 euros my charge and 80 euros axa pay</v>
      </c>
    </row>
    <row r="951" ht="15.75" customHeight="1">
      <c r="A951" s="2">
        <v>2.0</v>
      </c>
      <c r="B951" s="2" t="s">
        <v>2586</v>
      </c>
      <c r="C951" s="2" t="s">
        <v>2587</v>
      </c>
      <c r="D951" s="2" t="s">
        <v>926</v>
      </c>
      <c r="E951" s="2" t="s">
        <v>52</v>
      </c>
      <c r="F951" s="2" t="s">
        <v>15</v>
      </c>
      <c r="G951" s="2" t="s">
        <v>897</v>
      </c>
      <c r="H951" s="2" t="s">
        <v>163</v>
      </c>
      <c r="I951" s="2" t="str">
        <f>IFERROR(__xludf.DUMMYFUNCTION("GOOGLETRANSLATE(C951,""fr"",""en"")"),"Abandoned in the event of a claim")</f>
        <v>Abandoned in the event of a claim</v>
      </c>
    </row>
    <row r="952" ht="15.75" customHeight="1">
      <c r="A952" s="2">
        <v>2.0</v>
      </c>
      <c r="B952" s="2" t="s">
        <v>2588</v>
      </c>
      <c r="C952" s="2" t="s">
        <v>2589</v>
      </c>
      <c r="D952" s="2" t="s">
        <v>222</v>
      </c>
      <c r="E952" s="2" t="s">
        <v>42</v>
      </c>
      <c r="F952" s="2" t="s">
        <v>15</v>
      </c>
      <c r="G952" s="2" t="s">
        <v>2590</v>
      </c>
      <c r="H952" s="2" t="s">
        <v>378</v>
      </c>
      <c r="I952" s="2" t="str">
        <f>IFERROR(__xludf.DUMMYFUNCTION("GOOGLETRANSLATE(C952,""fr"",""en"")"),"Increase to the customer's head. reimbursement problem and fold other problems that come this added we never remember it is hellish I cross that I will terminate all my contracts")</f>
        <v>Increase to the customer's head. reimbursement problem and fold other problems that come this added we never remember it is hellish I cross that I will terminate all my contracts</v>
      </c>
    </row>
    <row r="953" ht="15.75" customHeight="1">
      <c r="A953" s="2">
        <v>1.0</v>
      </c>
      <c r="B953" s="2" t="s">
        <v>2591</v>
      </c>
      <c r="C953" s="2" t="s">
        <v>2592</v>
      </c>
      <c r="D953" s="2" t="s">
        <v>150</v>
      </c>
      <c r="E953" s="2" t="s">
        <v>21</v>
      </c>
      <c r="F953" s="2" t="s">
        <v>15</v>
      </c>
      <c r="G953" s="2" t="s">
        <v>2593</v>
      </c>
      <c r="H953" s="2" t="s">
        <v>936</v>
      </c>
      <c r="I953" s="2" t="str">
        <f>IFERROR(__xludf.DUMMYFUNCTION("GOOGLETRANSLATE(C953,""fr"",""en"")"),"Not top, you don't need anything you happen, otherwise it's the end, to believe that it does not want to ensure but without taking the risk that some incidents happen.")</f>
        <v>Not top, you don't need anything you happen, otherwise it's the end, to believe that it does not want to ensure but without taking the risk that some incidents happen.</v>
      </c>
    </row>
    <row r="954" ht="15.75" customHeight="1">
      <c r="A954" s="2">
        <v>1.0</v>
      </c>
      <c r="B954" s="2" t="s">
        <v>2594</v>
      </c>
      <c r="C954" s="2" t="s">
        <v>2595</v>
      </c>
      <c r="D954" s="2" t="s">
        <v>32</v>
      </c>
      <c r="E954" s="2" t="s">
        <v>21</v>
      </c>
      <c r="F954" s="2" t="s">
        <v>15</v>
      </c>
      <c r="G954" s="2" t="s">
        <v>2596</v>
      </c>
      <c r="H954" s="2" t="s">
        <v>842</v>
      </c>
      <c r="I954" s="2" t="str">
        <f>IFERROR(__xludf.DUMMYFUNCTION("GOOGLETRANSLATE(C954,""fr"",""en"")"),"Does not hold the commitments of the initial contract. Do not respond to emails despite threats of termination.
In short, an auto insurance company to avoid. What would happen in the event of a disaster?")</f>
        <v>Does not hold the commitments of the initial contract. Do not respond to emails despite threats of termination.
In short, an auto insurance company to avoid. What would happen in the event of a disaster?</v>
      </c>
    </row>
    <row r="955" ht="15.75" customHeight="1">
      <c r="A955" s="2">
        <v>1.0</v>
      </c>
      <c r="B955" s="2" t="s">
        <v>2597</v>
      </c>
      <c r="C955" s="2" t="s">
        <v>2598</v>
      </c>
      <c r="D955" s="2" t="s">
        <v>434</v>
      </c>
      <c r="E955" s="2" t="s">
        <v>14</v>
      </c>
      <c r="F955" s="2" t="s">
        <v>15</v>
      </c>
      <c r="G955" s="2" t="s">
        <v>2599</v>
      </c>
      <c r="H955" s="2" t="s">
        <v>378</v>
      </c>
      <c r="I955" s="2" t="str">
        <f>IFERROR(__xludf.DUMMYFUNCTION("GOOGLETRANSLATE(C955,""fr"",""en"")"),"! Mutual APRIL SANTE not recommendable
! APRIL Santén contracts: They are illegible and incomprehensible for individuals, too long treatment deadlines both on quotes and reimbursements.
! Availability of advisers at April Health: too difficult to have a"&amp;"n April phone advisor.
Price of the Mutual April Health: Too expensive for the level of service NIV. 5 paid 300 € per month for a couple.
 = Sad customer experience, I do not recommend, flee the brokers who offer this April Health.
! To date, I left Ap"&amp;"ril Health and took another mutual.")</f>
        <v>! Mutual APRIL SANTE not recommendable
! APRIL Santén contracts: They are illegible and incomprehensible for individuals, too long treatment deadlines both on quotes and reimbursements.
! Availability of advisers at April Health: too difficult to have an April phone advisor.
Price of the Mutual April Health: Too expensive for the level of service NIV. 5 paid 300 € per month for a couple.
 = Sad customer experience, I do not recommend, flee the brokers who offer this April Health.
! To date, I left April Health and took another mutual.</v>
      </c>
    </row>
    <row r="956" ht="15.75" customHeight="1">
      <c r="A956" s="2">
        <v>2.0</v>
      </c>
      <c r="B956" s="2" t="s">
        <v>2600</v>
      </c>
      <c r="C956" s="2" t="s">
        <v>2601</v>
      </c>
      <c r="D956" s="2" t="s">
        <v>150</v>
      </c>
      <c r="E956" s="2" t="s">
        <v>21</v>
      </c>
      <c r="F956" s="2" t="s">
        <v>15</v>
      </c>
      <c r="G956" s="2" t="s">
        <v>2602</v>
      </c>
      <c r="H956" s="2" t="s">
        <v>77</v>
      </c>
      <c r="I956" s="2" t="str">
        <f>IFERROR(__xludf.DUMMYFUNCTION("GOOGLETRANSLATE(C956,""fr"",""en"")"),"Hello
I had a non -responsible accident.
A part of my rocker must be absolutely changed according to the bodybuilder.
The expert says no, and the Macif is not even screwed up for the advice of expertise.
Lamentable.
However, I have 2 cars insured wit"&amp;"h them.
With them it's over.")</f>
        <v>Hello
I had a non -responsible accident.
A part of my rocker must be absolutely changed according to the bodybuilder.
The expert says no, and the Macif is not even screwed up for the advice of expertise.
Lamentable.
However, I have 2 cars insured with them.
With them it's over.</v>
      </c>
    </row>
    <row r="957" ht="15.75" customHeight="1">
      <c r="A957" s="2">
        <v>2.0</v>
      </c>
      <c r="B957" s="2" t="s">
        <v>2603</v>
      </c>
      <c r="C957" s="2" t="s">
        <v>2604</v>
      </c>
      <c r="D957" s="2" t="s">
        <v>32</v>
      </c>
      <c r="E957" s="2" t="s">
        <v>21</v>
      </c>
      <c r="F957" s="2" t="s">
        <v>15</v>
      </c>
      <c r="G957" s="2" t="s">
        <v>425</v>
      </c>
      <c r="H957" s="2" t="s">
        <v>38</v>
      </c>
      <c r="I957" s="2" t="str">
        <f>IFERROR(__xludf.DUMMYFUNCTION("GOOGLETRANSLATE(C957,""fr"",""en"")"),"The subscription is very easy but I am very disappointed I was in a commercial gesture being already a customer at home. I hope my comment will be taken into account.")</f>
        <v>The subscription is very easy but I am very disappointed I was in a commercial gesture being already a customer at home. I hope my comment will be taken into account.</v>
      </c>
    </row>
    <row r="958" ht="15.75" customHeight="1">
      <c r="A958" s="2">
        <v>1.0</v>
      </c>
      <c r="B958" s="2" t="s">
        <v>2605</v>
      </c>
      <c r="C958" s="2" t="s">
        <v>2606</v>
      </c>
      <c r="D958" s="2" t="s">
        <v>32</v>
      </c>
      <c r="E958" s="2" t="s">
        <v>21</v>
      </c>
      <c r="F958" s="2" t="s">
        <v>15</v>
      </c>
      <c r="G958" s="2" t="s">
        <v>2607</v>
      </c>
      <c r="H958" s="2" t="s">
        <v>1877</v>
      </c>
      <c r="I958" s="2" t="str">
        <f>IFERROR(__xludf.DUMMYFUNCTION("GOOGLETRANSLATE(C958,""fr"",""en"")"),"Insurance trap to avoid not very expensive but no total management in any risk and mismanagement of the claim especially by their famous shade and their very professional expert who works on photos")</f>
        <v>Insurance trap to avoid not very expensive but no total management in any risk and mismanagement of the claim especially by their famous shade and their very professional expert who works on photos</v>
      </c>
    </row>
    <row r="959" ht="15.75" customHeight="1">
      <c r="A959" s="2">
        <v>4.0</v>
      </c>
      <c r="B959" s="2" t="s">
        <v>2608</v>
      </c>
      <c r="C959" s="2" t="s">
        <v>2609</v>
      </c>
      <c r="D959" s="2" t="s">
        <v>150</v>
      </c>
      <c r="E959" s="2" t="s">
        <v>52</v>
      </c>
      <c r="F959" s="2" t="s">
        <v>15</v>
      </c>
      <c r="G959" s="2" t="s">
        <v>2610</v>
      </c>
      <c r="H959" s="2" t="s">
        <v>306</v>
      </c>
      <c r="I959" s="2" t="str">
        <f>IFERROR(__xludf.DUMMYFUNCTION("GOOGLETRANSLATE(C959,""fr"",""en"")"),"Inequaled price")</f>
        <v>Inequaled price</v>
      </c>
    </row>
    <row r="960" ht="15.75" customHeight="1">
      <c r="A960" s="2">
        <v>5.0</v>
      </c>
      <c r="B960" s="2" t="s">
        <v>2611</v>
      </c>
      <c r="C960" s="2" t="s">
        <v>2612</v>
      </c>
      <c r="D960" s="2" t="s">
        <v>32</v>
      </c>
      <c r="E960" s="2" t="s">
        <v>21</v>
      </c>
      <c r="F960" s="2" t="s">
        <v>15</v>
      </c>
      <c r="G960" s="2" t="s">
        <v>2428</v>
      </c>
      <c r="H960" s="2" t="s">
        <v>54</v>
      </c>
      <c r="I960" s="2" t="str">
        <f>IFERROR(__xludf.DUMMYFUNCTION("GOOGLETRANSLATE(C960,""fr"",""en"")"),"Great price and ease of subscription. I am satisfied with the online service direct insurance. Thank you and see you soon. I scan the doc as soon as possible.")</f>
        <v>Great price and ease of subscription. I am satisfied with the online service direct insurance. Thank you and see you soon. I scan the doc as soon as possible.</v>
      </c>
    </row>
    <row r="961" ht="15.75" customHeight="1">
      <c r="A961" s="2">
        <v>1.0</v>
      </c>
      <c r="B961" s="2" t="s">
        <v>2613</v>
      </c>
      <c r="C961" s="2" t="s">
        <v>2614</v>
      </c>
      <c r="D961" s="2" t="s">
        <v>113</v>
      </c>
      <c r="E961" s="2" t="s">
        <v>42</v>
      </c>
      <c r="F961" s="2" t="s">
        <v>15</v>
      </c>
      <c r="G961" s="2" t="s">
        <v>2615</v>
      </c>
      <c r="H961" s="2" t="s">
        <v>447</v>
      </c>
      <c r="I961" s="2" t="str">
        <f>IFERROR(__xludf.DUMMYFUNCTION("GOOGLETRANSLATE(C961,""fr"",""en"")"),"MAIF member for 35 years, an open RAQVAM file and 2 years later, I learn by phone that the file is closed despite a disagreement. No reminder to inform us of the imminent fence !! Where is the militant insurer ??")</f>
        <v>MAIF member for 35 years, an open RAQVAM file and 2 years later, I learn by phone that the file is closed despite a disagreement. No reminder to inform us of the imminent fence !! Where is the militant insurer ??</v>
      </c>
    </row>
    <row r="962" ht="15.75" customHeight="1">
      <c r="A962" s="2">
        <v>5.0</v>
      </c>
      <c r="B962" s="2" t="s">
        <v>2616</v>
      </c>
      <c r="C962" s="2" t="s">
        <v>2617</v>
      </c>
      <c r="D962" s="2" t="s">
        <v>20</v>
      </c>
      <c r="E962" s="2" t="s">
        <v>21</v>
      </c>
      <c r="F962" s="2" t="s">
        <v>15</v>
      </c>
      <c r="G962" s="2" t="s">
        <v>214</v>
      </c>
      <c r="H962" s="2" t="s">
        <v>58</v>
      </c>
      <c r="I962" s="2" t="str">
        <f>IFERROR(__xludf.DUMMYFUNCTION("GOOGLETRANSLATE(C962,""fr"",""en"")"),"I am satisfied with the contract and the service. The quote is rapid and adapted to needs. I recommend this online insurance to future customers. Cordially")</f>
        <v>I am satisfied with the contract and the service. The quote is rapid and adapted to needs. I recommend this online insurance to future customers. Cordially</v>
      </c>
    </row>
    <row r="963" ht="15.75" customHeight="1">
      <c r="A963" s="2">
        <v>1.0</v>
      </c>
      <c r="B963" s="2" t="s">
        <v>2618</v>
      </c>
      <c r="C963" s="2" t="s">
        <v>2619</v>
      </c>
      <c r="D963" s="2" t="s">
        <v>37</v>
      </c>
      <c r="E963" s="2" t="s">
        <v>21</v>
      </c>
      <c r="F963" s="2" t="s">
        <v>15</v>
      </c>
      <c r="G963" s="2" t="s">
        <v>2620</v>
      </c>
      <c r="H963" s="2" t="s">
        <v>77</v>
      </c>
      <c r="I963" s="2" t="str">
        <f>IFERROR(__xludf.DUMMYFUNCTION("GOOGLETRANSLATE(C963,""fr"",""en"")"),"Hello, I receive a letter today by registered mail who tells me that my auto insurance contracts are terminated for reasons ""inadequacy of risk with regard to the company's acceptance policy"". For my part, no claim but I lost my husband a year ago. Two "&amp;"vehicles were insured in Eurofil, and I sponsored three people. This is the thank you. Super Eurofil!")</f>
        <v>Hello, I receive a letter today by registered mail who tells me that my auto insurance contracts are terminated for reasons "inadequacy of risk with regard to the company's acceptance policy". For my part, no claim but I lost my husband a year ago. Two vehicles were insured in Eurofil, and I sponsored three people. This is the thank you. Super Eurofil!</v>
      </c>
    </row>
    <row r="964" ht="15.75" customHeight="1">
      <c r="A964" s="2">
        <v>2.0</v>
      </c>
      <c r="B964" s="2" t="s">
        <v>2621</v>
      </c>
      <c r="C964" s="2" t="s">
        <v>2622</v>
      </c>
      <c r="D964" s="2" t="s">
        <v>37</v>
      </c>
      <c r="E964" s="2" t="s">
        <v>21</v>
      </c>
      <c r="F964" s="2" t="s">
        <v>15</v>
      </c>
      <c r="G964" s="2" t="s">
        <v>993</v>
      </c>
      <c r="H964" s="2" t="s">
        <v>188</v>
      </c>
      <c r="I964" s="2" t="str">
        <f>IFERROR(__xludf.DUMMYFUNCTION("GOOGLETRANSLATE(C964,""fr"",""en"")"),"I subscribed to automotive insurance and then 3 days later; I made a request for withdrawal share mail because following my sending information statements I received an email with an amendment to the contract which increases the price of 100th and negativ"&amp;"ely modified my bonus while all the information that I had given the subscription to the good summer contract.
During my request for withdrawal, I asked to be reimbursed for the sum of 108 euros that I paid when the contract is subscribed which I hope to"&amp;" be reimbursed !!
")</f>
        <v>I subscribed to automotive insurance and then 3 days later; I made a request for withdrawal share mail because following my sending information statements I received an email with an amendment to the contract which increases the price of 100th and negatively modified my bonus while all the information that I had given the subscription to the good summer contract.
During my request for withdrawal, I asked to be reimbursed for the sum of 108 euros that I paid when the contract is subscribed which I hope to be reimbursed !!
</v>
      </c>
    </row>
    <row r="965" ht="15.75" customHeight="1">
      <c r="A965" s="2">
        <v>1.0</v>
      </c>
      <c r="B965" s="2" t="s">
        <v>2623</v>
      </c>
      <c r="C965" s="2" t="s">
        <v>2624</v>
      </c>
      <c r="D965" s="2" t="s">
        <v>32</v>
      </c>
      <c r="E965" s="2" t="s">
        <v>21</v>
      </c>
      <c r="F965" s="2" t="s">
        <v>15</v>
      </c>
      <c r="G965" s="2" t="s">
        <v>548</v>
      </c>
      <c r="H965" s="2" t="s">
        <v>48</v>
      </c>
      <c r="I965" s="2" t="str">
        <f>IFERROR(__xludf.DUMMYFUNCTION("GOOGLETRANSLATE(C965,""fr"",""en"")"),"I am not at all satisfied with direct insurance.
I concluded an all -risk insurance contract on 04/05/2018 of € 666 per year.
Without having any incident, my insurance has been increased every year.
For the year 2021 my insurance went to € 823 !!!!
It"&amp;"'s scandalous, and unacceptable !!!! I could have understood this if I had had 1 incident. In addition, I specify that I have a bonus of 50% for more than 12 years !!!")</f>
        <v>I am not at all satisfied with direct insurance.
I concluded an all -risk insurance contract on 04/05/2018 of € 666 per year.
Without having any incident, my insurance has been increased every year.
For the year 2021 my insurance went to € 823 !!!!
It's scandalous, and unacceptable !!!! I could have understood this if I had had 1 incident. In addition, I specify that I have a bonus of 50% for more than 12 years !!!</v>
      </c>
    </row>
    <row r="966" ht="15.75" customHeight="1">
      <c r="A966" s="2">
        <v>1.0</v>
      </c>
      <c r="B966" s="2" t="s">
        <v>2625</v>
      </c>
      <c r="C966" s="2" t="s">
        <v>2626</v>
      </c>
      <c r="D966" s="2" t="s">
        <v>32</v>
      </c>
      <c r="E966" s="2" t="s">
        <v>21</v>
      </c>
      <c r="F966" s="2" t="s">
        <v>15</v>
      </c>
      <c r="G966" s="2" t="s">
        <v>2627</v>
      </c>
      <c r="H966" s="2" t="s">
        <v>58</v>
      </c>
      <c r="I966" s="2" t="str">
        <f>IFERROR(__xludf.DUMMYFUNCTION("GOOGLETRANSLATE(C966,""fr"",""en"")"),"Too expensive for a first two -month pay! Half of a salary is a shame! I have no choice but as soon as I find more interesting insurance I will leave yours and you have to lose a lot of customers.")</f>
        <v>Too expensive for a first two -month pay! Half of a salary is a shame! I have no choice but as soon as I find more interesting insurance I will leave yours and you have to lose a lot of customers.</v>
      </c>
    </row>
    <row r="967" ht="15.75" customHeight="1">
      <c r="A967" s="2">
        <v>5.0</v>
      </c>
      <c r="B967" s="2" t="s">
        <v>2628</v>
      </c>
      <c r="C967" s="2" t="s">
        <v>2629</v>
      </c>
      <c r="D967" s="2" t="s">
        <v>186</v>
      </c>
      <c r="E967" s="2" t="s">
        <v>21</v>
      </c>
      <c r="F967" s="2" t="s">
        <v>15</v>
      </c>
      <c r="G967" s="2" t="s">
        <v>620</v>
      </c>
      <c r="H967" s="2" t="s">
        <v>58</v>
      </c>
      <c r="I967" s="2" t="str">
        <f>IFERROR(__xludf.DUMMYFUNCTION("GOOGLETRANSLATE(C967,""fr"",""en"")"),"I had a sinister with my Peugeot 3008 in August 2021. The care of my call and the repair of the vehicle was more than perfect. I highly recommend this insurance company.
")</f>
        <v>I had a sinister with my Peugeot 3008 in August 2021. The care of my call and the repair of the vehicle was more than perfect. I highly recommend this insurance company.
</v>
      </c>
    </row>
    <row r="968" ht="15.75" customHeight="1">
      <c r="A968" s="2">
        <v>4.0</v>
      </c>
      <c r="B968" s="2" t="s">
        <v>2630</v>
      </c>
      <c r="C968" s="2" t="s">
        <v>2631</v>
      </c>
      <c r="D968" s="2" t="s">
        <v>41</v>
      </c>
      <c r="E968" s="2" t="s">
        <v>42</v>
      </c>
      <c r="F968" s="2" t="s">
        <v>15</v>
      </c>
      <c r="G968" s="2" t="s">
        <v>1664</v>
      </c>
      <c r="H968" s="2" t="s">
        <v>385</v>
      </c>
      <c r="I968" s="2" t="str">
        <f>IFERROR(__xludf.DUMMYFUNCTION("GOOGLETRANSLATE(C968,""fr"",""en"")"),"In order to remain competition I could not renew my contract concerning my home and I had to consult your competitors in order to obtain a proposal going with my budget")</f>
        <v>In order to remain competition I could not renew my contract concerning my home and I had to consult your competitors in order to obtain a proposal going with my budget</v>
      </c>
    </row>
    <row r="969" ht="15.75" customHeight="1">
      <c r="A969" s="2">
        <v>4.0</v>
      </c>
      <c r="B969" s="2" t="s">
        <v>2632</v>
      </c>
      <c r="C969" s="2" t="s">
        <v>2633</v>
      </c>
      <c r="D969" s="2" t="s">
        <v>146</v>
      </c>
      <c r="E969" s="2" t="s">
        <v>52</v>
      </c>
      <c r="F969" s="2" t="s">
        <v>15</v>
      </c>
      <c r="G969" s="2" t="s">
        <v>856</v>
      </c>
      <c r="H969" s="2" t="s">
        <v>38</v>
      </c>
      <c r="I969" s="2" t="str">
        <f>IFERROR(__xludf.DUMMYFUNCTION("GOOGLETRANSLATE(C969,""fr"",""en"")"),"The price suits me
I am satisfied with this insurance level insurance, but I still need some to have a more rigorous opinion.
Cordially")</f>
        <v>The price suits me
I am satisfied with this insurance level insurance, but I still need some to have a more rigorous opinion.
Cordially</v>
      </c>
    </row>
    <row r="970" ht="15.75" customHeight="1">
      <c r="A970" s="2">
        <v>2.0</v>
      </c>
      <c r="B970" s="2" t="s">
        <v>2634</v>
      </c>
      <c r="C970" s="2" t="s">
        <v>2635</v>
      </c>
      <c r="D970" s="2" t="s">
        <v>150</v>
      </c>
      <c r="E970" s="2" t="s">
        <v>21</v>
      </c>
      <c r="F970" s="2" t="s">
        <v>15</v>
      </c>
      <c r="G970" s="2" t="s">
        <v>2636</v>
      </c>
      <c r="H970" s="2" t="s">
        <v>306</v>
      </c>
      <c r="I970" s="2" t="str">
        <f>IFERROR(__xludf.DUMMYFUNCTION("GOOGLETRANSLATE(C970,""fr"",""en"")"),"After more than 30 years as a member, the Macif resilled my contracts, all, auto and dwellings, on the grounds of my termination of the RPFA: accident warranty (family preposterous accident) at € 27.25 / year subscribed by Telephone after commercial argum"&amp;"ents Persuasive ... I gave up this cover by email and simple mail, it is true, after having settled this optional contribution for two years. Bravo, loyalty is rewarded, position abuse will be checked by the DGCCRF.")</f>
        <v>After more than 30 years as a member, the Macif resilled my contracts, all, auto and dwellings, on the grounds of my termination of the RPFA: accident warranty (family preposterous accident) at € 27.25 / year subscribed by Telephone after commercial arguments Persuasive ... I gave up this cover by email and simple mail, it is true, after having settled this optional contribution for two years. Bravo, loyalty is rewarded, position abuse will be checked by the DGCCRF.</v>
      </c>
    </row>
    <row r="971" ht="15.75" customHeight="1">
      <c r="A971" s="2">
        <v>1.0</v>
      </c>
      <c r="B971" s="2" t="s">
        <v>2637</v>
      </c>
      <c r="C971" s="2" t="s">
        <v>2638</v>
      </c>
      <c r="D971" s="2" t="s">
        <v>41</v>
      </c>
      <c r="E971" s="2" t="s">
        <v>21</v>
      </c>
      <c r="F971" s="2" t="s">
        <v>15</v>
      </c>
      <c r="G971" s="2" t="s">
        <v>2639</v>
      </c>
      <c r="H971" s="2" t="s">
        <v>163</v>
      </c>
      <c r="I971" s="2" t="str">
        <f>IFERROR(__xludf.DUMMYFUNCTION("GOOGLETRANSLATE(C971,""fr"",""en"")"),"A loss responsible in 7 years and a radiation of insurance. However, it seemed to me that that was why we paid insurance! Scandalous. I do not recommend this company. In short, you can count on the maaf especially when you have no problem !! A company jus"&amp;"t good to collect your money. Think about it twice before taking out a contract! A good hearing.")</f>
        <v>A loss responsible in 7 years and a radiation of insurance. However, it seemed to me that that was why we paid insurance! Scandalous. I do not recommend this company. In short, you can count on the maaf especially when you have no problem !! A company just good to collect your money. Think about it twice before taking out a contract! A good hearing.</v>
      </c>
    </row>
    <row r="972" ht="15.75" customHeight="1">
      <c r="A972" s="2">
        <v>3.0</v>
      </c>
      <c r="B972" s="2" t="s">
        <v>2640</v>
      </c>
      <c r="C972" s="2" t="s">
        <v>2641</v>
      </c>
      <c r="D972" s="2" t="s">
        <v>32</v>
      </c>
      <c r="E972" s="2" t="s">
        <v>21</v>
      </c>
      <c r="F972" s="2" t="s">
        <v>15</v>
      </c>
      <c r="G972" s="2" t="s">
        <v>2428</v>
      </c>
      <c r="H972" s="2" t="s">
        <v>54</v>
      </c>
      <c r="I972" s="2" t="str">
        <f>IFERROR(__xludf.DUMMYFUNCTION("GOOGLETRANSLATE(C972,""fr"",""en"")"),"Very practical on the internet, but modification of the quote without explanation and after 3 calls to advisers this still does not work ... so forced to start from the Lynx email to have my initial price. Weird and time -consuming, especially for the ""c"&amp;"ustomer service of the year 2021"".")</f>
        <v>Very practical on the internet, but modification of the quote without explanation and after 3 calls to advisers this still does not work ... so forced to start from the Lynx email to have my initial price. Weird and time -consuming, especially for the "customer service of the year 2021".</v>
      </c>
    </row>
    <row r="973" ht="15.75" customHeight="1">
      <c r="A973" s="2">
        <v>3.0</v>
      </c>
      <c r="B973" s="2" t="s">
        <v>2642</v>
      </c>
      <c r="C973" s="2" t="s">
        <v>2643</v>
      </c>
      <c r="D973" s="2" t="s">
        <v>146</v>
      </c>
      <c r="E973" s="2" t="s">
        <v>52</v>
      </c>
      <c r="F973" s="2" t="s">
        <v>15</v>
      </c>
      <c r="G973" s="2" t="s">
        <v>2644</v>
      </c>
      <c r="H973" s="2" t="s">
        <v>23</v>
      </c>
      <c r="I973" s="2" t="str">
        <f>IFERROR(__xludf.DUMMYFUNCTION("GOOGLETRANSLATE(C973,""fr"",""en"")"),"The service is a little harassment on the phone and does not remind you of the desired slots chosen from the site. It's a shame, we feel like a piece of meat")</f>
        <v>The service is a little harassment on the phone and does not remind you of the desired slots chosen from the site. It's a shame, we feel like a piece of meat</v>
      </c>
    </row>
    <row r="974" ht="15.75" customHeight="1">
      <c r="A974" s="2">
        <v>1.0</v>
      </c>
      <c r="B974" s="2" t="s">
        <v>2645</v>
      </c>
      <c r="C974" s="2" t="s">
        <v>2646</v>
      </c>
      <c r="D974" s="2" t="s">
        <v>1183</v>
      </c>
      <c r="E974" s="2" t="s">
        <v>544</v>
      </c>
      <c r="F974" s="2" t="s">
        <v>15</v>
      </c>
      <c r="G974" s="2" t="s">
        <v>2647</v>
      </c>
      <c r="H974" s="2" t="s">
        <v>784</v>
      </c>
      <c r="I974" s="2" t="str">
        <f>IFERROR(__xludf.DUMMYFUNCTION("GOOGLETRANSLATE(C974,""fr"",""en"")"),"In 2019 we still leave people in shit by strolling between Nantes and Paris. A lot of time for the care of a work stoppage! DOSS send in December and which is always PA treated! A shame for the price we pay.")</f>
        <v>In 2019 we still leave people in shit by strolling between Nantes and Paris. A lot of time for the care of a work stoppage! DOSS send in December and which is always PA treated! A shame for the price we pay.</v>
      </c>
    </row>
    <row r="975" ht="15.75" customHeight="1">
      <c r="A975" s="2">
        <v>2.0</v>
      </c>
      <c r="B975" s="2" t="s">
        <v>2648</v>
      </c>
      <c r="C975" s="2" t="s">
        <v>2649</v>
      </c>
      <c r="D975" s="2" t="s">
        <v>93</v>
      </c>
      <c r="E975" s="2" t="s">
        <v>21</v>
      </c>
      <c r="F975" s="2" t="s">
        <v>15</v>
      </c>
      <c r="G975" s="2" t="s">
        <v>2650</v>
      </c>
      <c r="H975" s="2" t="s">
        <v>458</v>
      </c>
      <c r="I975" s="2" t="str">
        <f>IFERROR(__xludf.DUMMYFUNCTION("GOOGLETRANSLATE(C975,""fr"",""en"")"),"Very difficult insurance to reach by phone-
Remove a mileage reserve and you put in free kilometer without waiting for an explanation of the why (confinement) no new contract signed for agreement! And you end up with 300 € more per year !!!
Insurance in"&amp;" advice")</f>
        <v>Very difficult insurance to reach by phone-
Remove a mileage reserve and you put in free kilometer without waiting for an explanation of the why (confinement) no new contract signed for agreement! And you end up with 300 € more per year !!!
Insurance in advice</v>
      </c>
    </row>
    <row r="976" ht="15.75" customHeight="1">
      <c r="A976" s="2">
        <v>4.0</v>
      </c>
      <c r="B976" s="2" t="s">
        <v>2651</v>
      </c>
      <c r="C976" s="2" t="s">
        <v>2652</v>
      </c>
      <c r="D976" s="2" t="s">
        <v>2653</v>
      </c>
      <c r="E976" s="2" t="s">
        <v>128</v>
      </c>
      <c r="F976" s="2" t="s">
        <v>15</v>
      </c>
      <c r="G976" s="2" t="s">
        <v>2654</v>
      </c>
      <c r="H976" s="2" t="s">
        <v>228</v>
      </c>
      <c r="I976" s="2" t="str">
        <f>IFERROR(__xludf.DUMMYFUNCTION("GOOGLETRANSLATE(C976,""fr"",""en"")"),"Very nice home. As there is no telephone platform, we can reach them easily. They answered all my questions and my expectations (being a novice in this area).")</f>
        <v>Very nice home. As there is no telephone platform, we can reach them easily. They answered all my questions and my expectations (being a novice in this area).</v>
      </c>
    </row>
    <row r="977" ht="15.75" customHeight="1">
      <c r="A977" s="2">
        <v>3.0</v>
      </c>
      <c r="B977" s="2" t="s">
        <v>2655</v>
      </c>
      <c r="C977" s="2" t="s">
        <v>2656</v>
      </c>
      <c r="D977" s="2" t="s">
        <v>20</v>
      </c>
      <c r="E977" s="2" t="s">
        <v>21</v>
      </c>
      <c r="F977" s="2" t="s">
        <v>15</v>
      </c>
      <c r="G977" s="2" t="s">
        <v>1148</v>
      </c>
      <c r="H977" s="2" t="s">
        <v>58</v>
      </c>
      <c r="I977" s="2" t="str">
        <f>IFERROR(__xludf.DUMMYFUNCTION("GOOGLETRANSLATE(C977,""fr"",""en"")"),"I am currently satisfied with regard to reception and pricing I hope that the efficiency will be in order if there is one day a concern.")</f>
        <v>I am currently satisfied with regard to reception and pricing I hope that the efficiency will be in order if there is one day a concern.</v>
      </c>
    </row>
    <row r="978" ht="15.75" customHeight="1">
      <c r="A978" s="2">
        <v>3.0</v>
      </c>
      <c r="B978" s="2" t="s">
        <v>2657</v>
      </c>
      <c r="C978" s="2" t="s">
        <v>2658</v>
      </c>
      <c r="D978" s="2" t="s">
        <v>32</v>
      </c>
      <c r="E978" s="2" t="s">
        <v>21</v>
      </c>
      <c r="F978" s="2" t="s">
        <v>15</v>
      </c>
      <c r="G978" s="2" t="s">
        <v>1394</v>
      </c>
      <c r="H978" s="2" t="s">
        <v>48</v>
      </c>
      <c r="I978" s="2" t="str">
        <f>IFERROR(__xludf.DUMMYFUNCTION("GOOGLETRANSLATE(C978,""fr"",""en"")"),"I am satisfied with the service, prices suit me as well as the speed and ease of operation of the website and the responsiveness of your employees")</f>
        <v>I am satisfied with the service, prices suit me as well as the speed and ease of operation of the website and the responsiveness of your employees</v>
      </c>
    </row>
    <row r="979" ht="15.75" customHeight="1">
      <c r="A979" s="2">
        <v>1.0</v>
      </c>
      <c r="B979" s="2" t="s">
        <v>2659</v>
      </c>
      <c r="C979" s="2" t="s">
        <v>2660</v>
      </c>
      <c r="D979" s="2" t="s">
        <v>150</v>
      </c>
      <c r="E979" s="2" t="s">
        <v>21</v>
      </c>
      <c r="F979" s="2" t="s">
        <v>15</v>
      </c>
      <c r="G979" s="2" t="s">
        <v>169</v>
      </c>
      <c r="H979" s="2" t="s">
        <v>48</v>
      </c>
      <c r="I979" s="2" t="str">
        <f>IFERROR(__xludf.DUMMYFUNCTION("GOOGLETRANSLATE(C979,""fr"",""en"")"),"I received my insurance quote on March 22 for renewal on April 1. I decide to change insurer given the price too high of Macif. The agency's advisor insults me by claiming that I should have taken the termination procedures in January !!!!!!")</f>
        <v>I received my insurance quote on March 22 for renewal on April 1. I decide to change insurer given the price too high of Macif. The agency's advisor insults me by claiming that I should have taken the termination procedures in January !!!!!!</v>
      </c>
    </row>
    <row r="980" ht="15.75" customHeight="1">
      <c r="A980" s="2">
        <v>1.0</v>
      </c>
      <c r="B980" s="2" t="s">
        <v>2661</v>
      </c>
      <c r="C980" s="2" t="s">
        <v>2662</v>
      </c>
      <c r="D980" s="2" t="s">
        <v>20</v>
      </c>
      <c r="E980" s="2" t="s">
        <v>21</v>
      </c>
      <c r="F980" s="2" t="s">
        <v>15</v>
      </c>
      <c r="G980" s="2" t="s">
        <v>2663</v>
      </c>
      <c r="H980" s="2" t="s">
        <v>99</v>
      </c>
      <c r="I980" s="2" t="str">
        <f>IFERROR(__xludf.DUMMYFUNCTION("GOOGLETRANSLATE(C980,""fr"",""en"")"),"Insurance to flee! They lie to you when signing the contract, they do not assume a year later and chasing you with a new lie, plays on time to let you be terminated once the first year has been able to be very much that the renewal is automatic . Then the"&amp;"y chain the fallacious arguments to justify the increases. I insist flee the olive assurance.
")</f>
        <v>Insurance to flee! They lie to you when signing the contract, they do not assume a year later and chasing you with a new lie, plays on time to let you be terminated once the first year has been able to be very much that the renewal is automatic . Then they chain the fallacious arguments to justify the increases. I insist flee the olive assurance.
</v>
      </c>
    </row>
    <row r="981" ht="15.75" customHeight="1">
      <c r="A981" s="2">
        <v>1.0</v>
      </c>
      <c r="B981" s="2" t="s">
        <v>2664</v>
      </c>
      <c r="C981" s="2" t="s">
        <v>2665</v>
      </c>
      <c r="D981" s="2" t="s">
        <v>222</v>
      </c>
      <c r="E981" s="2" t="s">
        <v>27</v>
      </c>
      <c r="F981" s="2" t="s">
        <v>15</v>
      </c>
      <c r="G981" s="2" t="s">
        <v>2666</v>
      </c>
      <c r="H981" s="2" t="s">
        <v>163</v>
      </c>
      <c r="I981" s="2" t="str">
        <f>IFERROR(__xludf.DUMMYFUNCTION("GOOGLETRANSLATE(C981,""fr"",""en"")"),"I am old (all new) customer of the Millennium product with entry fees at 4.95% with maximum profitability observed by AXA of 3% the previous year (no need to do drawing). What also marked me was the world of selection of values; Obviously AXA products wit"&amp;"h low perfs (the observation could be made by modeling the structure of my Asv wallet on a virtual portfolio).")</f>
        <v>I am old (all new) customer of the Millennium product with entry fees at 4.95% with maximum profitability observed by AXA of 3% the previous year (no need to do drawing). What also marked me was the world of selection of values; Obviously AXA products with low perfs (the observation could be made by modeling the structure of my Asv wallet on a virtual portfolio).</v>
      </c>
    </row>
    <row r="982" ht="15.75" customHeight="1">
      <c r="A982" s="2">
        <v>1.0</v>
      </c>
      <c r="B982" s="2" t="s">
        <v>2667</v>
      </c>
      <c r="C982" s="2" t="s">
        <v>2668</v>
      </c>
      <c r="D982" s="2" t="s">
        <v>32</v>
      </c>
      <c r="E982" s="2" t="s">
        <v>21</v>
      </c>
      <c r="F982" s="2" t="s">
        <v>15</v>
      </c>
      <c r="G982" s="2" t="s">
        <v>2669</v>
      </c>
      <c r="H982" s="2" t="s">
        <v>804</v>
      </c>
      <c r="I982" s="2" t="str">
        <f>IFERROR(__xludf.DUMMYFUNCTION("GOOGLETRANSLATE(C982,""fr"",""en"")"),"I'm really not satisfied with TT ...
Advisor to them not honest and he confirms that Direct Insurance are ""zero"" and he hangs up on the born.
Don't answer the phone.
There I am waiting for them to reimburse me then since a month. Until today they hav"&amp;"e reimbursed me.
In addition they do not reimburse me 100% because there were already scratches so for them it is 50% at my charge, while I am not at fault. And the first time they send me an email to tell me that everything is taken care of by insurance"&amp;", and I paid nothing.
")</f>
        <v>I'm really not satisfied with TT ...
Advisor to them not honest and he confirms that Direct Insurance are "zero" and he hangs up on the born.
Don't answer the phone.
There I am waiting for them to reimburse me then since a month. Until today they have reimbursed me.
In addition they do not reimburse me 100% because there were already scratches so for them it is 50% at my charge, while I am not at fault. And the first time they send me an email to tell me that everything is taken care of by insurance, and I paid nothing.
</v>
      </c>
    </row>
    <row r="983" ht="15.75" customHeight="1">
      <c r="A983" s="2">
        <v>5.0</v>
      </c>
      <c r="B983" s="2" t="s">
        <v>2670</v>
      </c>
      <c r="C983" s="2" t="s">
        <v>2671</v>
      </c>
      <c r="D983" s="2" t="s">
        <v>51</v>
      </c>
      <c r="E983" s="2" t="s">
        <v>52</v>
      </c>
      <c r="F983" s="2" t="s">
        <v>15</v>
      </c>
      <c r="G983" s="2" t="s">
        <v>2012</v>
      </c>
      <c r="H983" s="2" t="s">
        <v>58</v>
      </c>
      <c r="I983" s="2" t="str">
        <f>IFERROR(__xludf.DUMMYFUNCTION("GOOGLETRANSLATE(C983,""fr"",""en"")"),"Following a motorcycle flight, I was pleasantly surprised at the speed and the advice I could benefit from. I obviously subscribe to a new contract for my new motorcycle.")</f>
        <v>Following a motorcycle flight, I was pleasantly surprised at the speed and the advice I could benefit from. I obviously subscribe to a new contract for my new motorcycle.</v>
      </c>
    </row>
    <row r="984" ht="15.75" customHeight="1">
      <c r="A984" s="2">
        <v>5.0</v>
      </c>
      <c r="B984" s="2" t="s">
        <v>2672</v>
      </c>
      <c r="C984" s="2" t="s">
        <v>2673</v>
      </c>
      <c r="D984" s="2" t="s">
        <v>139</v>
      </c>
      <c r="E984" s="2" t="s">
        <v>21</v>
      </c>
      <c r="F984" s="2" t="s">
        <v>15</v>
      </c>
      <c r="G984" s="2" t="s">
        <v>658</v>
      </c>
      <c r="H984" s="2" t="s">
        <v>95</v>
      </c>
      <c r="I984" s="2" t="str">
        <f>IFERROR(__xludf.DUMMYFUNCTION("GOOGLETRANSLATE(C984,""fr"",""en"")"),"Very good service, very good agency in Saintes, no worries, always responsive and attentive
fully satisfied for all types of contract subscribed
")</f>
        <v>Very good service, very good agency in Saintes, no worries, always responsive and attentive
fully satisfied for all types of contract subscribed
</v>
      </c>
    </row>
    <row r="985" ht="15.75" customHeight="1">
      <c r="A985" s="2">
        <v>1.0</v>
      </c>
      <c r="B985" s="2" t="s">
        <v>2674</v>
      </c>
      <c r="C985" s="2" t="s">
        <v>2675</v>
      </c>
      <c r="D985" s="2" t="s">
        <v>20</v>
      </c>
      <c r="E985" s="2" t="s">
        <v>21</v>
      </c>
      <c r="F985" s="2" t="s">
        <v>15</v>
      </c>
      <c r="G985" s="2" t="s">
        <v>2676</v>
      </c>
      <c r="H985" s="2" t="s">
        <v>99</v>
      </c>
      <c r="I985" s="2" t="str">
        <f>IFERROR(__xludf.DUMMYFUNCTION("GOOGLETRANSLATE(C985,""fr"",""en"")"),"On the date of my auto surprise contract an increase of 44% when a drop was expected! Explanation an resurgence of the flights of my commune the cost of repairs in general .... in short I am explained to me the principle of pooling of risks even if person"&amp;"ally I had not declared any claim such an increase was very legitimate nevertheless we Give me a drop of 200 euros on the annual rate announced after qq wire cost. I decide to change insurance obviously to find a more suitable rate. Insurance which like t"&amp;"he majority of all ways to warn of nothing the prices fly away to make you pay an upsurge of mind -blowing flight is it for me to pay for that and not to the thief? I remain speechless in the face of the omnipotence of these efficient insurers to take the"&amp;"ir price but qd it is a question of defending the insured and keeping their client there is no one they do as they want since the others do not do not better. We come to say that rolling SS insurance becomes understandable with such a system where the Hon"&amp;"nete drivers are there to pay instead of thieves since they have my rib and no I have not steal my vehicle!")</f>
        <v>On the date of my auto surprise contract an increase of 44% when a drop was expected! Explanation an resurgence of the flights of my commune the cost of repairs in general .... in short I am explained to me the principle of pooling of risks even if personally I had not declared any claim such an increase was very legitimate nevertheless we Give me a drop of 200 euros on the annual rate announced after qq wire cost. I decide to change insurance obviously to find a more suitable rate. Insurance which like the majority of all ways to warn of nothing the prices fly away to make you pay an upsurge of mind -blowing flight is it for me to pay for that and not to the thief? I remain speechless in the face of the omnipotence of these efficient insurers to take their price but qd it is a question of defending the insured and keeping their client there is no one they do as they want since the others do not do not better. We come to say that rolling SS insurance becomes understandable with such a system where the Honnete drivers are there to pay instead of thieves since they have my rib and no I have not steal my vehicle!</v>
      </c>
    </row>
    <row r="986" ht="15.75" customHeight="1">
      <c r="A986" s="2">
        <v>1.0</v>
      </c>
      <c r="B986" s="2" t="s">
        <v>2677</v>
      </c>
      <c r="C986" s="2" t="s">
        <v>2678</v>
      </c>
      <c r="D986" s="2" t="s">
        <v>1085</v>
      </c>
      <c r="E986" s="2" t="s">
        <v>27</v>
      </c>
      <c r="F986" s="2" t="s">
        <v>15</v>
      </c>
      <c r="G986" s="2" t="s">
        <v>593</v>
      </c>
      <c r="H986" s="2" t="s">
        <v>188</v>
      </c>
      <c r="I986" s="2" t="str">
        <f>IFERROR(__xludf.DUMMYFUNCTION("GOOGLETRANSLATE(C986,""fr"",""en"")"),"Following the death of my mother who had taken out life insurance at Cardif, I took me in a system where everything seems to be put in place so that your file does not succeed as late as possible, to never see.")</f>
        <v>Following the death of my mother who had taken out life insurance at Cardif, I took me in a system where everything seems to be put in place so that your file does not succeed as late as possible, to never see.</v>
      </c>
    </row>
    <row r="987" ht="15.75" customHeight="1">
      <c r="A987" s="2">
        <v>4.0</v>
      </c>
      <c r="B987" s="2" t="s">
        <v>2679</v>
      </c>
      <c r="C987" s="2" t="s">
        <v>2680</v>
      </c>
      <c r="D987" s="2" t="s">
        <v>20</v>
      </c>
      <c r="E987" s="2" t="s">
        <v>21</v>
      </c>
      <c r="F987" s="2" t="s">
        <v>15</v>
      </c>
      <c r="G987" s="2" t="s">
        <v>1704</v>
      </c>
      <c r="H987" s="2" t="s">
        <v>179</v>
      </c>
      <c r="I987" s="2" t="str">
        <f>IFERROR(__xludf.DUMMYFUNCTION("GOOGLETRANSLATE(C987,""fr"",""en"")"),"I was well informed, no one attentive. satisfactory price and very good responsiveness.
I will recommend without problem. To see over time now")</f>
        <v>I was well informed, no one attentive. satisfactory price and very good responsiveness.
I will recommend without problem. To see over time now</v>
      </c>
    </row>
    <row r="988" ht="15.75" customHeight="1">
      <c r="A988" s="2">
        <v>4.0</v>
      </c>
      <c r="B988" s="2" t="s">
        <v>2681</v>
      </c>
      <c r="C988" s="2" t="s">
        <v>2682</v>
      </c>
      <c r="D988" s="2" t="s">
        <v>32</v>
      </c>
      <c r="E988" s="2" t="s">
        <v>21</v>
      </c>
      <c r="F988" s="2" t="s">
        <v>15</v>
      </c>
      <c r="G988" s="2" t="s">
        <v>961</v>
      </c>
      <c r="H988" s="2" t="s">
        <v>48</v>
      </c>
      <c r="I988" s="2" t="str">
        <f>IFERROR(__xludf.DUMMYFUNCTION("GOOGLETRANSLATE(C988,""fr"",""en"")"),"Change of vehicle and endorsement to my initial contract, I did everything by internet and by phone with the help of an effective, competent assistant. In less than an hour, I obtained my new contract and my provisional green card !!! Super service, well "&amp;"done!")</f>
        <v>Change of vehicle and endorsement to my initial contract, I did everything by internet and by phone with the help of an effective, competent assistant. In less than an hour, I obtained my new contract and my provisional green card !!! Super service, well done!</v>
      </c>
    </row>
    <row r="989" ht="15.75" customHeight="1">
      <c r="A989" s="2">
        <v>3.0</v>
      </c>
      <c r="B989" s="2" t="s">
        <v>2683</v>
      </c>
      <c r="C989" s="2" t="s">
        <v>2684</v>
      </c>
      <c r="D989" s="2" t="s">
        <v>32</v>
      </c>
      <c r="E989" s="2" t="s">
        <v>21</v>
      </c>
      <c r="F989" s="2" t="s">
        <v>15</v>
      </c>
      <c r="G989" s="2" t="s">
        <v>639</v>
      </c>
      <c r="H989" s="2" t="s">
        <v>54</v>
      </c>
      <c r="I989" s="2" t="str">
        <f>IFERROR(__xludf.DUMMYFUNCTION("GOOGLETRANSLATE(C989,""fr"",""en"")"),"I am satisfied, but I think it would have been better than for the first sample is made the month following its would be more advantageous on my part.")</f>
        <v>I am satisfied, but I think it would have been better than for the first sample is made the month following its would be more advantageous on my part.</v>
      </c>
    </row>
    <row r="990" ht="15.75" customHeight="1">
      <c r="A990" s="2">
        <v>1.0</v>
      </c>
      <c r="B990" s="2" t="s">
        <v>2685</v>
      </c>
      <c r="C990" s="2" t="s">
        <v>2686</v>
      </c>
      <c r="D990" s="2" t="s">
        <v>93</v>
      </c>
      <c r="E990" s="2" t="s">
        <v>21</v>
      </c>
      <c r="F990" s="2" t="s">
        <v>15</v>
      </c>
      <c r="G990" s="2" t="s">
        <v>2687</v>
      </c>
      <c r="H990" s="2" t="s">
        <v>34</v>
      </c>
      <c r="I990" s="2" t="str">
        <f>IFERROR(__xludf.DUMMYFUNCTION("GOOGLETRANSLATE(C990,""fr"",""en"")"),"Worse insurance of the unheard of. No follow -up of my disaster we say that you are removing in 24 48 hours I have no return for 2 weeks, run derier I do the job in their place I never seen such a scandal I leave the company this month")</f>
        <v>Worse insurance of the unheard of. No follow -up of my disaster we say that you are removing in 24 48 hours I have no return for 2 weeks, run derier I do the job in their place I never seen such a scandal I leave the company this month</v>
      </c>
    </row>
    <row r="991" ht="15.75" customHeight="1">
      <c r="A991" s="2">
        <v>3.0</v>
      </c>
      <c r="B991" s="2" t="s">
        <v>2688</v>
      </c>
      <c r="C991" s="2" t="s">
        <v>2689</v>
      </c>
      <c r="D991" s="2" t="s">
        <v>32</v>
      </c>
      <c r="E991" s="2" t="s">
        <v>21</v>
      </c>
      <c r="F991" s="2" t="s">
        <v>15</v>
      </c>
      <c r="G991" s="2" t="s">
        <v>302</v>
      </c>
      <c r="H991" s="2" t="s">
        <v>54</v>
      </c>
      <c r="I991" s="2" t="str">
        <f>IFERROR(__xludf.DUMMYFUNCTION("GOOGLETRANSLATE(C991,""fr"",""en"")"),"The price of the tranquility pack is expensive. Too bad there is not an accessible insurance offer accessible for those in precarious situations!
")</f>
        <v>The price of the tranquility pack is expensive. Too bad there is not an accessible insurance offer accessible for those in precarious situations!
</v>
      </c>
    </row>
    <row r="992" ht="15.75" customHeight="1">
      <c r="A992" s="2">
        <v>1.0</v>
      </c>
      <c r="B992" s="2" t="s">
        <v>2690</v>
      </c>
      <c r="C992" s="2" t="s">
        <v>2691</v>
      </c>
      <c r="D992" s="2" t="s">
        <v>122</v>
      </c>
      <c r="E992" s="2" t="s">
        <v>21</v>
      </c>
      <c r="F992" s="2" t="s">
        <v>15</v>
      </c>
      <c r="G992" s="2" t="s">
        <v>2692</v>
      </c>
      <c r="H992" s="2" t="s">
        <v>1269</v>
      </c>
      <c r="I992" s="2" t="str">
        <f>IFERROR(__xludf.DUMMYFUNCTION("GOOGLETRANSLATE(C992,""fr"",""en"")"),"Customers for 20 years in this agency, I was received as a dog in a keel game.")</f>
        <v>Customers for 20 years in this agency, I was received as a dog in a keel game.</v>
      </c>
    </row>
    <row r="993" ht="15.75" customHeight="1">
      <c r="A993" s="2">
        <v>5.0</v>
      </c>
      <c r="B993" s="2" t="s">
        <v>2693</v>
      </c>
      <c r="C993" s="2" t="s">
        <v>2694</v>
      </c>
      <c r="D993" s="2" t="s">
        <v>20</v>
      </c>
      <c r="E993" s="2" t="s">
        <v>21</v>
      </c>
      <c r="F993" s="2" t="s">
        <v>15</v>
      </c>
      <c r="G993" s="2" t="s">
        <v>2695</v>
      </c>
      <c r="H993" s="2" t="s">
        <v>95</v>
      </c>
      <c r="I993" s="2" t="str">
        <f>IFERROR(__xludf.DUMMYFUNCTION("GOOGLETRANSLATE(C993,""fr"",""en"")"),"Very good followed by the one who guided me, took her time to explain myself, knew what she said and answered my needs")</f>
        <v>Very good followed by the one who guided me, took her time to explain myself, knew what she said and answered my needs</v>
      </c>
    </row>
    <row r="994" ht="15.75" customHeight="1">
      <c r="A994" s="2">
        <v>4.0</v>
      </c>
      <c r="B994" s="2" t="s">
        <v>2696</v>
      </c>
      <c r="C994" s="2" t="s">
        <v>2697</v>
      </c>
      <c r="D994" s="2" t="s">
        <v>20</v>
      </c>
      <c r="E994" s="2" t="s">
        <v>21</v>
      </c>
      <c r="F994" s="2" t="s">
        <v>15</v>
      </c>
      <c r="G994" s="2" t="s">
        <v>2698</v>
      </c>
      <c r="H994" s="2" t="s">
        <v>58</v>
      </c>
      <c r="I994" s="2" t="str">
        <f>IFERROR(__xludf.DUMMYFUNCTION("GOOGLETRANSLATE(C994,""fr"",""en"")"),"I am very pleasantly satisfied with the telephone reception. I recommend this insurance. Thank you for your kindness and speed of the execution of the contract.")</f>
        <v>I am very pleasantly satisfied with the telephone reception. I recommend this insurance. Thank you for your kindness and speed of the execution of the contract.</v>
      </c>
    </row>
    <row r="995" ht="15.75" customHeight="1">
      <c r="A995" s="2">
        <v>4.0</v>
      </c>
      <c r="B995" s="2" t="s">
        <v>2699</v>
      </c>
      <c r="C995" s="2" t="s">
        <v>2700</v>
      </c>
      <c r="D995" s="2" t="s">
        <v>20</v>
      </c>
      <c r="E995" s="2" t="s">
        <v>21</v>
      </c>
      <c r="F995" s="2" t="s">
        <v>15</v>
      </c>
      <c r="G995" s="2" t="s">
        <v>2695</v>
      </c>
      <c r="H995" s="2" t="s">
        <v>95</v>
      </c>
      <c r="I995" s="2" t="str">
        <f>IFERROR(__xludf.DUMMYFUNCTION("GOOGLETRANSLATE(C995,""fr"",""en"")"),"Very professional and attentive interlocutor, I recommend the Insurance Olivier, interesting and competitive price especially when you have bonus ... ..")</f>
        <v>Very professional and attentive interlocutor, I recommend the Insurance Olivier, interesting and competitive price especially when you have bonus ... ..</v>
      </c>
    </row>
    <row r="996" ht="15.75" customHeight="1">
      <c r="A996" s="2">
        <v>1.0</v>
      </c>
      <c r="B996" s="2" t="s">
        <v>2701</v>
      </c>
      <c r="C996" s="2" t="s">
        <v>2702</v>
      </c>
      <c r="D996" s="2" t="s">
        <v>1561</v>
      </c>
      <c r="E996" s="2" t="s">
        <v>544</v>
      </c>
      <c r="F996" s="2" t="s">
        <v>15</v>
      </c>
      <c r="G996" s="2" t="s">
        <v>2703</v>
      </c>
      <c r="H996" s="2" t="s">
        <v>378</v>
      </c>
      <c r="I996" s="2" t="str">
        <f>IFERROR(__xludf.DUMMYFUNCTION("GOOGLETRANSLATE(C996,""fr"",""en"")"),"Liberal midwife, I have been on sick leave since 08/01/2020. I have been assured at Swisslife for 20 years. My provident compensation file is still not finalized and I have therefore been without income for almost 3 months. Exchanges with the compensation"&amp;" service are great anything (incomprehensible and contradictory emails, ditto for letters) the monthly payments linked to my pension contract continue to be deducted and my charges as well. I sent a payment notice to Swisslife, I received no response. My "&amp;"file goes to a lawyer at the end of the month. The lack of consideration of this insurer is unacceptable, my financial situation which has become difficult adding stress to the stress of the disease and the work stoppage. I know in advance that I will rec"&amp;"eive a ""courtesy"" response to this opinion and that the situation will not be released, however, the problem being linked to an inability of the services to be processed correctly the files.")</f>
        <v>Liberal midwife, I have been on sick leave since 08/01/2020. I have been assured at Swisslife for 20 years. My provident compensation file is still not finalized and I have therefore been without income for almost 3 months. Exchanges with the compensation service are great anything (incomprehensible and contradictory emails, ditto for letters) the monthly payments linked to my pension contract continue to be deducted and my charges as well. I sent a payment notice to Swisslife, I received no response. My file goes to a lawyer at the end of the month. The lack of consideration of this insurer is unacceptable, my financial situation which has become difficult adding stress to the stress of the disease and the work stoppage. I know in advance that I will receive a "courtesy" response to this opinion and that the situation will not be released, however, the problem being linked to an inability of the services to be processed correctly the files.</v>
      </c>
    </row>
    <row r="997" ht="15.75" customHeight="1">
      <c r="A997" s="2">
        <v>1.0</v>
      </c>
      <c r="B997" s="2" t="s">
        <v>2704</v>
      </c>
      <c r="C997" s="2" t="s">
        <v>2705</v>
      </c>
      <c r="D997" s="2" t="s">
        <v>106</v>
      </c>
      <c r="E997" s="2" t="s">
        <v>14</v>
      </c>
      <c r="F997" s="2" t="s">
        <v>15</v>
      </c>
      <c r="G997" s="2" t="s">
        <v>2706</v>
      </c>
      <c r="H997" s="2" t="s">
        <v>597</v>
      </c>
      <c r="I997" s="2" t="str">
        <f>IFERROR(__xludf.DUMMYFUNCTION("GOOGLETRANSLATE(C997,""fr"",""en"")"),"Flery away by running from the eyes recently I will be of my pocket of almost 350 to 400 £ of non -reimbursements between the excess fees which are entirely at your expense !!! and non -reimbursement supplements £ £ 15 per CI + £ 16 there the anesthesiolo"&amp;"gist 62.50 £ of my pocket etc etc I largues them and do not recommend them !! They promise you everything but do not cover anything")</f>
        <v>Flery away by running from the eyes recently I will be of my pocket of almost 350 to 400 £ of non -reimbursements between the excess fees which are entirely at your expense !!! and non -reimbursement supplements £ £ 15 per CI + £ 16 there the anesthesiologist 62.50 £ of my pocket etc etc I largues them and do not recommend them !! They promise you everything but do not cover anything</v>
      </c>
    </row>
    <row r="998" ht="15.75" customHeight="1">
      <c r="A998" s="2">
        <v>4.0</v>
      </c>
      <c r="B998" s="2" t="s">
        <v>2707</v>
      </c>
      <c r="C998" s="2" t="s">
        <v>2708</v>
      </c>
      <c r="D998" s="2" t="s">
        <v>20</v>
      </c>
      <c r="E998" s="2" t="s">
        <v>21</v>
      </c>
      <c r="F998" s="2" t="s">
        <v>15</v>
      </c>
      <c r="G998" s="2" t="s">
        <v>443</v>
      </c>
      <c r="H998" s="2" t="s">
        <v>48</v>
      </c>
      <c r="I998" s="2" t="str">
        <f>IFERROR(__xludf.DUMMYFUNCTION("GOOGLETRANSLATE(C998,""fr"",""en"")"),"I am satisfied with the services just difficulties to send the documents by email because I only work with my phone have a good day sorry for the inconvenience of sending emails")</f>
        <v>I am satisfied with the services just difficulties to send the documents by email because I only work with my phone have a good day sorry for the inconvenience of sending emails</v>
      </c>
    </row>
    <row r="999" ht="15.75" customHeight="1">
      <c r="A999" s="2">
        <v>1.0</v>
      </c>
      <c r="B999" s="2" t="s">
        <v>2709</v>
      </c>
      <c r="C999" s="2" t="s">
        <v>2710</v>
      </c>
      <c r="D999" s="2" t="s">
        <v>150</v>
      </c>
      <c r="E999" s="2" t="s">
        <v>21</v>
      </c>
      <c r="F999" s="2" t="s">
        <v>15</v>
      </c>
      <c r="G999" s="2" t="s">
        <v>2711</v>
      </c>
      <c r="H999" s="2" t="s">
        <v>152</v>
      </c>
      <c r="I999" s="2" t="str">
        <f>IFERROR(__xludf.DUMMYFUNCTION("GOOGLETRANSLATE(C999,""fr"",""en"")"),"Customer for 10 years, I have just declared a claim for the burglary of my car insured any risk. I learn that I will not be reimbursed the objects that I have been stolen. I am reimbursed as if I had simply paid glass breakfast insurance. I will save mone"&amp;"y by changing insurance.")</f>
        <v>Customer for 10 years, I have just declared a claim for the burglary of my car insured any risk. I learn that I will not be reimbursed the objects that I have been stolen. I am reimbursed as if I had simply paid glass breakfast insurance. I will save money by changing insurance.</v>
      </c>
    </row>
    <row r="1000" ht="15.75" customHeight="1">
      <c r="A1000" s="2">
        <v>1.0</v>
      </c>
      <c r="B1000" s="2" t="s">
        <v>2712</v>
      </c>
      <c r="C1000" s="2" t="s">
        <v>2713</v>
      </c>
      <c r="D1000" s="2" t="s">
        <v>32</v>
      </c>
      <c r="E1000" s="2" t="s">
        <v>21</v>
      </c>
      <c r="F1000" s="2" t="s">
        <v>15</v>
      </c>
      <c r="G1000" s="2" t="s">
        <v>2714</v>
      </c>
      <c r="H1000" s="2" t="s">
        <v>276</v>
      </c>
      <c r="I1000" s="2" t="str">
        <f>IFERROR(__xludf.DUMMYFUNCTION("GOOGLETRANSLATE(C1000,""fr"",""en"")"),"Third contract that I terminate with them, in fact the first year is not expensive but then the contributions rise quickly. The biggest problem at home is communication, obtuse operators and unable to make decisions, contenting themselves with repeating r"&amp;"eady -made sentences.
To be advised.")</f>
        <v>Third contract that I terminate with them, in fact the first year is not expensive but then the contributions rise quickly. The biggest problem at home is communication, obtuse operators and unable to make decisions, contenting themselves with repeating ready -made sentences.
To be advised.</v>
      </c>
    </row>
    <row r="1001" ht="15.75" customHeight="1">
      <c r="A1001" s="2">
        <v>3.0</v>
      </c>
      <c r="B1001" s="2" t="s">
        <v>2715</v>
      </c>
      <c r="C1001" s="2" t="s">
        <v>2716</v>
      </c>
      <c r="D1001" s="2" t="s">
        <v>325</v>
      </c>
      <c r="E1001" s="2" t="s">
        <v>283</v>
      </c>
      <c r="F1001" s="2" t="s">
        <v>15</v>
      </c>
      <c r="G1001" s="2" t="s">
        <v>2717</v>
      </c>
      <c r="H1001" s="2" t="s">
        <v>422</v>
      </c>
      <c r="I1001" s="2" t="str">
        <f>IFERROR(__xludf.DUMMYFUNCTION("GOOGLETRANSLATE(C1001,""fr"",""en"")"),"I liked this animal insurance, which even works overseas.")</f>
        <v>I liked this animal insurance, which even works overseas.</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2022-12-16T15:48:28Z</dcterms:created>
</cp:coreProperties>
</file>