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3FZIuxDIY+0Bj9+21LwBdS/i8wQ=="/>
    </ext>
  </extLst>
</workbook>
</file>

<file path=xl/sharedStrings.xml><?xml version="1.0" encoding="utf-8"?>
<sst xmlns="http://schemas.openxmlformats.org/spreadsheetml/2006/main" count="7011" uniqueCount="2743">
  <si>
    <t>note</t>
  </si>
  <si>
    <t>auteur</t>
  </si>
  <si>
    <t>avis</t>
  </si>
  <si>
    <t>assureur</t>
  </si>
  <si>
    <t>produit</t>
  </si>
  <si>
    <t>type</t>
  </si>
  <si>
    <t>date_publication</t>
  </si>
  <si>
    <t>date_exp</t>
  </si>
  <si>
    <t>avis_en</t>
  </si>
  <si>
    <t>avis_cor</t>
  </si>
  <si>
    <t>avis_cor_en</t>
  </si>
  <si>
    <t>alix-71285</t>
  </si>
  <si>
    <t>L'olivier Assurances vous fait un devis et vous annonce un tarif pour ensuite une fois avoir signé vous retrouver avec des augmentations et des frais de dossiers non annoncés et je précise aucun changement entre le devis et les documents fournis tout etait conforme. Y a juste une pratique de tarification et de couts cachés totalement honteuse ! je vois que d autres clients indiquent eux aussi avoir eu ce genre de pratique. Plus jamais je remets les pieds chez eux !</t>
  </si>
  <si>
    <t>L'olivier Assurance</t>
  </si>
  <si>
    <t>auto</t>
  </si>
  <si>
    <t>train</t>
  </si>
  <si>
    <t>14/02/2019</t>
  </si>
  <si>
    <t>01/02/2019</t>
  </si>
  <si>
    <t>mimi-53221</t>
  </si>
  <si>
    <t xml:space="preserve">axa a des gros gros soucis avec leur site!!!!!!! celà fait plusieurs semaines que ça disfonctionne ET qu'on nous promet que ça va se régler. On peu se demander si axa est fiable et si ils sont correct avec leur clients. On leur confie quand même notre argent..... Je pense que le PDG de cette société doit se faire assez de pactole sur ses clients pour financer et faire fonctionner correctement son site.
</t>
  </si>
  <si>
    <t>AXA</t>
  </si>
  <si>
    <t>vie</t>
  </si>
  <si>
    <t>13/03/2017</t>
  </si>
  <si>
    <t>01/03/2017</t>
  </si>
  <si>
    <t>chaise-129429</t>
  </si>
  <si>
    <t xml:space="preserve">Je suis satisfait du service 
le prix est intéressant 
Accueil chaleureux de la part des employés de l'olivier Assurance je pense le recommandé à mes amis </t>
  </si>
  <si>
    <t>25/08/2021</t>
  </si>
  <si>
    <t>01/08/2021</t>
  </si>
  <si>
    <t>kit-124951</t>
  </si>
  <si>
    <t>Inscription pénible... Ils perdent les documents, ou ne lisent pas les documents (complets) qu'on leur envoi, en disant qu'ils ne sont pas complets. Beaucoup d'incohérences au niveau du service client (un mail envoyé n'aurait pas été reçu mais 15j ils le retrouvent, tel document n'est pas complet mais quand ils le visualisent ils me disent qu'il est complet...). Ca fait 2 MOIS que j'attend ma carte de tiers payant. Aucun suivi par mail ou téléphone expliquant pourquoi le dossier est bloqué.</t>
  </si>
  <si>
    <t>Mercer</t>
  </si>
  <si>
    <t>sante</t>
  </si>
  <si>
    <t>27/07/2021</t>
  </si>
  <si>
    <t>01/07/2021</t>
  </si>
  <si>
    <t>gogotte-78139</t>
  </si>
  <si>
    <t>aucune reponse a ce jour apres 1 mois pour une demande d'un sinistre probleme electrique suite orage micro onde hs et suite 2 tuiles cassee petit degat des eaux d'apres artisans 300 euros de peinture je me pose des questions si la maison serrait detruis par un incendit !!!</t>
  </si>
  <si>
    <t>Direct Assurance</t>
  </si>
  <si>
    <t>habitation</t>
  </si>
  <si>
    <t>02/08/2019</t>
  </si>
  <si>
    <t>01/08/2019</t>
  </si>
  <si>
    <t>nelle-j-132556</t>
  </si>
  <si>
    <t>TRES SATISFAIT DE TOUS VOS SERVICES RAISON POUR LAQUELLE J'AI DECIDE DE REVENIR CHEZ VOUS.
AFIN DE POUVOIR CONTINUER A BENEFICIER DE VOTRE COUVERTURE DURANT TOUTE L'ANNEE;</t>
  </si>
  <si>
    <t>13/09/2021</t>
  </si>
  <si>
    <t>01/09/2021</t>
  </si>
  <si>
    <t>abdelhak-t-119097</t>
  </si>
  <si>
    <t xml:space="preserve">je suis satisfait du service, le prix me convient, l'accueil  téléphonique au top, juste voir les prix par rapport a chaque situation financière de chaque personne  </t>
  </si>
  <si>
    <t>24/06/2021</t>
  </si>
  <si>
    <t>01/06/2021</t>
  </si>
  <si>
    <t>pascal-c-128229</t>
  </si>
  <si>
    <t>J'espère avoir une réponse plus rapide que lorsque j'ai posé des question quant à la résiliation du contrat précédent. Il avait fallu 3 relance pour avoir une réponse.</t>
  </si>
  <si>
    <t>APRIL Moto</t>
  </si>
  <si>
    <t>moto</t>
  </si>
  <si>
    <t>16/08/2021</t>
  </si>
  <si>
    <t>gportails-81174</t>
  </si>
  <si>
    <t xml:space="preserve"> Assuré depuis des années, Seuls deux sinistres en 20 ans, première fois, petits sinistre, réactivité et remboursement conforme aux espérances. Puis second sinistre, cabinet d'expert absolument partial, qui fait tout pour ne pas rembourser selon le contrat prévu! Est-ce par manque de connaissance du contrat? par dédain? toujours est il qu'un cabinet d'expert peut faire perdre toute valeur et détérioré l'image d'une assurance. Remboursement non identique au produit initial malgré le contrat, tentative d'intimidation des interlocuteurs (service électro ménager DARTY partenaire) Je dois en arriver à mettre en place des contres expertises, une assistance juridique, des expert en dommage d'incendies pour faire valoir mes droits, 6 semaines dans une maison à peine habitable suite au sinistre, et une communication de la part de l'assurance désastreuse et totalement hors respect! On passe de victime à coupable.... Pacifica n'est plus ce qu'elle était, a fuir absolument.
Guillaume
</t>
  </si>
  <si>
    <t>Pacifica</t>
  </si>
  <si>
    <t>20/11/2019</t>
  </si>
  <si>
    <t>01/11/2019</t>
  </si>
  <si>
    <t>somya-66612</t>
  </si>
  <si>
    <t xml:space="preserve">Notre sinistre auto date depuis le mois de décembre 2017 et nous n’avons toujours pas été remboursés. Les interlocuteurs du service indemnisation d’eAllianz Auto ne connaissent pas leur métier, nous avons autant de discours différents que d’interlocuteurs et impossible de joindre la même personne pour le suivi du dossier; bien pratique quand on a appeler 30 fois pour arriver à être remboursés ! 
Et évidement, il y a toujours un prétexte pour bloquer l’avancement du dossier : un devis manquant, un retour de l’expert non reçu alors qu’envoyer plusieurs semaines plus tôt, un rib incorrect, une adresse postale invalide, une adresse email introuvable et j’en passe. Assureur à éviter impérativement si vous ne voulez pas devenir fou ! </t>
  </si>
  <si>
    <t>Allianz</t>
  </si>
  <si>
    <t>05/09/2018</t>
  </si>
  <si>
    <t>01/09/2018</t>
  </si>
  <si>
    <t>damy-p-131490</t>
  </si>
  <si>
    <t xml:space="preserve">Le site est très bien fait 
L'assistance téléphonique est qualitative malgré les coupures 
Très déçu de l'augmentation de 100 euros par rapport à l'estimation, car mon véhicule est 5 portes et non 3, j'ai du mal à imaginer la différence que cela peut faire </t>
  </si>
  <si>
    <t>06/09/2021</t>
  </si>
  <si>
    <t>lulu33000-68547</t>
  </si>
  <si>
    <t>soucrit un contrat pour mon conjoint a mon nom mais quand il a eu un accident impossible d'avoir un véhicule de prêt car pas le meme nom pacifica ne veut pas donné de dérogation au garage.</t>
  </si>
  <si>
    <t>12/11/2018</t>
  </si>
  <si>
    <t>01/11/2018</t>
  </si>
  <si>
    <t>anne-93820</t>
  </si>
  <si>
    <t>Je suis très satisfaite :
De la facilité de navigation 
De la simplicité du site
De la réponse que vous m’avez donné 
Du tarif que j’ai reçu par le biais de votre devis</t>
  </si>
  <si>
    <t>11/07/2020</t>
  </si>
  <si>
    <t>01/07/2020</t>
  </si>
  <si>
    <t>sylvie-d-129311</t>
  </si>
  <si>
    <t xml:space="preserve">Je suis très satisfaite, personne agréable et très polis au téléphone, qualité prix très satisfesant, service opérationnel et réactif................. </t>
  </si>
  <si>
    <t>AMV</t>
  </si>
  <si>
    <t>24/08/2021</t>
  </si>
  <si>
    <t>tophe-88613</t>
  </si>
  <si>
    <t xml:space="preserve">Bjr je suis très mécontent de la MAAF. Sociétaire depuis plus de 15 ans chez eux sans sinistre ou autre brisé glace. Ma femme voit notre voiture sur un parking abîmée et hop expert passe et dit que c est ma femme qui est rentrée dans la barrière,je lui dis que non, il me dit votre femme ne vous dit pas la vérité. Je lui répond que nous sommes des gens responsable et honnête contrairement à lui. En plus aucun intérêt de mentir car Je suis assuré tout risque 50% de bonus à vie et znplus lauréat 8% ( dont je pense bon conducteur). Nous disons la vérité mais ils veulent que je dise que sait ma femme il n est pas question de mentir en sachant que je suis en tout risques et à 50% de bonus à vie. Après plusieurs mails avec photos et..... Ils se repassent la patate. Je trouve très limite leurs procédures. Je pense que pour la MAAF nous sont qu un numéro. Je comprends que le confinement n aide pas à éclaircir cela, par contre je leurs ai envoyé mon beau frère et un ami bizarrement le dossier et le courrier est arrivé rapidement. Je trouve médiocre et pathétique l attitude de l assurance maaf. Que de belle parole merci et désolé d être aussi long mais je suis dégouté de cette assurance merci de votre retour </t>
  </si>
  <si>
    <t>MAAF</t>
  </si>
  <si>
    <t>01/04/2020</t>
  </si>
  <si>
    <t>isabel-m-112676</t>
  </si>
  <si>
    <t>Pour le moment je suis satisfaite mais comme je n'ai pas eu de sinistre je ne peux pas donner un avis détaillé à part que les seuls appels et devis que j'ai pu faire me convenaient !</t>
  </si>
  <si>
    <t>04/05/2021</t>
  </si>
  <si>
    <t>01/05/2021</t>
  </si>
  <si>
    <t>11534-75239</t>
  </si>
  <si>
    <t>J'ai eu un entretien ce jour avec "IRIS " et la réponse à ma question m'a été donnée</t>
  </si>
  <si>
    <t>Santiane</t>
  </si>
  <si>
    <t>19/04/2019</t>
  </si>
  <si>
    <t>01/04/2019</t>
  </si>
  <si>
    <t>tintin-92003</t>
  </si>
  <si>
    <t>Très bonne compagnie et toujours à l'écoute de ses clients. Toujours disponible pour répondre aux attentes. Réponse rapide aux demandes diverses</t>
  </si>
  <si>
    <t>Matmut</t>
  </si>
  <si>
    <t>23/06/2020</t>
  </si>
  <si>
    <t>01/06/2020</t>
  </si>
  <si>
    <t>derand-j-116930</t>
  </si>
  <si>
    <t>Je suis satisfait du prix et service proposer avec accès simple du site et bien expliquer ainsi super compréhensible sur le retard de l'envoi de mes document suite a un problème personnel merci.</t>
  </si>
  <si>
    <t>14/06/2021</t>
  </si>
  <si>
    <t>marie-laure-p-112860</t>
  </si>
  <si>
    <t>Très bien.
Rapport qualité / prix prestation est convenable
Prise en charge téléphonique rapide. Les personnes au bout du fil sont très courtoises et bienveillantes.
Rien à dire</t>
  </si>
  <si>
    <t>06/05/2021</t>
  </si>
  <si>
    <t>gianca-97461</t>
  </si>
  <si>
    <t>c est tres contraignant de ne plus avoir de bureau à TOULON  .Pourtant avec tous les fonctionnaires actifs et retraités  il serait souhaitable de rouvrir un bureau .Beaucoup de mes collégues ont migré vers l INTERRIALE ! CELà  fait que le traitement des dossiers est EXCESSIVEMENT  LONG .</t>
  </si>
  <si>
    <t>MGP</t>
  </si>
  <si>
    <t>16/09/2020</t>
  </si>
  <si>
    <t>01/09/2020</t>
  </si>
  <si>
    <t>maud-79416</t>
  </si>
  <si>
    <t>Mutuelle catastrophique! Service client payant et incompétent.. Jamais de réponses à mes questions, le service en question reviendra vers moi, soit pas de retours soit pas la réponse attendue.. Des remboursements incorrects.bref une horreur. Si vous pouvez, fuyez!!!!</t>
  </si>
  <si>
    <t>24/09/2019</t>
  </si>
  <si>
    <t>01/09/2019</t>
  </si>
  <si>
    <t>marion-s-134918</t>
  </si>
  <si>
    <t>SUPER L ASSURANCE VA M AIDEZ A ROULER TRANQUILLEMENT TOUT A ETAIS FAIT TRES VITE C EST SUPER ENCORE UNE FOIS JE RECOMMANDERAIS OLIVER ASSURANCE A DES PROCHES</t>
  </si>
  <si>
    <t>28/09/2021</t>
  </si>
  <si>
    <t>keno62-57553</t>
  </si>
  <si>
    <t>Assurance nul axa me reclam la somme de 102 euro sans que je suis assuré chez eux je ne leur meme pas envoyé de carte grise ni de relevé information a evité</t>
  </si>
  <si>
    <t>20/06/2018</t>
  </si>
  <si>
    <t>01/06/2018</t>
  </si>
  <si>
    <t>yvesb-75399</t>
  </si>
  <si>
    <t>Une assurance très chère en rapport aux services rendus. Aucun service quand vous en avez besoin.
Contrat à la limite du mensonge,on ne s'en aperçoit qu'au moment d'un remboursement ou d'une prise en charge de dommages.</t>
  </si>
  <si>
    <t>Generali</t>
  </si>
  <si>
    <t>prevoyance</t>
  </si>
  <si>
    <t>26/04/2019</t>
  </si>
  <si>
    <t>ismaa-118064</t>
  </si>
  <si>
    <t xml:space="preserve">Mon cas est à peu près le même ! Ayant déclaré un sinistre non responsable (refus de priorité) l'assurance traîne à faire la prise en charge étant donné que la personne adverse était AUSSI assuré GMF. Le garage m'appele, me dit que la prise en charge est effectué et que je peux enfin déposer mon véhicule pour les réparations (après 5 mois d'attente quand meme). 3 jours après, le garage me dit que finalement GMF a annulé la prise en charge et que pour sortir le véhicule je dois payer les réparations (1200€). J'appelle GMF pour leur demander explications, et c'est là qu'ils me disent que je n'ai aucune preuve qu'ils ait appelé le garage pour accepter la prise en charge. Je me retrouve donc sans véhicule car bloqué au garage depuis + d'un mois. Sinistre qui dure depuis 6mois alors merci GMF !!! De plus, ils me contactent pour me dire qu'une enquête a été ouverte car ils trouve bizarre les circonstances de mon sinistre.. </t>
  </si>
  <si>
    <t>GMF</t>
  </si>
  <si>
    <t>tripax59-86265</t>
  </si>
  <si>
    <t>Super contact avec le commercial Romu pour ma street, professionnel tarif et conditions au top 
Je recommande</t>
  </si>
  <si>
    <t>Assur Bon Plan</t>
  </si>
  <si>
    <t>23/01/2020</t>
  </si>
  <si>
    <t>01/01/2020</t>
  </si>
  <si>
    <t>roose-l-113439</t>
  </si>
  <si>
    <t xml:space="preserve">Le service clientèle est au top ! On a su me guider pour le choix de l'assurance, le choix des garanties. J'ai apprécié qu'on ne me fasse pas payer le plus fort tarif
</t>
  </si>
  <si>
    <t>11/05/2021</t>
  </si>
  <si>
    <t>marin-49695</t>
  </si>
  <si>
    <t xml:space="preserve">Faites très attention à quelle assurance vous confiez votre avenir car il faut avoir conscience qu'en cas de grave accident tout peut changer pour vous et une assurance est censée adoucir cela et vous accompagner dans cette épreuve difficile et pour y avoir été confronté la Matmut n'est pas de confiance Elle attend simplement vos cotisations sans contrepartie
Faites très attention à quelle assurance vous confiez votre avenir, car il faut avoir conscience qu'en cas de grave accident tout peut changer pour vous et une assurance est censée adoucir cela et vous accompagner dans cette épreuve difficile et pour y avoir été confronté la Matmut n'est pas de confiance. Elle attend simplement vos cotisations sans contrepartie. Et je tiens pour preuve que même la médiation de la Matmut n'a pas tenue à intervenir dans ce dossier après ma demande. </t>
  </si>
  <si>
    <t>29/11/2016</t>
  </si>
  <si>
    <t>01/11/2016</t>
  </si>
  <si>
    <t>percival-93188</t>
  </si>
  <si>
    <t>Après un sinistre survenu le 16/03 enfin une offre d'indemnisation le 24/06 (au rabais bien entendu) injoignable, zéro écoute, voir incompétence notoire. Quand j'ai sollicité un geste commerciale NON</t>
  </si>
  <si>
    <t>05/07/2020</t>
  </si>
  <si>
    <t>nelly-b-137890</t>
  </si>
  <si>
    <t>Bonjour l'offre a l'air très bien et adaptée en particulier les médecines douces et les bonus qui s'obtiennent après des années de fidélité.
Je jugerais efficacité des remboursements au fur et à mesure.</t>
  </si>
  <si>
    <t>APRIL</t>
  </si>
  <si>
    <t>20/10/2021</t>
  </si>
  <si>
    <t>01/10/2021</t>
  </si>
  <si>
    <t>iseran-101595</t>
  </si>
  <si>
    <t xml:space="preserve">L'Olivier Assurance est une très bonne assurance tant que vous n'avez pas de problème. Le service commercial fonctionne bien, vos règlements sont bien réceptionnés, et L'Olivier Assurance fait de la publicité à la télévision pour assurer sa croissance.
Assuré au tiers depuis plus d'un an, j'ai été victime d'un accident non responsable il y a quelques mois.  Le véhicule en tort est resté sur place et le conducteur a pris la fuite ne laissant aucun doute à la police qui s'est rendu sur place sur la matérialité des faits.
Le véhicule responsable étant assuré et non volé, la police me confirme qu'il n'y a pas un délit de fuite et que le tiers responsable est donc bien identifié.  Malgré ces circonstances L'Olivier Assurance me dit simplement qu'en l'absence de réponse de la part de l'assurance adverse le dossier sera classé sans suite.  Trop facile !  Les 3000€ de réparation seraient donc à ma charge.  Même l'agent de police qui a rédigé la déclaration de main courante me suggère de changer d'assurance compte tenu de cette gestion de mon sinistre, car il n'a jamais vu une situation pareille.
Pensez-y avant de vous engager avec L'Olivier Assurance.  Le service commercial est attractif mais le service en cas de sinistre est déplorable.   Suite à la déclaration de sinistre, à chaque fois que j'appelle pour prendre des nouvelles sur la suite du dossier, j'ai des personnes au téléphone qui me donnent des informations toujours légèrement différentes voire contradictoires. Un conseiller de L'Olivier Assurance me dit qu'en cas d'absence de réponse de la part de la compagnie adverse après 2 mois, ma version des faits s'imposerait par défaut et l'assurance adverse serait contrainte de payer les dégâts causés par le véhicule responsable.  À l'issue des 2 mois je reçois un courrier de L'Olivier Assurance me disant qu'en l'absence de réponse de l'assurance adverse mon dossier serait classé sans suite ! exactement l'inverse.  Tout est fait pour vous compliquer la vie, vous faire perdre votre temps et vous décourager de faire valoir vos droits.  
J'espère que L'Olivier Assurance saura prendre ses responsabilités et honorer ses engagements de compagnie d'assurance.
</t>
  </si>
  <si>
    <t>21/01/2021</t>
  </si>
  <si>
    <t>01/01/2021</t>
  </si>
  <si>
    <t>floma-65904</t>
  </si>
  <si>
    <t>Pour mon assurance Habitation resilue apres une vente pacifica me fourni un document incomplet qui ne reflete pas les noms fournis au contrat et transmet une piece comptable imprecise,non détaillée  et non valide .</t>
  </si>
  <si>
    <t>31/07/2018</t>
  </si>
  <si>
    <t>01/07/2018</t>
  </si>
  <si>
    <t>franck-t-123242</t>
  </si>
  <si>
    <t>je suis client à la GMF depuis 36 ans et je n'ai jamais eu de souci pour quoique ce soit
même si ce n'est pas très simple d'aller sur le site car j'ai peu de démarches à faire</t>
  </si>
  <si>
    <t>12/07/2021</t>
  </si>
  <si>
    <t>jeje55210-77883</t>
  </si>
  <si>
    <t xml:space="preserve">Jamais la meme personne au téléphone 
les constats sont interpretés au bon vouloir de la personne qui les lis (selon leur dire) même s'ils rendent responsable une personne alors qu'elle n'y est pas tout ça pour ne pas perdre leur franchise. 
</t>
  </si>
  <si>
    <t>24/07/2019</t>
  </si>
  <si>
    <t>01/07/2019</t>
  </si>
  <si>
    <t>basila-j-115408</t>
  </si>
  <si>
    <t>Satisfait les prix sont tout à fait abordables et la souscription de mon contrat d'assurance a  été d'une simplicité et très rapide en plus d'être facile en ligne.</t>
  </si>
  <si>
    <t>31/05/2021</t>
  </si>
  <si>
    <t>xavtm-67922</t>
  </si>
  <si>
    <t>Aprés 30 ans d'aasurance à la GMF avec contrat, habitation, voitures( 2) ,juridique, bonus max depuis plus de 15 ans, une simple collision la GMF me déclare responsable, ce malgré le constat bien rempli. Puis après explication avec la responsable du service sinistre, on reconnait suite à la relecture du constat, ma non responsabilité. Donc je dois être remboursé de mes dégats, et là surprise la gmf refuse de me rembourser. A savoir, le tiers était aussi assuré à la GMF, mais son autos était une épave, donc dédommagement nul et moi la mienne valeur argus plus de 10000 euros, chercher l'erreur.</t>
  </si>
  <si>
    <t>20/10/2018</t>
  </si>
  <si>
    <t>01/10/2018</t>
  </si>
  <si>
    <t>akif-b-107165</t>
  </si>
  <si>
    <t>JE SUIS NSATISFAIT DU PRIX j'attend de découvrir la qualité du service j'étais déjà clients et je regrette d'être partis j'espert ne pas regretter d'etre revenus</t>
  </si>
  <si>
    <t>19/03/2021</t>
  </si>
  <si>
    <t>01/03/2021</t>
  </si>
  <si>
    <t>victime--107459</t>
  </si>
  <si>
    <t xml:space="preserve">Cette assurance a pour méthode de ne donner aucun signe de vie.notre voiture est immobilisée depuis 4 mois car le garage qu'elle nous a imposé lors du sinistre a fait des réparations non conformes (confirmé par expertise) et maintenant ils ne répondent à aucun des mails une dizaine envoyés et absolument aucune réponse :c est une assurance fantôme </t>
  </si>
  <si>
    <t>22/03/2021</t>
  </si>
  <si>
    <t>aquaoli-99959</t>
  </si>
  <si>
    <t>Après 3 accidents NON RESPONSABLE en moins de 3 ans. On vous remercie gentiment de prendre la porte. 
J'ai donc suivi ce conseil et ne regrette pas d'avoir été viré par ces ....( choisissez l'adjectif de mépris qui vous conviendra)
Bien cordialement</t>
  </si>
  <si>
    <t>10/11/2020</t>
  </si>
  <si>
    <t>01/11/2020</t>
  </si>
  <si>
    <t>lavergne-g-138446</t>
  </si>
  <si>
    <t xml:space="preserve">Accueil téléphonique très agréable de très bonne explications je suis satisfait des conditions du contrat qui m’a été proposé concernant mes trois véhicules </t>
  </si>
  <si>
    <t>28/10/2021</t>
  </si>
  <si>
    <t>prb-60074</t>
  </si>
  <si>
    <t>Contrat "signé" avec une femme de 102 ans en signatures illisibles sans document "avant contrat" qui prouve l'intention d'engagement de cette femme sourde et aveugle....1 an avant son décès.
Sur assurance à un prix hors normes</t>
  </si>
  <si>
    <t>01/01/2018</t>
  </si>
  <si>
    <t>chanthanouvong-j-125644</t>
  </si>
  <si>
    <t>Bonjour,
Ayant fait plusieurs devis dans certaines assurances et aies reçu beaucoup de réponses négatives pour un jeune conducteur. L’olivier assurance a su subvenir à mes besoins, je recommande cette assurance pour l’instant. A voir à l’avenir.</t>
  </si>
  <si>
    <t>30/07/2021</t>
  </si>
  <si>
    <t>hugon-l-115059</t>
  </si>
  <si>
    <t>Service souscription basé dans le nord trsè agréable et professionnel. Decu que la signature électronique ne soit pas smart responsive sur smartphone et que jai du me connecter à mon ordi pro pour aller au bout de la démarche de signature électronique. J aurai préféré un acteur français du marché comme Maileva via Docapost plutôtqu'une société américaine dont la solution ne permet opas un parcours client fluide et surtout n heberge pas nos donnees aux etats unis.</t>
  </si>
  <si>
    <t>27/05/2021</t>
  </si>
  <si>
    <t>jean-luc-b-126362</t>
  </si>
  <si>
    <t xml:space="preserve">La prestation proposée et le tarif me conviennent parfaitement. 
L'accueil téléphonique est agréable et chaleureux 
La réactivité est bonne, devis reçu rapidement. </t>
  </si>
  <si>
    <t>04/08/2021</t>
  </si>
  <si>
    <t>clement-l-108538</t>
  </si>
  <si>
    <t xml:space="preserve">les prix sont abordables et très attractifs 
le site Direct Assurance es très simple, rapide et efficace.                                                             
 </t>
  </si>
  <si>
    <t>30/03/2021</t>
  </si>
  <si>
    <t>sofhian-n-125278</t>
  </si>
  <si>
    <t>Je suis satisfait de mon interlocutrice qui est disponible et patiente 
Merci a Zineb !
Le dossier a bien était suivi correctement et elle a répondu à toute mes demande !</t>
  </si>
  <si>
    <t>Zen'Up</t>
  </si>
  <si>
    <t>credit</t>
  </si>
  <si>
    <t>28/07/2021</t>
  </si>
  <si>
    <t>jean-75990</t>
  </si>
  <si>
    <t>je suis globalement satisfait des services proposés  par santiane
les explications sont claires et les gens disponibles  et a l'ecoute</t>
  </si>
  <si>
    <t>16/05/2019</t>
  </si>
  <si>
    <t>01/05/2019</t>
  </si>
  <si>
    <t>alessandro--g-134145</t>
  </si>
  <si>
    <t>Super Facile à faire pas cher une très bonne maison
Super Facile à faire pas cher une très bonne maison
Super Facile à faire pas cher une très bonne maison</t>
  </si>
  <si>
    <t>23/09/2021</t>
  </si>
  <si>
    <t>odb-63361</t>
  </si>
  <si>
    <t>rien de spécial... assurance correcte au niveau des tarifs. En télétransmission depuis  quelques mois
cela évite les courriers. Garanties satisfaisantes et adaptées.rien de spécial... assurance correcte au niveau des tarifs. En télétransmission depuis  quelques mois
cela évite les courriers. Garanties satisfaisantes et adaptées.</t>
  </si>
  <si>
    <t>Néoliane Santé</t>
  </si>
  <si>
    <t>18/04/2018</t>
  </si>
  <si>
    <t>01/04/2018</t>
  </si>
  <si>
    <t>catherine-f-124647</t>
  </si>
  <si>
    <t xml:space="preserve">Prix intéressant
Conseiller à l'écoute et renseigne parfaitement bien 
Concernant la qualité de services c'est la première fois que je me connecte.
A suivre 
</t>
  </si>
  <si>
    <t>25/07/2021</t>
  </si>
  <si>
    <t>stephane-j-105136</t>
  </si>
  <si>
    <t xml:space="preserve">Je suis au regret de signaler que malgré un recommandé envoyé et des mails envoyés, je suis toujours dans l attente de résiliation de mon contrat habitation. J'ai actuellement un contrat auto chez direct et je vais changer car quand il faut arrêter un contrat , c est impossible alors que pour souscrire, tout est rapide.... Je suis vraiment déçu par ces inactions . </t>
  </si>
  <si>
    <t>02/03/2021</t>
  </si>
  <si>
    <t>naolem-54164</t>
  </si>
  <si>
    <t>Délai de remboursement trop long - ne répond pas au mail - difficile de joindre le service - prix attractif en mutuelle d entreprise sauf si conjoint n a pas sa propre mutuelle et là le prix grimpe</t>
  </si>
  <si>
    <t>19/04/2017</t>
  </si>
  <si>
    <t>01/04/2017</t>
  </si>
  <si>
    <t>christophe-a-132183</t>
  </si>
  <si>
    <t>Bonjour,je suis satisfait de votre proposition.je vous remercie par avance de confirmer mon adhésion ainsi que la résiliation de mon contrat auprès de mon assureur.cordialement</t>
  </si>
  <si>
    <t>10/09/2021</t>
  </si>
  <si>
    <t>harmo-111577</t>
  </si>
  <si>
    <t xml:space="preserve">Depuis mon inscription chez AMV, je suis très satisfait. Envois de mon assurance annuel toujours a temps et compléter avec le support. Je ne suis pas harceler par de la pub ou par des demandes pour ceci pour cela. C'est très agréable d'avoir un assureur qui ne soit pas constamment a essayer de vous grignoter. Je recommande AMV j'en suis satisfait.   </t>
  </si>
  <si>
    <t>25/04/2021</t>
  </si>
  <si>
    <t>01/04/2021</t>
  </si>
  <si>
    <t>aude-c-127055</t>
  </si>
  <si>
    <t>Bonjour, 
les tarifs sont très intéressants le site est simple pas besoin de bcp de document la souscription fut rapide en ligne pour un dimanche. Par contre je vais devoir les recontacter pour une ou deux questions.</t>
  </si>
  <si>
    <t>08/08/2021</t>
  </si>
  <si>
    <t>rachid-b-128120</t>
  </si>
  <si>
    <t>BONJOUR 
Oui je suis dans l’ensemble satisfait ,sauf quand une personne à plusieurs contrat y a pas trop de ristourne sachant que si je conduit la moto je ne suis pas sur mon auto et vis et vers sa .
merci cordialement .</t>
  </si>
  <si>
    <t>pescalune-63941</t>
  </si>
  <si>
    <t>mutuelle imposee par mon employeur et assez chère vu les remboursements.
j'ai envoyé 7 messages sans réponse.
j'attends qu'ils me rembourse 1230€ depuis le 8 mars. j'ai eu leur accord de devis pour des frais pour un bridge dentaire et maintenant ils font la sourde oreilles.
ce sont des incompétents.
c est scandaleux</t>
  </si>
  <si>
    <t>Génération</t>
  </si>
  <si>
    <t>12/05/2018</t>
  </si>
  <si>
    <t>01/05/2018</t>
  </si>
  <si>
    <t>alexjbd-121602</t>
  </si>
  <si>
    <t>Assez déçu de cette assurance. Au départ c'est formidable, rapide, peu cher, en ligne. Rien à dire. On a eu deux sinistres en 2019 qui n'étaient pas de notre faute. Hyper compliqué de gérer ces sinistres, pas de contact tel direct, des échanges par email sans fin. Et dans la foulée notre cotisation 2020 a triplé, passant de 400 à 1200 euros. C'est une assurance low cost... et low service aussi.</t>
  </si>
  <si>
    <t>30/06/2021</t>
  </si>
  <si>
    <t>k-rote-97837</t>
  </si>
  <si>
    <t>J'ai dû plusieurs fois contacter Pacifica, j'ai toujours été bien reçu, ils sont réactifs et arrangeants. Je n'ai pas toujours été remboursé de sinistres (tablette tactile neuve cassée, denrées du congélateur perdues à cause de l'orage......) dernièrement j'arrive chez moi, baies vitrées double vitrages cassées, je suppose par un ballon ou projection pierre, toujours est il qu'ils m'ont avancé l'argent pour les réparations. c'est mon ami qui à réparé avec un copain.
je recommande cette assurance</t>
  </si>
  <si>
    <t>25/09/2020</t>
  </si>
  <si>
    <t>redgo-135043</t>
  </si>
  <si>
    <t>Je suis sincèrement désolée pour le désagrément occasionné par mon conte Banque et eu des soucis avec les impôts part une tierce personne qui à fait mauvaise déclaration du coup me trouver dans l'impossibilité de vous payer cordialement Régis Munoz</t>
  </si>
  <si>
    <t>29/09/2021</t>
  </si>
  <si>
    <t>sylvain-55220</t>
  </si>
  <si>
    <t>A FUIR ! Ca ne vaut rien, les garanties sont 0, le prix élevé et en plus de ça pour te fourguer la cam on te promet monts et merveilles, et au final c'est le client qui se fait insulter par le responsable du service client ..... ou va le monde ???? NE SOUSCRIVEZ SURTOUT SOUS AUCUN PRETEXTE !!!</t>
  </si>
  <si>
    <t>Eca Assurances</t>
  </si>
  <si>
    <t>animaux</t>
  </si>
  <si>
    <t>08/06/2017</t>
  </si>
  <si>
    <t>01/06/2017</t>
  </si>
  <si>
    <t>damien-p-134305</t>
  </si>
  <si>
    <t>Prix compétitif  et abordable. 
En espérant que le service corresponde bien à la compétitivité de leurs prix. Le pack sérénité est plus élevé en terme de cout que dans une autre compagnie.</t>
  </si>
  <si>
    <t>24/09/2021</t>
  </si>
  <si>
    <t>cozette-c-129831</t>
  </si>
  <si>
    <t xml:space="preserve"> Serieux rien a dire .Dommage que l on est pas une reduction ou autre chose pour le 2eme contrat chez vous .On verra pour mettre nos enfants qui passé le permis après</t>
  </si>
  <si>
    <t>27/08/2021</t>
  </si>
  <si>
    <t>amed-138395</t>
  </si>
  <si>
    <t>Nul chez le nul c'est assurance même pas là volonté de faire quelque chose sans que tu demandes ( remboursement. Carte mutuelle)
Tu leur contact partir de ton espace personnel personnes ne répond tu fais deux ans pour recevoir Un remboursement et Un carte mutuelle à chaque fois tu est obligé de demander même si ils savent déjà je vous le déconseille vraiment !</t>
  </si>
  <si>
    <t>Cegema Assurances</t>
  </si>
  <si>
    <t>27/10/2021</t>
  </si>
  <si>
    <t>gucek-f-139261</t>
  </si>
  <si>
    <t>Augmentation du tarif uniquement parce que le véhicule n'a pas été assuré de suite (en sachant que c'était le week-end) c'est vraiment moyen 
Sinon simple et pratique</t>
  </si>
  <si>
    <t>09/11/2021</t>
  </si>
  <si>
    <t>01/11/2021</t>
  </si>
  <si>
    <t>badey-n-117431</t>
  </si>
  <si>
    <t>Rapide, efficace, le moins cher, je recommande vivement L'Olivier Assurance. Tout se fait en ligne, c'est très facile et très rapide. En espérant que tout se passe bien pour la suite.</t>
  </si>
  <si>
    <t>17/06/2021</t>
  </si>
  <si>
    <t>gilles-88034</t>
  </si>
  <si>
    <t>en attente de remboursement depuis 2 mois !!! inadmissible service client inoopérationnel service adhérent ne fonctionne même plus N d'adhérent :
369075</t>
  </si>
  <si>
    <t>06/03/2020</t>
  </si>
  <si>
    <t>01/03/2020</t>
  </si>
  <si>
    <t>emmanuel--c-132012</t>
  </si>
  <si>
    <t xml:space="preserve">Je suis satisfait du prix proposé .
Et de la rapidité pour faire le devis.
Je recommanderais direct assurance à mais proche..
Je ferais également un devis pour une assurance habitation ultérieurement 
</t>
  </si>
  <si>
    <t>09/09/2021</t>
  </si>
  <si>
    <t>lauraleen-c-126726</t>
  </si>
  <si>
    <t>Je suis satisfaite des services proposés ainsi que des prix fixés. 
La création du compte client est fluide via le site internet, ainsi que la rapidité d’envoie de documents.</t>
  </si>
  <si>
    <t>05/08/2021</t>
  </si>
  <si>
    <t>lala26-49910</t>
  </si>
  <si>
    <t>Insatisfaction totale. Cliente sous le numéro 181912, je suis depuis novembre en attente du remboursement des 315 euros qu'il me doivent. Ces dernier me dise toujours qu'ils vont faire le nécessaire nous sommes le 5 décembre et j'ai toujours rien reçu. 
On ne peut à aucun moment leur faire confiance. A fuir de tout URGENCE</t>
  </si>
  <si>
    <t>Active Assurances</t>
  </si>
  <si>
    <t>05/12/2016</t>
  </si>
  <si>
    <t>01/12/2016</t>
  </si>
  <si>
    <t>arnaud-f-117220</t>
  </si>
  <si>
    <t xml:space="preserve">Je suis très satisfait des tarifs et de la rapidité des services zen up.
Je recommande.
A voir sur la durée mais pour l'instant les échanges et conseils sont au rdv.
</t>
  </si>
  <si>
    <t>16/06/2021</t>
  </si>
  <si>
    <t>valerie-k-127280</t>
  </si>
  <si>
    <t>Le prix est satisfaisant et conforme à mes attentes.
Les garanties souscrites correspondent à mon souhait.
La facilité de souscription a été également un facteur essentiel pour contracter avec Direct Assurances.</t>
  </si>
  <si>
    <t>09/08/2021</t>
  </si>
  <si>
    <t>mdbs-48384</t>
  </si>
  <si>
    <t>Une véritable honte de traiter vos clients de près de 10ans d'ancienneté comme vous le faites. C'est ignoble lamentable honteux ! Non seulement des incapables en gestion mais en plus à l'origine de préjudices de plusieurs centaines d'euros. Un problème qu'on vous dit avoir solutionné il y a deux ans passé et qu'on vous renvoie en pleine face en vous accusant et en vous mettant sur la paille avec des prélèvements abusifs ! Plus d'un mois et demi après ce nouveau litige et toujours pas de solution !!!!!</t>
  </si>
  <si>
    <t>17/02/2020</t>
  </si>
  <si>
    <t>01/02/2020</t>
  </si>
  <si>
    <t>magourou-s-121782</t>
  </si>
  <si>
    <t>Mauvaise expérience avec la 1ère commerciale mais cela a été rattrapé grâce à l'intervention de son assistante et d'une 2è commerciale très professionnelle en prenant le temps de m'expliquer.</t>
  </si>
  <si>
    <t>Carac</t>
  </si>
  <si>
    <t>22/07/2021</t>
  </si>
  <si>
    <t>cleclerctdm-89671</t>
  </si>
  <si>
    <t>A fuir....
Emploi perdu en novembre 2019
Aucune indemnisation avant septembre 2020
10 ans de cotisations et indemnisation "potentiellement" 11 mois après la perte d emploi....
Mais c est inscrit dans 1 des paragraphes des 50 pages du contrat....
Scandaleux  !!!! 
Je vais faire en sorte que les "clients" soient informé</t>
  </si>
  <si>
    <t>Cardif</t>
  </si>
  <si>
    <t>15/05/2020</t>
  </si>
  <si>
    <t>01/05/2020</t>
  </si>
  <si>
    <t>gregory--130870</t>
  </si>
  <si>
    <t xml:space="preserve">Une très bonne mutuelle à l’écoute de ses assurés. Une attente très courte pour avoir un conseiller au téléphone. Des conseillers très agréables qui savent très bien nous renseigner </t>
  </si>
  <si>
    <t>02/09/2021</t>
  </si>
  <si>
    <t>moi-76450</t>
  </si>
  <si>
    <t xml:space="preserve">Cela va faire deux mois que nous sommes sans voiture, la cause étant un début d'incendie que l'assurance n'a pas pris en charge et ce malgré nos 20 ans de clientèle à la maaf. L'assurance nous a fait perdre un temps fou, déjà l'expert a mis du temps pour faire son expertise (plus d'une semaine), pour enfin faire une expertise à un prix exorbitant, l'assurance refusant de prendre en charge l'incendie pour diverses raisons d'une part l'incendie ne serait pas criminel ou n'aurait pas propagé dans l'ensemble du véhicule ou la voiture a plus de 10 ans, alors que nous avons bien souscrit à l'option vol et incendie (sans aucune prévention lors de l'inscription), même les frais de gardiennage ils n'étaient pas capable de les prendre en charge .
Client depuis plus de 20 ans avec plusieurs protections (habitat, scolarité, garde d'enfant) avec aucun incident jusqu'à présent ni même retard de paiement, nous avons toujours été fidèles, nous avons jamais cédé aux tentatives des concurrents à nous rapprocher avec des tarifs plus intéressant, mais malheureusement nous avons placé notre entière confiance en vous, jusqu'à ce malheureux jour où on a eu cet incident, dans un premier temps on nous a promis de tout prendre en charge mais finalement ce n'était pas ça, de plus lorsque nous avons voulu contesté on a eu une personne désagréable nous criait dessus, elle a même osé dire que notre option vol incendie ne servirait à rien car le véhicule est très âgé.
Nous réfléchissons fortement à quitter la maaf après cette mésaventure dans un premier temps  car ça ne sert à rien de continuer à payer si derrière il n'y a aucun retour ni protection.   
</t>
  </si>
  <si>
    <t>03/06/2019</t>
  </si>
  <si>
    <t>01/06/2019</t>
  </si>
  <si>
    <t>marc-c-127916</t>
  </si>
  <si>
    <t>service operationnel et rapide. prix interressants. agents a l ecoute et proffessionnels.reponses rapides et claires.
propositions d assurances interressantes</t>
  </si>
  <si>
    <t>13/08/2021</t>
  </si>
  <si>
    <t>roger-p-104147</t>
  </si>
  <si>
    <t>Le pris nous convient , le traitement est simple et les prestations sont attractives.
zen'UP  reste compétitif par rapport à la concurrence et bravo.
Merci et a bientôt</t>
  </si>
  <si>
    <t>14/02/2021</t>
  </si>
  <si>
    <t>01/02/2021</t>
  </si>
  <si>
    <t>cottaz-c-113245</t>
  </si>
  <si>
    <t xml:space="preserve">Simple et pratique. Le personnel est très cordial et accueillant. Documents vite envoyés.
De bonnes explications. Je conseille L'Olivier. Parrainage intéressant.
</t>
  </si>
  <si>
    <t>10/05/2021</t>
  </si>
  <si>
    <t>les3c-57354</t>
  </si>
  <si>
    <t xml:space="preserve">Accueil agréable - conseillers professionnels et très avenants </t>
  </si>
  <si>
    <t>07/07/2020</t>
  </si>
  <si>
    <t>emmanuel-t-111840</t>
  </si>
  <si>
    <t>Parfait, ce sont des interlocuteurs professionnels avec qui vous vous sentez en confiance. Des conseils qui permettent également de ne pas aller trop vite en prenant de mauvaises décisions. En clair des assureurs responsables. merci</t>
  </si>
  <si>
    <t>27/04/2021</t>
  </si>
  <si>
    <t>moulino3774-116174</t>
  </si>
  <si>
    <t>J'ai souhaité résilier l'assurance selon le décret L112-9 du codes des assurances pour le délai de rétractation de 14j .Mes demandes me sont systématiquement refusées par mail sans écrit par AR avec à chaque fois des réponses incohérentes et contradictoires. je vais être obliger de saisir une voie juridique et autres associations de consommateurs pour résoudre ce problème alors que je ne souhaite que respecter la loi et cette société</t>
  </si>
  <si>
    <t>07/06/2021</t>
  </si>
  <si>
    <t>torras-j-116507</t>
  </si>
  <si>
    <t>Quel accueil au téléphone ! Quel service et professionnalisme ! Un plaisir d'être avec vous :) (Je ne sais pas qui j'ai eu au téléphone mais vous êtes absolument merveilleuse)</t>
  </si>
  <si>
    <t>09/06/2021</t>
  </si>
  <si>
    <t>logan-r-129487</t>
  </si>
  <si>
    <t>Simple rapide et efficace très professionnel je recommande vivement Direct Assurance je n'ai jamais rencontré de problème avec cette assurance j'en suis pleinement satisfait</t>
  </si>
  <si>
    <t>benji-75487</t>
  </si>
  <si>
    <t xml:space="preserve">mon épouse a été mise en invalidité par la sécurité sociale au 01.08.2018 en catégorie 2.elle ne peux plus exercer une activité salarié
elle a été convoque par le médecin expert le 25.02.2019.a ce jour mon épouse n'a  pas le courrier de refus.
elle a appris la décision par téléphone.
je signale que nous avons souscrit a une assurance emprunteur dans cette compagnie pour un premier dossier pendant 10 ans.
comme tous c'est bien passer pas de problème de santé ni pour mon épouse ni pour moi. 
c'est a première fois que nous fessons une demande a sogecap. </t>
  </si>
  <si>
    <t>Sogecap</t>
  </si>
  <si>
    <t>29/04/2019</t>
  </si>
  <si>
    <t>etienne44-52797</t>
  </si>
  <si>
    <t>difficulté après changement de mutuelle pour résilier, service client désagréable, informations difficiles à obtenir et je n'ai pas tout noté. quand il faut s'inscrire et payer pas de problème, cela semble même sérieux, mais à l'usage, changement de contrat, de mutuelle ou remboursement ne soyez pas presser...</t>
  </si>
  <si>
    <t>27/02/2017</t>
  </si>
  <si>
    <t>01/02/2017</t>
  </si>
  <si>
    <t>boudouma-m-133330</t>
  </si>
  <si>
    <t xml:space="preserve">Salut   je viend de fenovler  mon contrat dassurance Je suis satisfait de votre prix  merci bouceaup  je vais informer des amis a moi pour s'abonner avec vous  merci </t>
  </si>
  <si>
    <t>17/09/2021</t>
  </si>
  <si>
    <t>troquier-k-117786</t>
  </si>
  <si>
    <t xml:space="preserve">Je recommande l Olivier.
Rapidité, efficacité et toujours bien conseillé. L accueil est à coup sûr chaleureux. 2 e année chez vous je ne suis pas déçue </t>
  </si>
  <si>
    <t>21/06/2021</t>
  </si>
  <si>
    <t>alain-96373</t>
  </si>
  <si>
    <t xml:space="preserve">Bonjour 
Dossier Nr D46747628
Un souci de fuite d‘eau sur une canalisation , le dossier a été ouvert. Début juillet 2020 au 15 août la fuite n‘est toujours pas réparé, le crédit mutuel est une banque pas un assureur le service est incompétent à trouver une solution j‘ai dû moi-même trouver une entreprise et laisser faire un devis qui a ce jour n‘est toujours pas validé je cite pas assez détaillé!!!
Je n‘un que un seul conseil a donner fuyez aller chez un assureur qui a pignon sur rue 
Cordialement 
Alain Hagmann </t>
  </si>
  <si>
    <t>Crédit Mutuel</t>
  </si>
  <si>
    <t>17/08/2020</t>
  </si>
  <si>
    <t>01/08/2020</t>
  </si>
  <si>
    <t>nous-54650</t>
  </si>
  <si>
    <t>Bonjour, j'hésite encore à souscrire une assurance mutuelle chez NEOLIANE, quelqu'un à t'il des commentaires à faire au sujet de cette assurance.
Avec mes remerciements pour vos futures réponse.</t>
  </si>
  <si>
    <t>12/05/2017</t>
  </si>
  <si>
    <t>01/05/2017</t>
  </si>
  <si>
    <t>jaber-n-122540</t>
  </si>
  <si>
    <t xml:space="preserve">Prix intéressant, démarche transparente et conseiller au top ! 
Signature à distance facile et pratique démarches auprès de mon ancienne assurance réalisé </t>
  </si>
  <si>
    <t>06/07/2021</t>
  </si>
  <si>
    <t>ninorici-69261</t>
  </si>
  <si>
    <t>Bonsoir, on m a pris 250 euro pour un Pdf assurance provisoire un moi, et plus de carte verte. Malgres plusieurs echanges en appelant 08 ni remboursement ni carte verte.   Je vais lancer une procedures car ce n est pas la premiere fois apres avoir  consulter mon historique d il y a 2 and.</t>
  </si>
  <si>
    <t>09/12/2018</t>
  </si>
  <si>
    <t>01/12/2018</t>
  </si>
  <si>
    <t>zenzen-56031</t>
  </si>
  <si>
    <t xml:space="preserve">Étant jeune conducteur, je me retrouve dans une impasse où seul les assurances sur  internet sont disponible à des tarifs correct. Néanmoins, dans les documents demandées, le permis ! Oui oui j'envoie le permis probatoire, sachant que le définitif je ne le recevrai que d'ici 3mois après avoir demandé la confirmation à la préfecture..... Et active assurance demande d'envoyer le définitif que je n'ai pas bien entendu et me prévienne que mon contrat sera pas valider si je n'envoie pas ce document.... En gros je viens de payer la cotisation, ils m'ont envoyé l'assurance provisoire, mais ne vont pas m'envoyer ma vignette verte... Super..... Comprenez que si je suis jeune conducteur, je ne peux pas savoir quand est ce que je pourrai recevoir mon permis définitif..... Cela change aussi de la situation géographique..... </t>
  </si>
  <si>
    <t>15/07/2017</t>
  </si>
  <si>
    <t>01/07/2017</t>
  </si>
  <si>
    <t>tof-85857</t>
  </si>
  <si>
    <t xml:space="preserve">Gwendal  a répondu  à  rapidement à mes questions   cet réponse  on été très clair   et satifesance  et esplication  clair  et précis   jai été bien informé  et dirigeril et poli au téléphone  et agréable </t>
  </si>
  <si>
    <t>13/01/2020</t>
  </si>
  <si>
    <t>ariane-j-114944</t>
  </si>
  <si>
    <t>SATISFAITE DES SERVICES RENDUES
TROP D ATTENTE LORS DE LA VISITE EN BUREAU
MALGRÉ LE FAITE DE PRENDRE RENDEZ VOUS
HÔTESSE TRÈS ACCUEILLANTES
LOCAUX TRÈS AGRÉABLES</t>
  </si>
  <si>
    <t>26/05/2021</t>
  </si>
  <si>
    <t>mira-76841</t>
  </si>
  <si>
    <t>Conseillère super agréable , efficacité et rapidité au questions . Problème résolus , merci ERIKA</t>
  </si>
  <si>
    <t>17/06/2019</t>
  </si>
  <si>
    <t>benhamana-s-116828</t>
  </si>
  <si>
    <t>RAVIE D AVOIR DECOUVERT L OLIVIER ASSURANCE QUE JE NE CONNAISSAIS PAS. ENFIN UNE ASSURANCE QUI N ASSASSINE PAS SES CLIENTS CONSIDERES COMME JEUNES CONDUCTEURS MALGRE PLUSIEURS ANNEES D ASSURANCE MAIS QUI POUR DES RAISONS PROFESSIONNELLES ONT DU QUITTER LE TERRITOIRE PENDANT PLUSIEURS ANNEES. MERCI</t>
  </si>
  <si>
    <t>12/06/2021</t>
  </si>
  <si>
    <t>danifi-81975</t>
  </si>
  <si>
    <t>Les voitures de mes 2 filles ont subi la grêle le 16 Juin 2019! Depuis des courriers et des messages que nous adressons à la matmut mais c'est silence radio .... !! 6 mois d'attente pour les 2 véhicules ! De plus l'une de mes filles en plus de la grêle a eu une rayure sur sa carosserie, cela fait plus de 30 ans que nous sommes assurés à la matmut aucun geste commercial sur l'une des 2 franchises. Nous ne demandons pas l'aumône mais juste un petit geste commercial pour une franchise au titre de ma fidélité et celle de toute ma famille (au total 10 membres). 
Je suis plus que déçue, en colère, bref la fidélité ne paye pas ! Il est certainement temps de voir ailleurs d'autres compagnies plus compréhensives, plus réactives et plus humaines. Et je n'hésiterai pas ma famille à en faire autant.
Je ne m'attend à aucune réponse de votre part comme tous mes autres courriers et messages !</t>
  </si>
  <si>
    <t>16/12/2019</t>
  </si>
  <si>
    <t>01/12/2019</t>
  </si>
  <si>
    <t>gaetan-r-133500</t>
  </si>
  <si>
    <t>Comptent de pouvoir trouver cette assurance a se prix la surtout en ligne. Reste à voir si il seront à l'écoute quand j'aurai besoin de question sur mon contrat.</t>
  </si>
  <si>
    <t>19/09/2021</t>
  </si>
  <si>
    <t>olivierpar-105157</t>
  </si>
  <si>
    <t>J'ai du changer d'assureur, ne pouvant joindre AssurOnline un samedi, lors de l'achat de ma nouvelle moto. Pas de réponse au mail de résiliation, et juste une confirmation après envoi d'un recommandé. JE SUIS TOUJOURS DANS L'ATTENTE DU RELEVÉ D'INFORMATION.
Courtier pas sérieux, je ne recommande pas du tout.
Facile pour souscrire, grosse galère pour résiliation : à fuir !</t>
  </si>
  <si>
    <t>AssurOnline</t>
  </si>
  <si>
    <t>arthur-67057</t>
  </si>
  <si>
    <t>2 accidents avec 0 % de responsabilité : Assurance résiliée. S'il ne vous arrive rien vous pouvez compter sur cet assureur, sinon...</t>
  </si>
  <si>
    <t>24/09/2018</t>
  </si>
  <si>
    <t>fuireapril-61679</t>
  </si>
  <si>
    <t xml:space="preserve">A fuir. Service client incompétent. Aucun respect du secret médical. </t>
  </si>
  <si>
    <t>23/02/2018</t>
  </si>
  <si>
    <t>01/02/2018</t>
  </si>
  <si>
    <t>guils-76119</t>
  </si>
  <si>
    <t>Démarchage agressif impoli coupe la parole incompréhensible buté
Je souhaitais des renseignements je me suis retrouvée titulaire d'un contrat à mes dépens (signature électronique)</t>
  </si>
  <si>
    <t>21/05/2019</t>
  </si>
  <si>
    <t>je-m-en-souvient-plus-111330</t>
  </si>
  <si>
    <t xml:space="preserve">Hormis le tarif qui m a intéressé, j ai apprécié la facilité et la rapidité pour obtenir un contrat moto. J espère que cela continuera de la sorte longtemps </t>
  </si>
  <si>
    <t>22/04/2021</t>
  </si>
  <si>
    <t>guillaume-s-108403</t>
  </si>
  <si>
    <t>On verra ce que cela va donner au moment ou un accident interviendra. Les prix paraissent intéressant mais les franchises sont élevées et prendre une option pour avoir le bris de glace compris alors qu'on souscrit à une formule tout risque me parait exagéré.</t>
  </si>
  <si>
    <t>29/03/2021</t>
  </si>
  <si>
    <t>chaouch-n-134955</t>
  </si>
  <si>
    <t xml:space="preserve">je suis satisfait prix et rapide cet tre pratique la signature de contrat aussi pratique je suis chef entreprise et déjà je 3 voiture assure chez l’olivier assurance  </t>
  </si>
  <si>
    <t>elsa-108200</t>
  </si>
  <si>
    <t>Je change dès que possible de compagnie d'assurance, après une réclamation effectuée auprès de la MAIF suite à un sinistre on m'indique m'avoir demandé des devis en 2016 ce qui n'a jamais été le cas !! (Pourquoi n'aurais-je pas fourni les devis demandés ?) La MAIF m'a toujours répondu qu'elle ne prendrait rien en charge à l'époque m'orientant vers une procédure judiciaire à l'encontre de tiers.
En décembre 2020 un conseiller me dit enfin que la MAIF va faire un geste pour une prise en charge et me demande d'adresser des devis. Puis je reçois un courrier négatif. Aucune considération humaine ni respect des contrats et engagements je suis écoeurée.</t>
  </si>
  <si>
    <t>MAIF</t>
  </si>
  <si>
    <t>27/03/2021</t>
  </si>
  <si>
    <t>zigoui1er-94809</t>
  </si>
  <si>
    <t>Relations clients plus que mauvaise...téléphone: 51mn d'attente et personne..... Demande de prise en charge effectuée avec beaucoup de difficulté par mon opticienne il y a 3 semaines et tjs pas de réponse......Suis très très très en colère.</t>
  </si>
  <si>
    <t>22/07/2020</t>
  </si>
  <si>
    <t>gautier-p-109998</t>
  </si>
  <si>
    <t>Je suis satisfait du prix et des services proposés par l'assurance. La souscription a été très facile et surtout très rapide. Je la conseillerais à mes proches</t>
  </si>
  <si>
    <t>11/04/2021</t>
  </si>
  <si>
    <t>debe62-110349</t>
  </si>
  <si>
    <t>toujours heureux d être dans cette assurance tarif remboursement rien a dire 
toujours la quand j ai besoin d eux 
tarif correct pour être bien assurer</t>
  </si>
  <si>
    <t>14/04/2021</t>
  </si>
  <si>
    <t>julien-b-122990</t>
  </si>
  <si>
    <t xml:space="preserve">Je suis satisfait du service mais je ne suis pas encore au stade de la mise en place alors le questionnaire est un peu tot pour le moment.  Les prix me conviennent </t>
  </si>
  <si>
    <t>09/07/2021</t>
  </si>
  <si>
    <t>sandra-62716</t>
  </si>
  <si>
    <t>Ne comptez pas sur eux. Tous les prétextes sont bons pour ne pas prendre en compte un sinistre. Notamment responsabilité civile pour mon cas. Entre ascendants et descendants ça ne marche pas chez eux. J aurai dû mentir et dire qu il s agissait d amis. N ayant pas le même nom ils n auraient pas su.
L honnêteté chez eux ne paie pas. 
Un autre exemple : sinistre fait  par mon chien chez qqun pendant que nous étions partis nous promener. Réponse de la Macif: j aurais dû l attacher dans la maison!!!!!
Donc faites très attention à qui vous invitez chez vous, évitez la famille . Tenez vos chiens voire vos enfants en laisse!!!! Vous aurez peut-être une chance d être couverts pr la Macif.
Je déconseille haut et fort cette assurance qui se revendique pas chère. On sait pourquoi......</t>
  </si>
  <si>
    <t>MACIF</t>
  </si>
  <si>
    <t>27/03/2018</t>
  </si>
  <si>
    <t>01/03/2018</t>
  </si>
  <si>
    <t>nico-58398</t>
  </si>
  <si>
    <t xml:space="preserve">Un assureur aux abonnés absents!
 J'ai contacté mon agent car j'ai été augmenté de 45%. il ne sait  pas pourquoi  Il me dit de me rapprocher du service client axa qui me renvoie à mon agent... et inversement 
Facebook axa me renvoie aussi vers mon agent
Mon agent me conseille de faire alors un mail à l'inspecteur d'axa qui ne répond pas non plus! 
Aujourd'hui réponse vous avez eu la grêle l'an dernier (mais il m'avait déjà augmenté de 7% l'an dernier) et un bris de glace 
J'oublie de dire que j'ai 50% de bonus depuis 19 ans
Une assurance à fuir Mes enfants sont aussi assuré AXA ils vont partir et je vais faire aussi de la publicité dans mon village sur les services et les prix  AXA L'agent à son bureau dans ce village.
</t>
  </si>
  <si>
    <t>26/10/2017</t>
  </si>
  <si>
    <t>01/10/2017</t>
  </si>
  <si>
    <t>marmotte76-94852</t>
  </si>
  <si>
    <t>C'est mon sentiment aussi. Mutuelle à fuir !! Très longs à répondre.... quand on a la réponse. J'attends toujours d'avoir des codes d'accès à mon espace clients qui fonctionnent... Je résilie aussi dès que possible...</t>
  </si>
  <si>
    <t>quentin-p-124125</t>
  </si>
  <si>
    <t>Je ne peux pas me prononcer sur le service puisque je n'ai jamais eu besoin de mon assurance. Cependant j'avais déjà un compte April Moto mais que le site ne reconnaît pas en faisant un nouveau devis.</t>
  </si>
  <si>
    <t>21/07/2021</t>
  </si>
  <si>
    <t>tevaite-s-134683</t>
  </si>
  <si>
    <t xml:space="preserve">Simple et rapide.
Tarif variant car j’avais effectué un premier devis puis sans faire exprès j’ai géré ma fenêtre et j’ai dû refaire un autre devis, mais le tarif avait changé alors que mes infos non, mais toujours les moins chers. </t>
  </si>
  <si>
    <t>27/09/2021</t>
  </si>
  <si>
    <t>benjamin-s-107360</t>
  </si>
  <si>
    <t>Le traitement réservé ces derniers jours suite au sinistre bris de glace n'est pas à la hauteur. L'opérateur a tout fait pour nous forcer à faire les réparations chez Carglass alors qu'il existait des solutions moins coûteuses et pour Direct Assurances, et pour nous en terme de franchise</t>
  </si>
  <si>
    <t>21/03/2021</t>
  </si>
  <si>
    <t>mehmet-d-133283</t>
  </si>
  <si>
    <t xml:space="preserve">Tarif très bien j’ai déjà été client chez direct assurance très bonne assurance je conseille à tous mes approches et j’ai déjà parrainer au moins  personnes
</t>
  </si>
  <si>
    <t>loo-104718</t>
  </si>
  <si>
    <t>C'est bien je trouve un peu chère par rapport à ma situation financière mais les remboursements sont rapides. Le service client téléphonique est impeccable et n'est pas payant, c'est un plus.</t>
  </si>
  <si>
    <t>24/02/2021</t>
  </si>
  <si>
    <t>delesalle-a-138756</t>
  </si>
  <si>
    <t>je suis satisfait du service, aimable et a disposition, les prix sont correcte, ainsi que les option, un service clientèle a l'écoute et cherchant des solutions</t>
  </si>
  <si>
    <t>02/11/2021</t>
  </si>
  <si>
    <t>gitton-l-123997</t>
  </si>
  <si>
    <t xml:space="preserve">Je suis satisfait du contrat proposé pour assurer ce véhicule , je pensais être plus en difficulté afin de trouver une assurance ne proposant pas un prix démesuré </t>
  </si>
  <si>
    <t>20/07/2021</t>
  </si>
  <si>
    <t>cheznouslili-56679</t>
  </si>
  <si>
    <t xml:space="preserve">jamais mis en service cette mutuelle car ma mutuelle actuelle m oblige a rester 6 mois pour une histoire d année civile </t>
  </si>
  <si>
    <t>15/08/2017</t>
  </si>
  <si>
    <t>01/08/2017</t>
  </si>
  <si>
    <t>oumar-t-125715</t>
  </si>
  <si>
    <t xml:space="preserve">Je suis satisfaite des services proposés, des tarifs qui est très abordable … un conseiller qui est disponible en cas de besoin, bien pratique et qui répond à toutes tes questions en cas de doute ou autre. </t>
  </si>
  <si>
    <t>10-assurances-et---136554</t>
  </si>
  <si>
    <t>Très facile à souscrire et à payer!
Pour le relevé d'information, celui fourni par l'ex-assureur ne se limite qu'aux 5 dernières années et ne mentionne 050 depuis 3 ans et + (même si cela remonte  à bien au delà)
Lorsque vous indiquez 12 ans et + (le max parmi les choix proposés quand vous êtes à 50% depuis +de 30 ans), on vous accuse presque de fausse déclaration.
Les emails reçus sont no reply. Autant s'adresser à un robot!
J'ose espérer que le contact est plus humain en cas de problème...</t>
  </si>
  <si>
    <t>08/10/2021</t>
  </si>
  <si>
    <t>sublim59-59394</t>
  </si>
  <si>
    <t>Victime d'un dégât des eaux dans mon appartement, j'ai décidé d'appeler le service hygiène de la ville où je réside qui est passé à 2 reprises et j'ai établi en parallèle un constat avec l'accord de mon propriétaire et sa signature que j'ai envoyé à la Maïf qui m'a demandé de joindre à ce constat des photographies ainsi que les mesures exactes de dégâts. Et malgré ça, alors que je sois assurée, la Maïf refuse de prendre en charge ce sinistre dont je suis victime. Je dois constamment me justifier auprès d'eux notamment en envoyant des photos, les rapports des services d'hygiènes.. etc. Ils remettent en question cette infiltration alors que c'est indiqué noir sur blanc sur le courrier que l'inspecteur a rédigé et que j'ai envoyé. Je trouve ça scandaleux et honteux!! Je leur ai dit de m'envoyer un expert pour constater les dommages mais ils refusent pour minimiser les coûts de la prise en charge. C'est à moi de faire ça abject!</t>
  </si>
  <si>
    <t>05/12/2017</t>
  </si>
  <si>
    <t>01/12/2017</t>
  </si>
  <si>
    <t>alexia1990-74985</t>
  </si>
  <si>
    <t xml:space="preserve">La rapidité des remboursements
Rien d'autres à signaler </t>
  </si>
  <si>
    <t>11/04/2019</t>
  </si>
  <si>
    <t>berger-m-110162</t>
  </si>
  <si>
    <t>Je ne peux pas me prononcer quant à cette assurance à la quelle je viens de souscrire, néanmoins les tarifs et les garanties sont nettement plus intéressantes que chez tous ses concurrents.</t>
  </si>
  <si>
    <t>12/04/2021</t>
  </si>
  <si>
    <t>avatar-62339</t>
  </si>
  <si>
    <t>Sinistre déclarer en octobre 2017 à ce jour mars 2018 le sinistre la tjrs pas était traité. Service sinistre sur Aix en Provence pas efficace, pas professionnel . On me raccroche au nez , on a plusieurs interlocuteurs qui se renvoie la balle. J'ai déclarer un sinistre non responsable je paie actuellement  une assurance auto à tout risque. Très déçu de la prise en charge "aucune". C'est le premier sinistre déclarer en 40 ans de permis .</t>
  </si>
  <si>
    <t>14/03/2018</t>
  </si>
  <si>
    <t>leti3-58498</t>
  </si>
  <si>
    <t>Bonjour
en aout 2016 , j'ai eu un accident (non responsable) de voiture. J'avais déclaré dans l'heure cet accident, cependant pendant 10 jours je n'avais eu aucune nouvelle de la MAIF; Au bout de 10 jours , j'avais appelé et on m'avait répondu qu'ils n'avaient pas eu le temps de traiter ma demande .... J'avais bien évidemment manifesté mon mécontentement à cette occasion. Début d'année, je reçois un appel d'un monsieur très hautain, qui d'entrée de jeu me fait la morale parce que je m'étais permise de protester... je lui signifie mon souhait de ne pas échanger plus longtemps avec lui puisqu'il est dès le départ très désagréable.
Ce matin je reçois un courrier avec AR, comme quoi MAIF résilie tous mes contrats suite "altération commerciale".
Donc voilà.... la MAIF me résilie tous mes contrats car j'ai manifesté mon mécontentement (je suis restée polie évidemment), c'est pas beau ça?
Des années que j'ai des contrats chez eux, jamais un accident responsable, mais voilà... je n'ai pas accepté qu'on me dise que j'étais vilaine....
Je n'attends plus rien, je vais évidemment cherché une autre assurance prête à accepter les 1000€ annuels que je lui laisse, et je paierai... comme une nouille... sans jamais rien dire...
je vous invite si telle est également votre histoire, à prendre contact avec des associations de consommateurs, et si vous en avez la possibilité , avec un avocat.
Leti</t>
  </si>
  <si>
    <t>31/10/2017</t>
  </si>
  <si>
    <t>amdy-99339</t>
  </si>
  <si>
    <t>Très bon rapport qualité prix avec une équipe très courtoise, L’olivier assurance assure vraiment, je recommande fortement. J’ai recommandé L’olivier assurance a tous mes proches. ????</t>
  </si>
  <si>
    <t>28/10/2020</t>
  </si>
  <si>
    <t>01/10/2020</t>
  </si>
  <si>
    <t>sabiro-a-109198</t>
  </si>
  <si>
    <t xml:space="preserve">merci de votre réactivité pour une assurance sur internet cela est vraiment du rapide et le prix est correct
je n’hésiterai pas à conseiller cette assurance </t>
  </si>
  <si>
    <t>05/04/2021</t>
  </si>
  <si>
    <t>fred-68065</t>
  </si>
  <si>
    <t>Cliente depuis plus de 15 ans à la MAIF (n'ayant jamais déclarée de sinistre), je me vois obligé de résilier mon contrat, après une demande de devis suite à un déménagement.
En effet, sans changement particulier, (juste le fait de déménager et sans m'avoir demandé plus d'informations sur le nouveau logement), je passe de 198.62 euros à près de 400 euros.
Et là, je viens de me faire incendier par un conseiller parce que je demandais des explications sur le remboursement qu'ils devraient m'effectuer, soit deux mois.
Il M'INFORME que tout compte fait, la résiliation de mon contrat ne sera pas prise en compte à la fin de ce mois-ci mais au mieux à la fin du mois prochain car sa collègue a été TROP SYMPATHIQUE de résilier sans justificatif. Donc que je ne serais plus remboursée du trop-perçu de 2 mois et que si je voulais faire résilier mon contrat qu'il fallait que je fournisse mon état des lieux de sortie. Tant que cela ne sera pas fait, pas de résiliation et qu'il m'était fin à la conversation.
Après une telle preuve de fidélité, sans déclaration de sinistre, sans aucun souci, je suis outrée de voir comment sont traitées les personnes qui résilient, les futurs "ex-sociétaires"</t>
  </si>
  <si>
    <t>25/10/2018</t>
  </si>
  <si>
    <t>anatole-g-108558</t>
  </si>
  <si>
    <t xml:space="preserve">Je suis satisfait du service proposé j ai été appelé directement les prix sont abordables sauf pour les premiers mois qui doubles de 43 a 89 je trouve que c est trop </t>
  </si>
  <si>
    <t>holla-t-117688</t>
  </si>
  <si>
    <t>Je suis satisfait du service! 
La personne que j'ai eu au telephone était très agréable.
Les prix sont raisonnables. 
Je vous remercie. A bientôt ! 
Timothée</t>
  </si>
  <si>
    <t>izza-64564</t>
  </si>
  <si>
    <t>A fuir!!! Le 7 janvier 2018, ma voiture (Golf cabriolet Volkswagen) a été vandalisée (Capotte éventrée une nuit où il pleuvait des trombes d'eau...). Mon contrat Pacifica prend en charge les réparations mais malgré mes nombreuses relances, aucune réparation n'a été faite à ce jour (5mois plus tard soit 150 jours au cours desquels la pluviométrie bat des records!!!) et Pacifica n'a proposé aucune solution pour éviter les dégradations suite au sinistre (moquette toujours mouillée et qui moisit, connectiques de la ventilation et des vitres touchés). La gestion du dossier est déplorable. C'est à moi de relancer le garagiste, l'expert et bien sur Pacifica. Lamentable!</t>
  </si>
  <si>
    <t>07/06/2018</t>
  </si>
  <si>
    <t>wanderer07-79755</t>
  </si>
  <si>
    <t>mutuelle dont le prix grimpe très vite.Finalement très onéreuse pour les garanties proposées. Et quand lors de la souscription l'on vous vante la flexibilité du changement des garanties ,c'est du pipeau. Résultat,je paie pour rien tous les mois depuis 17 mois. J'ai envoyé le formulaire de résiliation en espérant ne pas me heurter à leur mauvaise foi...</t>
  </si>
  <si>
    <t>05/10/2019</t>
  </si>
  <si>
    <t>01/10/2019</t>
  </si>
  <si>
    <t>bourgeois-c-139562</t>
  </si>
  <si>
    <t>Je suis satisfait et le prix me convient parfaitement.
La réactivité et le service fut très efficace.
Je recommande l'Olivier Assurance a tous les autres clients.</t>
  </si>
  <si>
    <t>13/11/2021</t>
  </si>
  <si>
    <t>maryline-e-129524</t>
  </si>
  <si>
    <t>Je suis satisfaite du service. Le service en ligne est extremement rapide, les questions sont clairs. Je peux avoir en instantané mon assurance et partir avec le véhicule acheté. Au top merci</t>
  </si>
  <si>
    <t>26/08/2021</t>
  </si>
  <si>
    <t>dan741-55911</t>
  </si>
  <si>
    <t>J'ai appelé pour la resiliation de l'assurance habitation, j'ai été reçue par une personne qui m'a parlé sur un ton innaproprié en me disant qu'on pouvait pas resilier "comme ça", j'ai eu l'impression d'etre un éleve qui reçoit une punition. Totalement innaceptable</t>
  </si>
  <si>
    <t>10/07/2017</t>
  </si>
  <si>
    <t>fabor-76611</t>
  </si>
  <si>
    <t>Assurée tous risques, suite à un sinistre en octobre 2019, je n'en sors pas. Impossible d'avoir un statut sur mon dossier pendant plusieurs mois. J'ai relancé très régulièrement : on me balade, jamais le même contact, aucune réponse, "je me renseigne", "pas de retour de l'expert", etc, personne ne m'a jamais rappelée... L'expert a bien su se dédouaner tout de suite en m'envoyant un courrier et m'empêcher d'utiliser mon véhicule si je ne le répare pas. On en est au 3eme expert et tout est encore bloqué depuis février dernier chez l'assureur... Aujourd'hui je veux résilier mon assurance. Mon véhicule est immobilisé depuis des mois, pas de mon fait. J'entends que ma cotisation 2018-2019 me soit remboursée.</t>
  </si>
  <si>
    <t>09/06/2019</t>
  </si>
  <si>
    <t>abdou-b-129490</t>
  </si>
  <si>
    <t xml:space="preserve">Je suis satisfait de vos services avec un prix raisonnable; accessible par tous
 MERCI! Je recommande à mes amis de faire leur souscription chez AMV.
</t>
  </si>
  <si>
    <t>asberna-53913</t>
  </si>
  <si>
    <t>Un grand n’importe quoi. 7 personnes concernées par une asv cardif. 7 dossiers identiques avec paiement des droits par Cardif sur le capital versé. 3 touchent leur capital en moins de 15 jours après dépôt de leur dossier et sans aucun justificatif fiscal à fournir, 3 autres se voient dans l’obligation de fournir ce justificatif pour pouvoir toucher le capital. Etant mandataire je suis le seul  destinataire de ce justificatif et le fisc ne n’a rien adressé et je n’ai rien adressé à Cardif. Conseillés incapable de fournir des informations cohérente se réfugiant derrière » je n’ai pas le droit de vous le dire »</t>
  </si>
  <si>
    <t>06/04/2017</t>
  </si>
  <si>
    <t>ppo-100391</t>
  </si>
  <si>
    <t>2 sinistres non responsable et 1 bris  de glace la même année (Pas de chance!). Résultat, j’ai été viré de mon assurance auto, et après pour retrouver une autre assurance après avoir été viré =grosse galère + coût énorme !!!! Raison=client à risques....
Pourtant plus de 10 ans chez eux à 50% bonus sans sinistres.
Degueulasse !!!</t>
  </si>
  <si>
    <t>20/11/2020</t>
  </si>
  <si>
    <t>jean-marc--c-131662</t>
  </si>
  <si>
    <t xml:space="preserve">Prix intéressant 
Bon accueil 
Disponibilité sur le site et au téléphone 
Reste à voir le jour d un accident que je ne souhaite pas si le service sera aussi prompt à réagir </t>
  </si>
  <si>
    <t>07/09/2021</t>
  </si>
  <si>
    <t>paulette-m-124503</t>
  </si>
  <si>
    <t>les tarifs sont interessants et concurrentiels. On trouve des tarifs similaires avec des garanties légèrement inferieures. Reste a voir dans le temps, lors de sinistres que je ne souhaite pas avoir.</t>
  </si>
  <si>
    <t>24/07/2021</t>
  </si>
  <si>
    <t>raminagrobis49-27295</t>
  </si>
  <si>
    <t xml:space="preserve">rapidité de réponse efficacité des collaborateurs, écoute, pas de blabla inutiles tout est concis  </t>
  </si>
  <si>
    <t>02/03/2018</t>
  </si>
  <si>
    <t>octobrerose-80994</t>
  </si>
  <si>
    <t>Refus total quand vous avez besoin d'être assuré après un cancer du sein qui n'a pas encore le nombre d'années requis pour le droit à l'oubli.  N'hésitez pas à faire appel à un courtier spécialisé et ne pas attendre la réponse de cardif avant d'agir. bon courage, le combat est dur pour les femmes de l'Octobre rose.</t>
  </si>
  <si>
    <t>14/11/2019</t>
  </si>
  <si>
    <t>ali-k-106022</t>
  </si>
  <si>
    <t>les prix sont corrects mais le sgaranties ne spont pas a la hauteur des economie realisées cette année de covid revoyer vos garanties a la lhausse et baisser les cotisations</t>
  </si>
  <si>
    <t>09/03/2021</t>
  </si>
  <si>
    <t>muriel-m-105531</t>
  </si>
  <si>
    <t>Aucun souci depuis le début de mon adhésion ; grande disponibilité et amabilité des conseillers en cas de souci ; prix vraiment attractifs pour des services équivalent à autre compagnie</t>
  </si>
  <si>
    <t>05/03/2021</t>
  </si>
  <si>
    <t>clothilde-b-126556</t>
  </si>
  <si>
    <t xml:space="preserve">Bonne garantie, parfait niveau prix rien à dire de plus merci beaucoup en espérant que tout ce passe bien lors de sinistre chez vous a très vite merci </t>
  </si>
  <si>
    <t>geko-49321</t>
  </si>
  <si>
    <t xml:space="preserve">Le Service clients est difficilement joignable par téléphone . les tarifs sont intéressants mais pas non plus extraordinaires.Pas de réels avantages une fois qu on est client chez eux. Site Web peu pratique et pas moderne. </t>
  </si>
  <si>
    <t>17/11/2016</t>
  </si>
  <si>
    <t>elodie64-78524</t>
  </si>
  <si>
    <t xml:space="preserve">Je Déconseille AXA.
A mon compte depuis 2012, je suis en arrêt maladie pour des gros problèmes de santé depuis mars 2019.
Malgré une expertise médicale, à leur demande concluant à la justification de mon arrêt de travail, je ne perçoit à ce jour aucune indemnité journalière.
Ils font trainer le dossier depuis 5 mois demandant à peu près tous les mois de nouveaux documents, pour retarder au maximum le paiement.
Résulta : je suis depuis 5 mois sans revenus !!! Qui peut survivre comme ça??
C'est lamentable.
Et c'est visiblement une habitude chez AXA.
Je regrette bien d'avoir choisi cet assureur...
</t>
  </si>
  <si>
    <t>19/08/2019</t>
  </si>
  <si>
    <t>duriez-l-111136</t>
  </si>
  <si>
    <t>Le meilleur rapport qualité/prix du marché.
Pour les jeunes conducteur comme les moins jeune.
Souscrit pour un nouveau véhicule pour jeune conducteur, je vais basculer tous mes contrats chez l'olivier assurance pour sûr.</t>
  </si>
  <si>
    <t>21/04/2021</t>
  </si>
  <si>
    <t>mv-123591</t>
  </si>
  <si>
    <t>3 mois sans aucune réponse pour liquider un contrat d'assurance vie.
aucun respect des délais, du client et du code des assurances.
injoignables, cachés derrière internet.
à éviter absolument</t>
  </si>
  <si>
    <t>16/07/2021</t>
  </si>
  <si>
    <t>gothye12359-64973</t>
  </si>
  <si>
    <t xml:space="preserve">Notre véhicule a été volé devant notre domicile le 21 avril 2018 (9 Semaines), sur le trottoir.Aucun bris glace constaté. Les 2 clefs n'ont pas été volé et l'assurance tarde à nous payé (25000 suivant facture d'achat car véhicule ressent acheté il y a moins de 1 an)
Nous avons remis dans les temps l'ensemble des documents permettant à l'assurance de nous éditer une proposition d’indemnisation.Nous l’avons reçu 30 jours après et signé dans la foulée le 25 Mai.(Voir PJ) 
La carte grise, le CERFA 15776*01 rempli et signé ainsi que les 2 clefs ont été remis à notre agence le 25 Mai.
Depuis ce jour, 695€ en accessoires nous ont été payés le 30 Mai et depuis plus aucun échange de la part de la Matmut.....(aucun Courrier, Mail et appel téléphonique et suivi sur notre espace personnel )
La seule information que nous avons eu par téléphone est " que notre dossier affiche informatiquement "Une anomalie"(le 4 juin) et depuis pas de nouvelle.
Il est important en tant que client d’être mis au courant sur le déroulement du dossier même s’il prend du retard.Le plus frustrant et stressant c’est l’absence d’informations.On nous promet un courrier qui n’arrive jamais.
Aucun conseiller local (Lille) ou situé au siège de Rouen ne se manifeste.
Nous sommes désemparés.Nous ne dormons plus.Je suis obligé de me déplacer en train,en métro ou même  faire des km en trottinette pour aller travailler.
Même un courrier en AR ne les stimule.
De plus nous nous sommes engagés pour l’acquisition de notre prochaine voiture et devons justifié auprès du garage chaque semaine sur l’absence de virement bancaire.
Un vrai sentiment d’injustice.
</t>
  </si>
  <si>
    <t>26/06/2018</t>
  </si>
  <si>
    <t>jean-bernard-h-109732</t>
  </si>
  <si>
    <t>Pratique facile et tarifs intéressants; Cela correspond parfaitement à mes attentes. La procédure internet est simple et claire. Tout ce qu'un adhérent attends ! parfait. Remerciements.</t>
  </si>
  <si>
    <t>09/04/2021</t>
  </si>
  <si>
    <t>abdesselam-k-114492</t>
  </si>
  <si>
    <t>je suis decu suite au sinistre infiltration d'eau.j'ai du tout payé de ma poche on a laisser trainer l'intervention,toute ma salle de séjour était couvert de moisissure ainsi que les mures, j'ai eu la visite a l'inproviste de votre expert 4 mois après le sinitre,d'ou ma déception.
veuillez croire en ma profonde deception.</t>
  </si>
  <si>
    <t>21/05/2021</t>
  </si>
  <si>
    <t>louis-d-130799</t>
  </si>
  <si>
    <t>Je suis globalement satisfait des démarches et de l'accueil téléphonique à part sur le mode de règlement qui n'a pas pu se faire électroniquement pour mes premiers contrats.</t>
  </si>
  <si>
    <t>jean-francois-a-131941</t>
  </si>
  <si>
    <t>Fidele à la GMF depuis des décennies...dommage qu'assurer un 2eme véhicule ne soit pas possible chez vous...en effet, l'assurance de mon 2EME auto(mazda 6, auparavant assurée chez vous) a été estimée 2 FOIS PLUS CHERE que ma voiture principale!!!! Dingue...</t>
  </si>
  <si>
    <t>08/09/2021</t>
  </si>
  <si>
    <t>cherry-90949</t>
  </si>
  <si>
    <t xml:space="preserve">Très satisfaite depuis un an de vos services je renouvelles mon assurance les yeux fermés pour un nouveau véhicule neuf en leasing cette formule est parfaite </t>
  </si>
  <si>
    <t>15/06/2020</t>
  </si>
  <si>
    <t>rege02-69767</t>
  </si>
  <si>
    <t>Très mauvaise expérience.
Demande de devis pour un éventuel changement de mon contrat.
On m'a changé ce contrat d'office, sans que je n'ai rien signé ou accepté... je l'ai appris en recevant un nouvel échéancier de prélèvement.
Impossible d'annuler cette modification non désirée si ce n'est par la résiliation du contrat... et même avec ça on me bloque un mois de plus chez eux au tarif que je n'ai jamais accepté.
J'ai été baladé d'interlocuteurs en interlocuteurs, de services en services, avec des conseillers complètement dépassés... des appels innombrables pour rien je suis écoeuré. 
Hâte que le mois en cours se termine pour partir... loin... très loin.</t>
  </si>
  <si>
    <t>Eurofil</t>
  </si>
  <si>
    <t>03/01/2019</t>
  </si>
  <si>
    <t>01/01/2019</t>
  </si>
  <si>
    <t>mxtiti-69710</t>
  </si>
  <si>
    <t xml:space="preserve">Bonjour, assurance contractée ce jour le 27/12/2018 par le cabinet MUSE Paris 8 ème par opératrice téléphonique après avoir fait croire à mon épouse à un cadeau de 140 euros et j'en passe !!! attente réponse après résiliation immédiate !!! car sous les 14 jours de rétractation !!! assurance souscrite sans même demander la situation de mon épouse, c'est à dire en invalidité depuis 1993 !!! donc assurance totalement obsolète !!! signatures électroniques et j'en passe !!! un honte !!!        </t>
  </si>
  <si>
    <t>27/12/2018</t>
  </si>
  <si>
    <t>limam-i-139625</t>
  </si>
  <si>
    <t>Bon service..merci ..je suis satisfait de votre service just au niveau de prix j trouve qil es un peu élevé..avant j payé 40€ pour une Mercedes cla modèle 2015 et la j paye 37,90€ pour une Suzuki swift modèle 2010 !!!</t>
  </si>
  <si>
    <t>15/11/2021</t>
  </si>
  <si>
    <t>mihail-b-117864</t>
  </si>
  <si>
    <t xml:space="preserve">Je suis satisfait du service! L'entretien téléphonique s'est parfaitement déroulé, nous avons réussi a trouver une assurance auto qui nous convient parfaitement. </t>
  </si>
  <si>
    <t>22/06/2021</t>
  </si>
  <si>
    <t>anthonny06-51036</t>
  </si>
  <si>
    <t xml:space="preserve">Une assurance pas du tout professionnel et ne respect pas c client je n'es que un regret c d'avoir signiez pour heu ils dès erreur et c à nous de payer les frais de leu erreur s'en scrupule je me suis mis chez heu cars j'avais pas trop d'argent du cou je. Et perdu plus que autre chose je suis dessus de leur façon de faire se n'es pas du tout professionnel </t>
  </si>
  <si>
    <t>07/01/2017</t>
  </si>
  <si>
    <t>01/01/2017</t>
  </si>
  <si>
    <t>clement-r-112265</t>
  </si>
  <si>
    <t>je suis satisfait et cela est rapide a la souscription , cela me fera 2 véhicules, 
les conseillers sont a l'écoute rien a redire, que cela soit en tchat ou par telephone.</t>
  </si>
  <si>
    <t>30/04/2021</t>
  </si>
  <si>
    <t>cecile-f-106399</t>
  </si>
  <si>
    <t>Je suis totalement insatisfaite en ce qui concerne le sinistre. Aucun suivi, aucunes réponses, on nous balade. Je déconseille vivement de prendre une assurance chez Direct Assurance.</t>
  </si>
  <si>
    <t>12/03/2021</t>
  </si>
  <si>
    <t>sofiane-r-128314</t>
  </si>
  <si>
    <t xml:space="preserve">Je suis satisfait merci je conseille votre assurance à mon entourage avec grand merci plaisir je vous haute une excellente journée. 
Ravi d’être dans votre assurance  </t>
  </si>
  <si>
    <t>17/08/2021</t>
  </si>
  <si>
    <t>marti-64023</t>
  </si>
  <si>
    <t>Très mécontente. J ai du renoncer à cette mutuelle pour raison personnelle . J ai envoyé les justificatifs et la conseillère  n a pas fait suivre à April. De ce fait je viens d être prélevée de 153 euros.
Je déconseille vivement</t>
  </si>
  <si>
    <t>15/05/2018</t>
  </si>
  <si>
    <t>breizhanne-51901</t>
  </si>
  <si>
    <t>Je viens de m'assurer chez eu je renvoie par la poste le contrat signé et les documents demandés, une semaine après je reçois un mail qui me réclame les documents. Depuis imposible de les avoir au telephone : attente de plus de 30 minutes, légalement ils sont tenu d'être joignables rapidement je crois que je vais laisser passé le délai et m'assurer ailleurs.</t>
  </si>
  <si>
    <t>31/01/2017</t>
  </si>
  <si>
    <t>michele--98208</t>
  </si>
  <si>
    <t xml:space="preserve">Si ce nest pour un problème administratif, je suis contente de ma mutuelle.  Jai de bons remboursements   . La prise en charge se fait directement avec la pharmacie, pour les lunettes, les médicaments etc..  les remboursements interviennent rapidement.  Rien à redire   </t>
  </si>
  <si>
    <t>christophe-f-132561</t>
  </si>
  <si>
    <t>Une très  bonne assurance avec un Très bon rapport qualité  prix et une   inscription simple et rapide   je recommande vivement cette assurance !  Au plaisir</t>
  </si>
  <si>
    <t>marc-52725</t>
  </si>
  <si>
    <t xml:space="preserve">Bonjour, ma fille assuré à la matmut en tout risque ce fait percuté par un chauffard qui prend la fuite, mais identifié par sa plaque d'immatriculation EB-817-MC . La police contrôle ma fille ( ethylotest) négatif mais pas de recherche sur le moment. Le garçon est partie du lieu de l'accident mais on va mettre les tord sur ma fille on ne cherche pas pourquoi ce délinquant est partie, il coupe une route prend la voiture 3/4 arrière gauche mais ses ma fille qui vas être responsables. La matmut encaissé des cotisations correcte mais a du mal à défendre ses sociétaires. Je suis très mécontent plus d'un mois après ils on toujours pas le rapport d'expertise pour remboursé le véhicule assuré tout risque, même si comme ils disent ne pas avoir encore déterminé les responsabilités d'un tiers qui s'enfuit sens assumé ses responsabilités. elles étaient 2 filles qui aurait pu perdre la vie sans que personne s'inquiète.
</t>
  </si>
  <si>
    <t>24/02/2017</t>
  </si>
  <si>
    <t>ann-129401</t>
  </si>
  <si>
    <t>Je paie chere pour assurances habitation
Voiture assistance jurdique
Voiture
Mutuelle
Accidents domestiques
L'assureur est uniquement pour les agriculteurs
Il ne rembourse RIEN, mais RIEN
C'est du vole</t>
  </si>
  <si>
    <t>Groupama</t>
  </si>
  <si>
    <t>bulle-51746</t>
  </si>
  <si>
    <t xml:space="preserve">accident survenu il y a deux jours, contrat avec pack serenité, pas de nouvelles on laisse le client et quand on appel voici la réponse (le contrat ne prévoit pas de remplacement et ou de pret de véhicule tant que l'expert n'est pas passé dans le garage partenaire où sera déposée votre voiture. 
et ça les conditions de mon contrat ci-dessous c'est quoi ?????????????????????????
extrait du pack (prêt de véhicule livré chez vous ou disponible dans notre garage partenaire)
il est 14h nous sommes le 27 janvier, l'accident a eu lieu le 25 janvier soir, je n'ai toujours pas de nouvelles de ma voiture ni de savoir quand où et comment je vais être aidée.
MERCI DIRECT ASSURANCE
et non je ne laisse pas mes coordonnées pa senvie encore d avoir une nana COMMERCIALE qui ne régle mm pas mon probleme
</t>
  </si>
  <si>
    <t>27/01/2017</t>
  </si>
  <si>
    <t>val-78239</t>
  </si>
  <si>
    <t>Nullisime.impossible de télécharger des pièces jointes et j'ai envoyé un courrier pour un remboursement qui n'est pas arrivé. Très déçue je vais perdre de l'argent.</t>
  </si>
  <si>
    <t>07/08/2019</t>
  </si>
  <si>
    <t>ludo-savoy-90863</t>
  </si>
  <si>
    <t xml:space="preserve">super contât deuxième devis en ligne très pratique a vois pour un engagement réciproque en comparent les deux assurances site très facile d'utilisation </t>
  </si>
  <si>
    <t>hub-51279</t>
  </si>
  <si>
    <t xml:space="preserve">Complétement déçu de votre comportement , vous chercher tous les prétextes possibles pour ne pas payer ce que vous devez ... une virgule en moins  et c'est 3 semaines de délais supplémentaire , j'ai remis mon dossier entre les mains de mon avocat ..... </t>
  </si>
  <si>
    <t>13/01/2017</t>
  </si>
  <si>
    <t>marc-antoine-p-110666</t>
  </si>
  <si>
    <t xml:space="preserve">Je suis très satisfait de votre offre et de la facilité de faire un devis en ligne. Je vous consulterai pour d'autre véhicules et pour mon habitation </t>
  </si>
  <si>
    <t>16/04/2021</t>
  </si>
  <si>
    <t>ab-100538</t>
  </si>
  <si>
    <t>À fuir ! Direct assurance, alors que j'ai tout mes contrats (habitation, auto...) depuis plus de 10 ans chez eux, vient de me faire payer plus de 300 euros pour un véhicule que j'ai cédé à ma fille et qui ne souhaitait pas être assuré chez eux pour une simple demande de devis et un contrat qui n'a jamais été signé.</t>
  </si>
  <si>
    <t>24/11/2020</t>
  </si>
  <si>
    <t>christ-71403</t>
  </si>
  <si>
    <t xml:space="preserve">abusif deux devis particuliers pour des mutuelles santé on prend des options en hospi et optique mais ils enlevent sans prevenir dans le contrat la garantie minimale obligatoire ANI sur les soins médicaux donc abus de confiance </t>
  </si>
  <si>
    <t>Harmonie Mutuelle</t>
  </si>
  <si>
    <t>18/02/2019</t>
  </si>
  <si>
    <t>le-montagner-e-108243</t>
  </si>
  <si>
    <t>satisfait du service et de la rapidité de la prise en compte du contrat. Le prix reste raisonnable au regard des garanties proposées .
L'usage dira si le service après vente est aussi réactif!</t>
  </si>
  <si>
    <t>seb-130168</t>
  </si>
  <si>
    <t xml:space="preserve">zéro étoile ,,depuis  bientôt 4 mois sans aucunes indemnité journalière ,, comment faire pour subsister c'est honteux .le dernier message disant :"Votre dossier est en cours d'étude.
Nous vous prions encore de bien vouloir nous excuser pour la gêne
occasionnée.
Au nom de MGEN, nous vous remercions de votre confiance.
Nous vous prions d'agréer l'expression de nos salutations distinguées."
date du 26/07/21.
comment faire ?
</t>
  </si>
  <si>
    <t>Mgen</t>
  </si>
  <si>
    <t>30/08/2021</t>
  </si>
  <si>
    <t>kernaonet-h-109079</t>
  </si>
  <si>
    <t>souscription Assurance véhicule plutot rapide à faire.Les conseillères sont réactives au téléphone.Un seul bémol mon nom a été mal orthographié,j'ai du rappeler mais il apparait toujours érroné ,mon nom de famille est kernaonet et non kerna comme indiqué.Merci de rectifier.cordialement</t>
  </si>
  <si>
    <t>03/04/2021</t>
  </si>
  <si>
    <t>nefertari81-104188</t>
  </si>
  <si>
    <t>Mutuelle à la hauteur de mes attentes avec un très bon rapport qualité/prix. En tant que fonctionnaire, de nombreux avantages me sont offerts. Les remboursements sont assez fluides et les conseillers relativement disponibles par mail ou téléphone.</t>
  </si>
  <si>
    <t>15/02/2021</t>
  </si>
  <si>
    <t>el-ghazouani-h-110785</t>
  </si>
  <si>
    <t>Je trouve les Prix abordable mais pour moi il manque une application car difficulte pour signer les documents si non pas de probleme particuliers a rajouter</t>
  </si>
  <si>
    <t>17/04/2021</t>
  </si>
  <si>
    <t>jo-63506</t>
  </si>
  <si>
    <t>en cas de résiliation, mauvaise volonté (et je suis poli) de l'assurance pour reverser les sommes perçues, en multipliant les freins "administratifs. en bref, ils encaissent et rechignent à rembourser</t>
  </si>
  <si>
    <t>24/04/2018</t>
  </si>
  <si>
    <t>gimenez-l-117485</t>
  </si>
  <si>
    <t xml:space="preserve">Bonjour je suis ravie de cette nouvelle assurance et merci pour la simplicité le tarif , je vais faire en sorte de parrainer d autres personnes à qui cela pourrait intéressé </t>
  </si>
  <si>
    <t>18/06/2021</t>
  </si>
  <si>
    <t>filali-a-117445</t>
  </si>
  <si>
    <t xml:space="preserve">Satisfait du rapport qualité prix, conseiller d’un de vos clients je ne regrette pas d’avoir choisi Olivier assurance merci d’avance de m’accepter parmi vous </t>
  </si>
  <si>
    <t>toto-80161</t>
  </si>
  <si>
    <t xml:space="preserve">Bonjour
Le 11 octobre une voiture étrangère ma foncer dessus en admettant ces tort à 100%.
Je suis assurer au tiers et étant donner que l'autre conducteur à une assurance anglaise , Axa ma signaler que je dois avancer les frais de la réparation de ma voiture car il ne connaisse pas l'autre assurance. 
Je me retrouve donc sans moyens de réparer ma voiture et sans moyens de locomotion afin de me rendre à mon travail.
Axa me demande rappeller le sinistre se que je fais et même chose nous ne prenant pas en charge tant que le recours n'a pas était demander. 
Je paye une assurance pour être couvert et voilà il sont incapable de m'aider. 
Je fais comment?? 
Alors que je ne suis pas en tort.
Si quelque peux m'aider .
Je pense faire appel à un avocat 
Merci 
</t>
  </si>
  <si>
    <t>17/10/2019</t>
  </si>
  <si>
    <t>anahit-114021</t>
  </si>
  <si>
    <t xml:space="preserve">horreur! je paye 100 euros par mois, j’ai envoyé deux devis depuis des mois que j’attends depusi aujourd’hui pck ils arrivent pas faire de devis sans erreurs, déjà 3 eme fois que je dois corriger leurs erreurs en demandant de me refaire le devis. un grand n’importe quoi à éviter. </t>
  </si>
  <si>
    <t>17/05/2021</t>
  </si>
  <si>
    <t>josy1950-113663</t>
  </si>
  <si>
    <t xml:space="preserve">merci EMELINE je vous remercie d avoir repondu a ma question la reponse a ete tres claire tres satisfait de l entretien qui a ete tres courtois  je vous en remercie
</t>
  </si>
  <si>
    <t>14/05/2021</t>
  </si>
  <si>
    <t>tarik-z-135636</t>
  </si>
  <si>
    <t>Satisfait de la réactivité et de l’efficacité 
J’attend le retour de la carte verte et des explications pour savoir si je suis débite tous les mois ..</t>
  </si>
  <si>
    <t>02/10/2021</t>
  </si>
  <si>
    <t>noura-w-106248</t>
  </si>
  <si>
    <t xml:space="preserve">je suis satisfait des services et en l'occurrence facilité et rapidité de prendre en charge le changement de véhicule. je recommanderai direct assurance sans problème </t>
  </si>
  <si>
    <t>11/03/2021</t>
  </si>
  <si>
    <t>germain-c-113141</t>
  </si>
  <si>
    <t>Trop long à prendre en compte ma demande d'assurer mon véhicule en tous risques. J'espère avoir des nouvelles et ma demande pris en compte très rapidement.</t>
  </si>
  <si>
    <t>09/05/2021</t>
  </si>
  <si>
    <t>segolene-h-125934</t>
  </si>
  <si>
    <t xml:space="preserve">Je viens tout juste de souscrire et j'ai choisis April car le tarif était bien moins chers !! Mon assureur m'a proposé un tarif exorbitant et ne sait même pas aligné. </t>
  </si>
  <si>
    <t>ric59-100860</t>
  </si>
  <si>
    <t xml:space="preserve">Je suis client MAAFdepuis plus de 20 ans entre 2020 et 2021 bonus 50% et 8% de rabais en plus.je subis une augmentation  de 4% .je rencontre un conseiller qui est incapable de justifier cette augmentation et qui ne peut rien faire 
C’est sidérant vu le contexte de l’année 2020 
J’ai donc décidé de partir </t>
  </si>
  <si>
    <t>02/12/2020</t>
  </si>
  <si>
    <t>01/12/2020</t>
  </si>
  <si>
    <t>eido83-92378</t>
  </si>
  <si>
    <t>simple et rapide prix assez correct et deja client chez vous pour un autre contrat
pour l instant avec direct assurances je ne rencontre pas de problemes</t>
  </si>
  <si>
    <t>26/06/2020</t>
  </si>
  <si>
    <t>boris-v-132976</t>
  </si>
  <si>
    <t>rapide de mise en oeuvre, accompagnement rapide et efficace. offre tarifaire compétitive. a voir dans le futur sur la relation client et le suivi des incidents si cela se produit</t>
  </si>
  <si>
    <t>15/09/2021</t>
  </si>
  <si>
    <t>audrey13-102937</t>
  </si>
  <si>
    <t>Je suis très satisfaite du Mgp que ce sois niveau rapport qualité prix de mes prestations mais aussi en ce qui concerne le personnel qui est à l'écoute. Mes dossiers sont traités très rapidement.</t>
  </si>
  <si>
    <t>20/01/2021</t>
  </si>
  <si>
    <t>llau-coumes-t-139472</t>
  </si>
  <si>
    <t>si paiement cotisation mensuelle plus de 100 euros de plus qu'un paiement annuel ce n'est pas normal vous ne devriez pas appliquer cette différence ou alors moindre</t>
  </si>
  <si>
    <t>12/11/2021</t>
  </si>
  <si>
    <t>aliso-61493</t>
  </si>
  <si>
    <t>Très très mauvaise expérience, malheureusement on ne peut pas mettre aucune étoile.Certes les prix sont plutôt attractif mais le reste zéro.Service client aux abonnés absents,pour les contactercela vous coûte un max car numéro surtaxé.J'ai souscrit une assurance,à la souscription vous des obligé de payer 6mois d'avance ensuite ils vous demande des papiers et au bout d'un mois vous constatez car on ne vous préviens même pas que l'assurance est résilié pour document manquant hors je le certifié mon dossier est bel et bien complet.Bien sur il refuse de vous rembourser l'avance des frais.Cet assureur est non professionnel il profite des gens et malheureusement je ne suis pas là seul à avoir ce soucis.Je ne comprends même pas comment des comparateurs d'assurance peuvent proposer cette compagnie vu tous les problèmes qu'elle pose.Je ne vais certainement pas en rester là ,je vais sauf le conciliateur d'assurance et si remboursement ou assurance il n'y a pas je saisirai un avocat.Pendant ce temps-là nous ne sommes plus assuré et eux profite de mon argent une honte à ne pas recommander du tout</t>
  </si>
  <si>
    <t>19/02/2018</t>
  </si>
  <si>
    <t>ben-m-128276</t>
  </si>
  <si>
    <t>Je suis satisfait du service, le prix est un peu salé mais ça va, j’espère que je vais avoir une agréable expérience à vos côtés. Merci bien merci pour tout.</t>
  </si>
  <si>
    <t>claire-94417</t>
  </si>
  <si>
    <t xml:space="preserve">Satisfaite de la rapidité et de la facilité pour obtenir un devis . Je recommande , le prix m’a l’air tout à fait raisonnable au vu d’autre assurance </t>
  </si>
  <si>
    <t>17/07/2020</t>
  </si>
  <si>
    <t>fredmey-96380</t>
  </si>
  <si>
    <t>On ne peut rien récupérer c'est une honte. Ce contrat a remplacé un autre contrat dans une autre assurance qui était normale, ils ont été rachetés pas AXA depuis ...</t>
  </si>
  <si>
    <t>anny-110026</t>
  </si>
  <si>
    <t>Tous les prélèvements sont faits très sérieusement à date prévue, toutefois en ce qui concerne les remboursements c'est une autre histoire, j'attends des remboursements depuis le mois de Janvier et Février pour plus de 400,00€. JE PENSE SERIEUSEMENT DE CHANGER DE MUTUELLE C'EST VRAIMENT PAS SERIEUX, et impossible de joindre qui que ce soit pour avoir des explications. TRES MECONTENTE. ANNIE DUCHAND</t>
  </si>
  <si>
    <t>didier-l-121324</t>
  </si>
  <si>
    <t>Nous sommes tombés en accord alors ça va, le jour ou nous ne serons plus d accord, on avisera mais je pense que ça se passera en bon et loyal client   .</t>
  </si>
  <si>
    <t>26/06/2021</t>
  </si>
  <si>
    <t>dadala-100615</t>
  </si>
  <si>
    <t xml:space="preserve">Je suis déçue car j'ai eu un bris de glace qui devrait être un dossier très simple à traiter et plusieurs mois après le sinistre  je n'ai toujours pas été réglée de la totalité de ma facture malgré mes nombreuses relances et bien qu'ils m'aient donné l'accord de prise en charge.
Aucune réponse n'est faite à mes mails.  Le service client est inexistant.
</t>
  </si>
  <si>
    <t>25/11/2020</t>
  </si>
  <si>
    <t>justice--99109</t>
  </si>
  <si>
    <t xml:space="preserve">Assurés depuis 40 ans à la GMF, une géante panne d’électricité le 31 Août 2018, n’est toujours pas réglée , l’expert, pour qui , il n’y avait aucun pb, devant le piscinier, a en le relançant de très nombreuses fois, finit par répondre : je ne suis pas absolument certain ... Si votre client a une bonne assurance multirisque, passez le sinistre en multirisque habitation, ce que la GMF a fait, mais en me demandant en contre partie de signer un certificat pour se faire rembourser auprès de EDF !!! Un comble. D’autres éléments comme le moteur du rideau de la piscine et le coffret qui va avec , sont toujours en suspens . Pour nous, fidèles clients depuis 40 ans, assurés au maximum , voitures de 20 ans assurées touts risques, assurance dommage électrique en plus de la multirisque habitation. Les services de « passent la balle » les uns les autres ... irresponsable . On paye,on paye pour être sûr de ne pas avoir de souci et l’on est pas entendu. Je déconseille formellement cette assurance . Je modérerai bien sûr mon avis si le directeur général prend une décision sage et responsable . Jean-Pierre Colin de POITIERS
</t>
  </si>
  <si>
    <t>22/10/2020</t>
  </si>
  <si>
    <t>hermite-81947</t>
  </si>
  <si>
    <t xml:space="preserve"> Je téléphone au moins 20  fois pour avoir un conseiller  et quand un  me répond pour me dire ( je ne peux pas vous parlez  je vais rater ma navette de bus ) BONJOUR LA CONSCIENCE PROFESSIONNELLE  </t>
  </si>
  <si>
    <t>28/11/2020</t>
  </si>
  <si>
    <t>tof84-138867</t>
  </si>
  <si>
    <t xml:space="preserve">Assurance compétitive niveau tarifs mais ça s'arrête là. 
Ne pas être presser le jour où vous avez un sinistre. 
Service relation clients à revoir.
3 mois passé sur un accident non responsable et toujours pas d'avancement dans le dossier. 
Conclusion une assurance ou tout va bien tant qu'on ne déclare pas de sinistre et une formation amabilité au sein du personnel serais pas du luxe ! </t>
  </si>
  <si>
    <t>03/11/2021</t>
  </si>
  <si>
    <t>clement-d-124695</t>
  </si>
  <si>
    <t xml:space="preserve">je suis  satisfais de cette offre et des conditions de votre assurance
je reste a votre disposition ci vous aviez besoin de me contacter
merci pour tout
cordialement
</t>
  </si>
  <si>
    <t>mamy-101670</t>
  </si>
  <si>
    <t xml:space="preserve">mission impossible pour un rachat de l'assurance vie, ils vous "baladent" en demandant toujours un nouveau document ou en vous redemandant des documents que vous avez déjà fournis. Accueil de Strasbourg sympa mais inefficace. Conseiller clientèle impossible à joindre (Tel/mail) Employé agence locale à la limite de l'impolitesse, pose des arguments à peine croyables pour justifier............. </t>
  </si>
  <si>
    <t>19/12/2020</t>
  </si>
  <si>
    <t>mika-69591</t>
  </si>
  <si>
    <t>je suis satisfait des tarifs et de la couverture qui contrairement a d autres sont tres competitifs.</t>
  </si>
  <si>
    <t>20/12/2018</t>
  </si>
  <si>
    <t>antoine-97984</t>
  </si>
  <si>
    <t xml:space="preserve">Suite à un cambriolage de notre appartement, nous avons découvert que Groupama à une clause d'exclusion de garantie appelée  "objet de valeur" .
Cette dernière n'est pas dans le pack "confort" qui n'est pourtant pas le premier niveau de garantie proposé. En conséquence, l'assurance a refusé de nous rembourser les bijoux, les espèces et les montres volés.
D'autre part, les garanties indiquées dans l'espace client sont très généralistes et donnent l'impression d'avoir un bon niveau de garantie, ce qui n'est pas le cas.
Il est invraisemblable de proposer des contrats qui vont à l'encontre des intérêts de ses assurés par méconnaissance des nombreuses clauses d'exclusion qui sont libellées avec un vocabulaire de spécialiste.
Je suis extrêmement déçu de leur attitude. A FUIR 
</t>
  </si>
  <si>
    <t>29/09/2020</t>
  </si>
  <si>
    <t>antoiner2d2-62850</t>
  </si>
  <si>
    <t xml:space="preserve">Apparemment, nous avons tous un point commun : avoir fait confiance à Allianz pour l"assurance habitation.
Je suis adulte handicapé et je vis seul dans un T2. j'ai subi un dégât des eaux suite à une rupture de canalisation dans le vide sanitaire. L'agence locale ne comprend pas la décision de Paris qui, après m"avoir laissé plus d'un mois dans l'ignorance, a refermé le dossier sans explication cohérente et sans aucune indemnisation. La chose est inhumaine et vous laisse dans le plus grand desarroi.
</t>
  </si>
  <si>
    <t>31/03/2018</t>
  </si>
  <si>
    <t>denis-131696</t>
  </si>
  <si>
    <t>Bonjour, je débute avec Santiane comme nouvelle mutuelle santé. J'espère continuer à en être satisfait. Pour l'instant le service client est excellent.</t>
  </si>
  <si>
    <t>actarus-56278</t>
  </si>
  <si>
    <t xml:space="preserve">Après 1 an d'assurance, j'ai eu la bonne surprise d'une augmentation de 24,5% de es mensualités. La raison donnée est une augmentation des sinistres des autres assurés. Je vais voir ailleurs. </t>
  </si>
  <si>
    <t>26/07/2017</t>
  </si>
  <si>
    <t>nabil69-117764</t>
  </si>
  <si>
    <t>Attendre plusieurs dizaines de minutes à chaque appel pour n'avoir aucune réponse c'est scandaleux !!! 
J'ai souscris l'an dernier à une assurance auto par anticipation pour cette année car je voulais changer d'assureur et parce que le vendeur faisait le forcing par téléphone, le contrat n'a pas encore commencé, et je vais finalement vendre mon véhicule. On est le 21/06/2021, le contrat commence le 30 juin, et je n'arrive pas à les avoir au téléphone ni par mail pour résilier ce contrat qui n'a même pas encore commencé !!!!
Quand je vois les avis je réalise que j'ai fais une bêtise et que j'aurais du voir ailleurs ...</t>
  </si>
  <si>
    <t>xavier-doucet-52810</t>
  </si>
  <si>
    <t>Service déplorable, 1 an pour recevoir ma carte verte actualisé avec le numéro de la nouvelle plaque !!! Ils sont par contre très présent pour encaisser la moindre modification de contrat !!! Je trouve cette assurance scandaleuse</t>
  </si>
  <si>
    <t>jean-paul-m-105286</t>
  </si>
  <si>
    <t xml:space="preserve">Vous créer trop de problème aux clients vous faites des promesses par les télés prospecteurs et c'est tout le contraire de ce qu'il faut attendre car les clients doivent retransmettre tous les documents d'après les dires des dires de vos télés prospecteurs on devait pas s'inquiéter car il transmettait tout mais apparemment ça ne fonctionne pas </t>
  </si>
  <si>
    <t>03/03/2021</t>
  </si>
  <si>
    <t>cricri-58124</t>
  </si>
  <si>
    <t xml:space="preserve">une personne m'a contacté pour règler une mise à jour de mon dossier que je n'ai meme pas chez néoliane  elle m'a sorti mon nom et m'a demandé ma date de naissance et quand j'ai compris à nouveau le nom je lui ai dit mais je ne suis pas avec vous et là elle m'a raccroché au nez est ce que ca vous est déjà arrivé ?  </t>
  </si>
  <si>
    <t>17/10/2017</t>
  </si>
  <si>
    <t>nathalie--r-135991</t>
  </si>
  <si>
    <t xml:space="preserve">Je déconseille cette mutuelle. Aucun suivi. Contrat souscrit depuis mai, aujourd'hui la télétransmission n'est toujours pas active. Redemande toujours les mêmes documents déjà en leur possession. Demande des justificatifs de paiement, factures par exemple, alors que d'autres mutuelles acceptent les justificatifs de paiement comme le ticket de CB. N'ennoncent pas clairement leur demande, mail de réponse automatique. Pour ma part si vous n'êtes pas derrière, rien ne se passe. Pire qu'une administration </t>
  </si>
  <si>
    <t>05/10/2021</t>
  </si>
  <si>
    <t>jmj75-139096</t>
  </si>
  <si>
    <t>J aurai pas du changer de mutuelle cette année. En permanence je dois surveiller les remboursements. Transmission  par ameli en date du 12 octobre traitée 3 semaines plus tard la somme apparaît sur mon compte neoliane mais toujours rien sur ma banque. Réponse de neoliane nous avons du retard dans les traitements. Les professionnels sont remboursés de suite. J a envoyer un devis d une clinique quel imbroglio. Je leur rappelle que moi je respecte mon contrat en étant prélevé tous les mois donc merci de faire de même de votre côté.  Neo 23050820</t>
  </si>
  <si>
    <t>06/11/2021</t>
  </si>
  <si>
    <t>eringeval-106256</t>
  </si>
  <si>
    <t>Assuré chez pacifica pour ma voiture depuis le 23/02/2019, sans aucun accident, j'ai eu une année 2020 catastrophique (bande de roulement de camion sur autoroute en janvier non responsable, flaque d'huile dans un rond point en mai responsable 100%, sanglier déjà mort percuté sans doute par un poids lourd en plein milieu des champs dans une ligne droite en pleine nuit non responsable). C'est mon dernier accident qui m'a décidé. en effet, côté gérance du sinistre (mondial assistance je crois) rien a redire. En revanche, avec les restriction covid, une vraie galère. Mon véhicule a mis quasiment 2 mois à être réparé. Vu que mon contrat ne prévoie que 13j jour de location de véhicule (mes 2 autres accidents j'ai eu droit au véhicule de courtoisie 0 frais pour l'assurance), j'ai dû batailler comme pas permis pour qu'au final ce soit le garage qui obtienne la prolongation de la location du véhicule de location pour 15j supplémentaires. Véhicule toujours pas réparé, rebataillage etc pour à un moment donné m'être entendu dire par une conseillère "si ça avait été moi, je vous aurez déclaré 100% responsable de l'accident (oui avec un animal sauvage en plein milieu d'une route sous prétexte que déjà mort ; je tiens à préciser que c'est moi qui ai appelé les forces de l'ordre car bien sur le possible poids lourd qui l'aurait percuté n'était pas sur place et que nous avons été en tout et pour tout 3 véhicule à se l'être pris). Et bien sur, pas de prolongation sous prétexte qu'ils mont déjà fait une fleur en me prolongeant de 15j. Je précise que le garage où était situé mon véhicule est à 600kms de mon domicile donc pour le véhicule de courtoisie c'était juste impossible car le garage ne souhaitait pas et moi non plus que je fasse les 600km (d'ailleurs j'y serai monté comment). Assurance bien évidemment qui augmente mais là n'est pas la question. Heureusement que j'ai pu emprunté le véhicule de mes parents le temps que les réparations se finissent car sinon je ne sais pas comment j'aurais pu continué à me rendre à mon travail (120kms aller-retour et même ça l'assurance s'en est battu les ...)
Bref, pour conclure assurance qui tant que vous n'avez pas de sinistres avec des réparations qui s'éternisent vous satisfera. Sinon fuyez.</t>
  </si>
  <si>
    <t>ricardo-90650</t>
  </si>
  <si>
    <t xml:space="preserve">Je suis satisfait avec le service prix attractif assurance au top je espère que l assurance soit a l hauteur des mes Exigences et pour ma famille,bonne journée </t>
  </si>
  <si>
    <t>13/06/2020</t>
  </si>
  <si>
    <t>dominique-s-133345</t>
  </si>
  <si>
    <t xml:space="preserve">le prix à la souscription me convient.
J'espère juste qu'il n'augmentera pas tous les ans.
Pour le service ce sera dans le temps que je pourrai le juger.
</t>
  </si>
  <si>
    <t>18/09/2021</t>
  </si>
  <si>
    <t>kevpascontent-122411</t>
  </si>
  <si>
    <t>a fuir! on appel pour demander une information sur un eventuel sinistre et ils vous assigne le sinistre. puis vous recevez une belle lettre comme quoi on en veut plus vous assurer.</t>
  </si>
  <si>
    <t>05/07/2021</t>
  </si>
  <si>
    <t>michele-m-124808</t>
  </si>
  <si>
    <t>très bon conseiller (Benjamin !), réactif à lécoute et accompagne le client jusque la signature complète du dossier. Je recommande vivement ! et très rapide pour souscrire</t>
  </si>
  <si>
    <t>26/07/2021</t>
  </si>
  <si>
    <t>bouch17-123179</t>
  </si>
  <si>
    <t xml:space="preserve">Suite un sinistre auto datant du 31 mars 2021 je suis ne pas du tout satisfaite des services de la maif. Suite à une inadéquation dans les déclarations j'ai eu une dizaine d'interlocuteurs avec autant de versions et informations données que de contact. Nous avons jamais été rappelé et nous avons toujours été à l'initiative des appels. 
Après de multiples relances, un sociétaire à pris la main sur notre dossier pour s'excuser de toutes les incohérences et du délai de traitement, il statue en notre faveur immédiatement et atteste de notre bon foi. (la gestionnaire du sinistre également). 
Cependant une majoration sera tout de même appliqué l'année suivante. Dans l'incompréhension de cette décision nous décidons de nouveau de contacter le service clientèle et...même histoire nous sommes baladés de service en service. 
Nous décidons de poser une réclamation à l'adresse indiqué (reclamation@maif.fr) en expliquant la situation et demandant l'annulation de la majoration. Ce à quoi on nous répond ce jour , de faire une demande de réexamen du dossier à la même adresse que ci-dessus. Je rejoins l'avis d'une sociétaire plus bas qui dit que la maif ont des mesures dilatoires visant à reculer le traitement d'un dossier....pour décourager l'assuré à aller au bout de sa démarche ?? 
Je suis toujours dans l'incompréhension de la gestion des dossiers, pourquoi refaire une même demande dans une même service, pourquoi les informations données ne sont elles jamais les mêmes d'un conseiller à un autre..
Je suis très déçu des services de la MAIF. 
</t>
  </si>
  <si>
    <t>soso66-118084</t>
  </si>
  <si>
    <t>De loin la plus mauvaise des assurances, comme les autres assurés pas de réponse aux messages laissés via site internet. Je suis rassurée de voir qu'il n'y a pas qu'à moi que l'on raccroche aux nez quand ils ne connaissent pas la réponse en riant au nez. J'attends des remboursements depuis 6 mois de l'orthodontiste de mes enfants soit 700 euros. j'ai les versements des autres remboursements qui sont d'un montant insignifiant mais pas ceux là. J'ai envoyé un courrier au médiateur qui me stipule que Mercer est un courtier et que je dois écrire à l'assureur mais je ne trouve pas la réponse car je n'ai pas accès aux conditions générales. Su quelqu'un connaît l'assureur , je suis preneuse. Courage à tous</t>
  </si>
  <si>
    <t>chapeau-99984</t>
  </si>
  <si>
    <t>Bonjour.
J'ai sollicité mon assurance pacifica, pour mon insert de cheminée, ( vitre fendue) sur devis par téléphone , la somme à été disponible sous 48 heures, accueil chaleureux a l'écoute des clients  et rapidité des dossiers. Je recommande cette assurance .</t>
  </si>
  <si>
    <t>11/11/2020</t>
  </si>
  <si>
    <t>mary55-139066</t>
  </si>
  <si>
    <t>Nous sommes à la Matmut depuis 11 ans . Nous sommes 100% satisfait. Pour chaque question / une réponse ou une solution de trouver  . Contact humain et bienveillant à l’agence Matmut avenue de Versailles  Paris 75016  .</t>
  </si>
  <si>
    <t>05/11/2021</t>
  </si>
  <si>
    <t>didi-63151</t>
  </si>
  <si>
    <t>Bonjour, c'est la 3ème fois que l'olivier assurance m'échaude. Je suis fort déçue par le service après-vente de cette assurance. les employés en générale sont très sympathiques et correctes mais ils doivent obéïr à des consignes qui ne sont pas moralement et éthiquement acceptables. Je pense qu'il y a certaines des omissions volontaires. Quand on contracte auprès de cette assurance, elle nous oblige à payer par carte bancaire toute de suite pour l'année et lorsque l'on souhaite mensualiser l'année suivante on ne peut pas le faire. seule solution proposée par  l'olivier: résilier votre contrat pour en souscrire un nouveau est payé encore 35 euros de frais.
J'ai été trop honnête et trop conne: quand je me suis aperçue que je roulais beaucoup avec mon nouveau véhicule, j'ai appelé pour demandé à faire modifier le nombre de kilomètres estimé roulé dans l'année et l'olivier assurance m'a facturé 21 euros. J'en aurai encore une dernière à vous raconter qui m'a couté 20 euros mais je vous passerai les détails.</t>
  </si>
  <si>
    <t>11/04/2018</t>
  </si>
  <si>
    <t>muriel-d-131596</t>
  </si>
  <si>
    <t>Les prix me conviennent pour le moment et rentrent dans mon budget! Je vais refaire le point prochainement afin de savoir si j'ai d'autres changement à effectuer.</t>
  </si>
  <si>
    <t>linabreizh-86757</t>
  </si>
  <si>
    <t xml:space="preserve">Très satisfaite de mes assurances chez eux, très bonne assurance emprunteur, pas cher en plus. Je recommande cette société d'assurance. Ce n'est pas pour rien qu'ils sont le premier assureur de personnes en France. </t>
  </si>
  <si>
    <t>CNP Assurances</t>
  </si>
  <si>
    <t>05/02/2020</t>
  </si>
  <si>
    <t>belinda22-49742</t>
  </si>
  <si>
    <t>Nous avons appelé il y a 15 jours pour faire assurer notre nouveau véhicule. Nous avons reçu, suite à ça, un contrat d'assurance pour une véhicule qui n'existe pas puisqu'ils ont indiqué la marque du nouveau véhicule mais la plaque de l'ancien... Nouvel appel : geste commercial catégoriquement refusé, et nous attendons tjs le certificat d'assurance... ça fait donc 12 jours que nous payons une assurance pour un véhicule que nous ne pouvons pas utilisé...
Adieu Eurofil !</t>
  </si>
  <si>
    <t>30/11/2016</t>
  </si>
  <si>
    <t>maxime-r-114417</t>
  </si>
  <si>
    <t xml:space="preserve">Les prix me conviennent. 
La souscription est claire, simple tout comme la description des garanties. 
En espérant que le suivi et l'accompagnement en cas de sinistre ou autre soit tout aussi efficace. </t>
  </si>
  <si>
    <t>20/05/2021</t>
  </si>
  <si>
    <t>pat-69533</t>
  </si>
  <si>
    <t xml:space="preserve">au depart ,il te font un contrat un peux intéressant,et apres il te change de contrat </t>
  </si>
  <si>
    <t>19/12/2018</t>
  </si>
  <si>
    <t>jean-c-105328</t>
  </si>
  <si>
    <t xml:space="preserve">
JE SUIIS SATIFAIT DES PRIX 
JE NE SUIS PAS SATISFAIT DE PREDRE DU TEMPS ACTUELLEMENT
DE PLUS JE PESAIS AVOIR RESILIE L'ASSURANCE DE L'appartement boulevard raspail</t>
  </si>
  <si>
    <t>serge-103791</t>
  </si>
  <si>
    <t>Apres 40 ans quelle déception dans le traitement dun simple accrochage dans rond point alors que je ne suis pas responsable. Tout simplement parce qu'il  manque une précision de mon adversaire  qui n'a pas mentionné  le changement de direction. Pas de réponse à ma relance suite à la réclamation, cest a dire que je leur fait part de ma déception et de mon intention de quitter. échanges dématérialisés, plus de relations clients, traitement du litige simplifié 50/50. Je suis dégoûté ca va me coûter 200e alors que je ny suis pour rien. Je vais changer de compagnie, la fidélité  nest plus reconnue, a quoi ça sert finalement de privilégierune assurance avec bureaux.</t>
  </si>
  <si>
    <t>07/02/2021</t>
  </si>
  <si>
    <t>mahamat-o-115303</t>
  </si>
  <si>
    <t xml:space="preserve">je suis satisfait du prix sa me convient et c'est plus pratique 
même si c'est légèrement cher , en plus les personnelles sont vraiment à l'écoute    </t>
  </si>
  <si>
    <t>29/05/2021</t>
  </si>
  <si>
    <t>valouanto-49443</t>
  </si>
  <si>
    <t>J'étais à la MGEN pendant plus de 30 ans, mon constat est le suivant  les remboursements sont  moyens et très peu d'info personnalisée sur notre formule santé.  Quand vous souhaitez démissionné on vous menace, vous allez être radié définitivement vous ne pourrez plus jamais revenir, alors qu'en réalité on vous sort le tapis rouge dès que vous souhaitez vous ré adhérer on vous propose même des offres plus intéressantes que celles des anciens adhérents à qui on ne propose jamais rien de plus sauf l'augmentation des cotisations ! un vrai scandale ! la fidélité n'est pas récompensée PROFIT PROFIT</t>
  </si>
  <si>
    <t>22/11/2016</t>
  </si>
  <si>
    <t>barlan-107680</t>
  </si>
  <si>
    <t xml:space="preserve">Dossier en cours depuis 3 mois .toujours des papiers manquants ,alors que tous les documents ont été envoyés par mail et par courrier avec ar .ils font traîner je ne recommande pas du tout </t>
  </si>
  <si>
    <t>23/03/2021</t>
  </si>
  <si>
    <t>cyril-o-126834</t>
  </si>
  <si>
    <t>Niveau qualité prix niquel et niveau garantie aussi, je recommande à 100% test ok , je recommande direct assurance pour tout les assuré cordialement cyril</t>
  </si>
  <si>
    <t>06/08/2021</t>
  </si>
  <si>
    <t>hrour-m-108971</t>
  </si>
  <si>
    <t>je suis satisfait de service pour le prit est pour le service est même pour les appelle téléphonique. Facile a rejoindre les téléconseillers est le plateforme avec une très bonne explication des contrat</t>
  </si>
  <si>
    <t>02/04/2021</t>
  </si>
  <si>
    <t>christophe-s-128082</t>
  </si>
  <si>
    <t>Pas toujours satisfait car jamais reçu mon attestation 2021 sur mon Honda accord assuré chez vous. J aimerai que l attestation des assurances de l année suivante soit automatique au courrier. MERCI</t>
  </si>
  <si>
    <t>15/08/2021</t>
  </si>
  <si>
    <t>eglt-115149</t>
  </si>
  <si>
    <t xml:space="preserve">Cette assurance,  s arrange très bien pour ne pas prendre en charge les sinistres  ... sur un dossier de dégâts des eaux par exemple, c est vous qui servez d intermédiaire entre la copropriété, les voisins et tous autres intervenants donc autant dire que quand vous n êtes pas un expert, c est compliqué.  ASSURANCE A FUIR ! On m à obligé à  la prendre pour valider un prêt à  la société générale et voilà le résultat </t>
  </si>
  <si>
    <t>Sogessur</t>
  </si>
  <si>
    <t>28/05/2021</t>
  </si>
  <si>
    <t>linus-k-124893</t>
  </si>
  <si>
    <t>Je suis satisfais des services au premier abord mais je trouve le tarif plutôt élevé…
En espèrent que le problème des tarifs changerons rapidement…
Merci de votre aide</t>
  </si>
  <si>
    <t>cyrille--137397</t>
  </si>
  <si>
    <t xml:space="preserve">Assurance habitation pour un appartement de 32 mois 29 euros 51, la même assurance habitation au Crédit mutuel  9 euros 70.
Toujours pour la même habitation et les même garanties voir mieux. 
Il doit avoir un problème de presque 20 euros.
Sur un an je me suis assis sur presque 240 euros. Une honte. </t>
  </si>
  <si>
    <t>10/11/2021</t>
  </si>
  <si>
    <t>at-116669</t>
  </si>
  <si>
    <t>Apres un sinistre non responsable de ma part axa s est fait rembourser les frais de garage par l assurance adverse et n à pas payer les réparations. Total plus de 1200 euros a ma charge alors que j ai toujours payer mes cotisations et aucun sinistre en plusieurs années.  Si quelqu un pouvait m aider style un avocat ça serait cool j ai un enfant pas d emploi et je galère c est dégueulasse faut faire cette assurance
Mon tel 0614740982</t>
  </si>
  <si>
    <t>10/06/2021</t>
  </si>
  <si>
    <t>chipie-86812</t>
  </si>
  <si>
    <t xml:space="preserve"> J'ai souscrit un contrat assurance METLIFE pour un prêt immobilier en 2015. Je souhaite faire un rachat de prêt auprès d'un autre établissement bancaire et j'ai besoin de documents que je demande depuis le mois de septembre 2019. J'ai envoyé encore un mail, le 29 janvier dernier pour demander une délégation d'assurance pour finaliser mon rachat et je n'ai toujours rien reçu ... Ne serait ce qu'un accusé de réception .... Je ne sais plus comment faire ....</t>
  </si>
  <si>
    <t>MetLife</t>
  </si>
  <si>
    <t>06/02/2020</t>
  </si>
  <si>
    <t>lilymutmidi-108197</t>
  </si>
  <si>
    <t>J'étais pleinement satisfaite de la Mutuelle du Midi avec des valeurs humanistes, des contacts chaleureux, de vrais humains, depuis que l'AG2R a récupéré cette mutuelle, le service n'est plus le même, la plateforme informatique un cauchemar où on tourne en rond, l'impossibilité d'avoir un justificatif pour l'année, aucune réponse à mes emails, l'impossibilité d'avoir un conseil pour changer de contrat, j'ai reçu il y a peu un appel téléphonique commercial sans prise en compte de mes besoins, tout cela alors que je ne suis pas malade, bref il ne me reste plus qu'à chercher une mutuelle plus satisfaisante et surtout plus humaine.</t>
  </si>
  <si>
    <t>Ag2r La Mondiale</t>
  </si>
  <si>
    <t>26/03/2021</t>
  </si>
  <si>
    <t>vtwing2a--103154</t>
  </si>
  <si>
    <t>0 pointé,injoignable quel que soit le service.Apres 5 ans d assurance,j ai résilié dans le délai d 1 mois(loiHamon)et tjs sans nouvelles depuis 2 semaines. Tombe6en panne une fois,il faut les joindre en priorité pour avoir leur accord,mais tjs leur musique stressante ,attente prévue 3',17' apres6ca raccroche.Une honte,on paye pour avoir une vignette à presnter6aux forces de l ordre c tout.
J ai retrouve6le bonheur d obtenir un conseiller chez mon nouvel assureur 3€ mensuels en moins et assistance 0km et non 50.</t>
  </si>
  <si>
    <t>24/01/2021</t>
  </si>
  <si>
    <t>guy-j-127584</t>
  </si>
  <si>
    <t>LES PRIX ME SEMBLENT NORMAUX afin de payer au plus juste une assurance qui serait fidele aux droits esperés contre un tiers ou pas bris de glace aussi</t>
  </si>
  <si>
    <t>11/08/2021</t>
  </si>
  <si>
    <t>elkapatelka-96484</t>
  </si>
  <si>
    <t>Tres ancienne assurance solide ave bureaux responsables et direction valable. Rien n'est négligé et j'en suis la preuve vivante, d'autre part son appartenance à COVEA EST UN GAGE de sérieux et de solidité financière</t>
  </si>
  <si>
    <t>19/08/2020</t>
  </si>
  <si>
    <t>bgeno-103841</t>
  </si>
  <si>
    <t xml:space="preserve">Assurance trop chère une augmentation en début d'année remboursements lorsqu'ils ont le temps .
Résultat nous avons changé de mutuelle avec une économie de 450 € annuel pour 2 personnes .
Augmentation légale au dire de la personne au téléphone, elle en avait rien à faire !!!! 
</t>
  </si>
  <si>
    <t>08/02/2021</t>
  </si>
  <si>
    <t>stephanie-l-112784</t>
  </si>
  <si>
    <t xml:space="preserve">il faudrait plus de date d'autorisation de prelevement  sur des dossiers en cours car bloquer une date qui ne correspond plus a la date de versement  du salaire est tres compliquer </t>
  </si>
  <si>
    <t>05/05/2021</t>
  </si>
  <si>
    <t>maria-j-135272</t>
  </si>
  <si>
    <t>Simple et pratique le prix me convient et satisfait du service et personnelle très aimable il sont a votre écoute et vous informe correctement merci a eux</t>
  </si>
  <si>
    <t>30/09/2021</t>
  </si>
  <si>
    <t>cottereau-c-131010</t>
  </si>
  <si>
    <t>Je suis entrée en contact suite à un décès, le monsieur qui est venu chez moi m'a très bien conseillé si bien que je reste chez vous avec une assurance vie. Cette personne est toujours présente quand on a besoin de renseignements. Sauf au moment des vacances mais j'avais une adresse mail de Neuilly et pas de problème tout a été réglé très vite.</t>
  </si>
  <si>
    <t>diego-b-134833</t>
  </si>
  <si>
    <t xml:space="preserve">Super prix assez rapide nous verrons la qualité et l'efficacité de l'assurance  par la suite  mais pour l'instant assez rapide quand meme mais il faut que mon avis fasse du volume alor je fini avec une phrase sans intérêt </t>
  </si>
  <si>
    <t>heyle-88159</t>
  </si>
  <si>
    <t>Absolument ravi de groupama, mon conseillé est très réactif, je pense qu'au dela d'un groupe (groupama ou autre) la qualité du conseillé fait clairement la différence. Le mien chez groupama est parfait.</t>
  </si>
  <si>
    <t>10/03/2020</t>
  </si>
  <si>
    <t>novar-m-137221</t>
  </si>
  <si>
    <t>Rien à dire satisfait de la qualité et de la réactivité. Pas souci pour moi ma femme et moi sommes contents de la gentillesse des interlocuteurs merci</t>
  </si>
  <si>
    <t>12/10/2021</t>
  </si>
  <si>
    <t>elrioche-93346</t>
  </si>
  <si>
    <t>Assuré chez eux depuis bien longtemps, j'ai eu un problème d'essai de forçage de ma porte d'entrée en janvier 2019.
Aujourd'hui en juillet 2020 toujours pas remboursé de l'intervention facturé 500 euros, malgré l'envoi de la dite facture à plusieurs reprises, inadmissible !</t>
  </si>
  <si>
    <t>morel-f-122196</t>
  </si>
  <si>
    <t>Les prix me convient ,pour l'instant tous c'est bien passé,je vais bien voir par la suite comment ça va se dérouler . j'avoue que je suis un peu inquiet .</t>
  </si>
  <si>
    <t>02/07/2021</t>
  </si>
  <si>
    <t>sweetcabana-66275</t>
  </si>
  <si>
    <t>je quitte cette assurance qui est nulle ! on ne me trouve jamais lorsque j'appelle au téléphone alors que je suis assuré chez eux</t>
  </si>
  <si>
    <t>20/08/2018</t>
  </si>
  <si>
    <t>01/08/2018</t>
  </si>
  <si>
    <t>jojo75-63074</t>
  </si>
  <si>
    <t>Coordonnées a offrir au intéressés !!!!!!!!!!!!!!!!!!!!!!!!!!!!!!!!!</t>
  </si>
  <si>
    <t>09/04/2018</t>
  </si>
  <si>
    <t>coco-57983</t>
  </si>
  <si>
    <t xml:space="preserve">Rentabilité négative 30% de perte d capital lors de la demande de versement de mon PERP. . Trois Mos pour avoir des réponses imprécises. </t>
  </si>
  <si>
    <t>11/10/2017</t>
  </si>
  <si>
    <t>cecile-c-124651</t>
  </si>
  <si>
    <t xml:space="preserve">Je suis satisfaite de pouvoir faire la demande par internet et à n’importe quelle heure et du jour. Questionnaire simple et clair et un plus de ne plus faire les démarches de résiliation. </t>
  </si>
  <si>
    <t>minou15-110254</t>
  </si>
  <si>
    <t xml:space="preserve">Radié, sans être prévenue, attention au tél vous raconte n'importe quoi, me fais bloquée en me le temps mon ACS. Des incompétents. J'avais une dette 100e j'envoie un RIB on me fais un échéancier en date du 11 mars et radié le 1er mars ? </t>
  </si>
  <si>
    <t>13/04/2021</t>
  </si>
  <si>
    <t>maroua-t-126690</t>
  </si>
  <si>
    <t>Je suis satisfaite de direct assurance, également le prix mais en rajoutant certains option ça devient quand même cher mais concernant les services y'a rien a dire ça vaut le prix</t>
  </si>
  <si>
    <t>agnes--104166</t>
  </si>
  <si>
    <t>Service disponible et efficace.
Conversations agréables par téléphone. 
Les téléspectatrices sont sympathiques  et expliquent d'une manière claire leurs reponses à nos demandes.
Totalement satisfaite</t>
  </si>
  <si>
    <t>gouasmia-i-130642</t>
  </si>
  <si>
    <t xml:space="preserve">Prise en charge instantanée de ma demande de souscription. Conseiller clair et explicite sur les renseignements attendus. Le tarif reste toujours un levier à améliorer. </t>
  </si>
  <si>
    <t>mimi54-15095</t>
  </si>
  <si>
    <t>Apres un sinistre catastrophe naturelle, passage d’un expert qui vient faire de la bureaucratie, pas vraiment son boulot, il n’écoute même pas ce que nous lui disons, les photos il s’en moque, pas de notes ni de photos, expertise bâclée...
Après l’envoie d’un courriel pour expliquer notre désaccord....
Pas de réponse, pas d’appel, suivi zéro 
Je ne comprends qu’avec un service comme celui-ci qu’ils soient notés...
A fuir</t>
  </si>
  <si>
    <t>11/12/2020</t>
  </si>
  <si>
    <t>jojo-68415</t>
  </si>
  <si>
    <t>je suis très satisfaite des services rendu par ma mutuelle et disponible  au téléphone  je trouve que de la satisfaction garantis facile a changé avec l opérateur rien rien a signa satisfaite de ma garentie</t>
  </si>
  <si>
    <t>07/11/2018</t>
  </si>
  <si>
    <t>ssene-95342</t>
  </si>
  <si>
    <t xml:space="preserve">Bonjour
J ai une très mauvaise experience avec cet assureur (l Olivier)
En effet ma voiture est tombé en panne non loin d un garage, j ai donc pousse ma voiture jusqu au garage pour la faire reparer, quel erreur de ma part je n avais pas fait la !!!!
En effet j ai appelé l Olivier assurance qui ma expliqué que comme je n avais pas fait appel a une dépanneuse, il ne pouvait pas me preter une voiture, donc pour résumer, il prefere payer une depanneuse pour pouvoir me preter une voiture, 
Par conséquence je suis pieton et je dois loue une voiture pour 15 jours le temps des réparations.... 
Merci l Olivier, il est certain qu a la 1ere occasion je quitterais cette assureurs et continuerais a poster sur tous les forums un avis négatifs sur un assureur qui ne souhaite pas aider un de ses clients qui paye ces mensualités en temps et en heure depuis plusieurs années deja
Non merci </t>
  </si>
  <si>
    <t>27/07/2020</t>
  </si>
  <si>
    <t>alex-63400</t>
  </si>
  <si>
    <t>super contrat. bonne prise en charge et des garanties très largement supérieures par rapport à leurs concurrents. JE RECOMMANDE !!!</t>
  </si>
  <si>
    <t>19/04/2018</t>
  </si>
  <si>
    <t>juline-c-129998</t>
  </si>
  <si>
    <t>Simple et pratique en effet, les prix sont bien plus bas que ceux de mon ancien assureur alors je suis satisfaite, j'apprécie particulièrement le mail concernant le devis du contrat où des document nous y sont fournis. En particulier le "Guide de vos garanties" qui permet de vraiment comprendre les détails du contrat ! :)</t>
  </si>
  <si>
    <t>29/08/2021</t>
  </si>
  <si>
    <t>fifi-68234</t>
  </si>
  <si>
    <t>Client MAAF depuis plus de 20 ans. Nous avons hélas eu 2 petits sinistres ( orages coupures courant ) en 2017 et en 2018. et bien ils viennent tous simplement de nous virer... ce n'est pas grave nous avons maintenant des meilleures garanties pour moins cher... bye bye</t>
  </si>
  <si>
    <t>31/10/2018</t>
  </si>
  <si>
    <t>jp-81068</t>
  </si>
  <si>
    <t>Lamentable. 
15 jours pour trouver un garage prêt à effectuer les réparations. Un service sinistre et assistance plus qu incompétent. DA refuse de nous donner un véhicule de remplacement ! Obligé de louer!!!</t>
  </si>
  <si>
    <t>17/11/2019</t>
  </si>
  <si>
    <t>dom-63379</t>
  </si>
  <si>
    <t>Une augmentation de 20% sans rien en contre partie
Pas de sinistres j'ai honoré mes écheances
Le conseiller  de direct assurance n'a trouvé aucun arguments pour cette augmentation abusive</t>
  </si>
  <si>
    <t>ahmed-h-125521</t>
  </si>
  <si>
    <t>Je suis satisfait très bien niveau prix content rien à dire je recommanderais direct assurance dans mon entourage et mes connaissances Merci le service Internet</t>
  </si>
  <si>
    <t>29/07/2021</t>
  </si>
  <si>
    <t>dom52-58389</t>
  </si>
  <si>
    <t>Assurance intéressante par rapport à ses concurrents. N'ayant eu aucun sinistre, je ne peux pas juger de son efficacité en cas de problème.</t>
  </si>
  <si>
    <t>27/10/2017</t>
  </si>
  <si>
    <t>christophe-f-128044</t>
  </si>
  <si>
    <t xml:space="preserve">Je suis satisfait du service. 
Rapide pour s'assurer de la maison 
A voir dans le temps les service de cette assurance. Vu les prix attractifs espérons qu'elle soit à la hauteur en cas de besoin </t>
  </si>
  <si>
    <t>mario-r-133962</t>
  </si>
  <si>
    <t>Je suis trés satisfait de l'accueil que j'ai reçu trés chaleureusement  de la part de mon intermédiaire. Les explications étai t claires.Cordialement Mario RICHARD</t>
  </si>
  <si>
    <t>22/09/2021</t>
  </si>
  <si>
    <t>christelle-69514</t>
  </si>
  <si>
    <t>Devis fait sur un comparateur. Pas le temps d ouvrir le devis que déjà la mutuelle m appelais... Interlocutrice horrible qui ne laisse même pas le temps de placer une parole. Je lui simplement expliqué que si je voulais plus d infos j appellerai...et à partir de ce moment ça a été une horreur. J appelais pour ma fille, et cette personne a cru qu' on devait avoir le même âge et c est permis beaucoup de choses dans ces paroles!!!!!Heureusement finalement qu on nous appelle avant de souscrire au moins on voit déjà un 1er aperçu de la société.</t>
  </si>
  <si>
    <t>18/12/2018</t>
  </si>
  <si>
    <t>valentin63-56649</t>
  </si>
  <si>
    <t xml:space="preserve">J'ai eu un petit accident (retro cassé). La totalité de la facture a dû être payé par moi car franchise élevée. Malgré ça je me retrouve avec 6% de Malus alors que j'avais 20% de Bonus. Je me retrouve avec des mensualités impossible à payer pour moi ... Etudiant ... </t>
  </si>
  <si>
    <t>13/08/2017</t>
  </si>
  <si>
    <t>axdo-89762</t>
  </si>
  <si>
    <t xml:space="preserve">Arrêtez donc de dire a vos commerciaux que le tiers payant de votre mutuel Neoliane est carte blanche car c'est faux vos devis sont pas mis a jour et je vous annonce officiellement que depuis peu votre tiers payant n'est plus carte blanche mais bien Viamedis.
C'est quand meme fou que ce soit moi qui vous l'apprenne ;)
</t>
  </si>
  <si>
    <t>19/05/2020</t>
  </si>
  <si>
    <t>alexandra-76864</t>
  </si>
  <si>
    <t>J'ai choisi l'olivier assurance auto car elle était la moins chère du marché à ce moment là. Ils ont été très rapide pour la mise en place du contrat. J'ai eu un sinistre et la prise en charge a été très rapide et correcte. Je suis satisfaite.</t>
  </si>
  <si>
    <t>david-64653</t>
  </si>
  <si>
    <t xml:space="preserve"> Bonjour étant client chez Eurofil j’ai eu un accident au mois d’avril qui n’appliquer pas ma responsabilité au vu du constat mais pour mon assurance j’étais fautif à 100 % du coup je me suis renseigné auprès de la partie adverse qui ont classé la suite comme étant leur client 100 % responsable Je suis très déçu de cette assurance Eurofil à éviter</t>
  </si>
  <si>
    <t>10/06/2018</t>
  </si>
  <si>
    <t>cdspx-94949</t>
  </si>
  <si>
    <t>Honteux. Assurée depuis 3 ans, conductrice depuis 13 ans, avec un bonus à 060, j'ai eu la malchance de faire l'objet de 2 sinistres non responsables en l'espace de 3 mois. 1 an plus tard, je reçois un AR m'annonçant la résiliation de mon contrat dans 2 mois, au prétexte de "l'inadéquation du risque au regard de la politique d'acceptation de la compagnie". Courrier accompagné bien-sûr des coordonnées d'Assurpeople, partenaire courtier d'Aviva... Aucun échange préalable à ce courrier, permettant de trouver à l'amiable une solution; aucun recours possible et bien-entendu le service client est injoignable via le standard téléphonique, qui stipule "qu'un conseiller est joignable en semaine de 8h45 à 20h". Nous somme un jeudi, il est 15h08, et le standard raccroche automatiquement. ASSUREUR A FUIR</t>
  </si>
  <si>
    <t>23/07/2020</t>
  </si>
  <si>
    <t>julie-b-138580</t>
  </si>
  <si>
    <t>Tout va bien dans le meilleur des mondes tant que vous n'avez pas de sinistre!
Je suis assurée tout risque, au alentour de 1000€ l'année pour ma voiture principale.
Hier matin j'ai retrouvé ma voiture sur 4 parpaings. On m'a volé les 4 jantes.
Pas de prise en charge de l'assurance, car ok pour le vol mais a l'exclusion des pneus. Merci!
Pas de voiture de loc, pas de remorquage...
Mon devis pneus s'élève à 3000€. Je ne peux plus aller travailler non plus car ma voiture à le pied lourd.
Moralité : il faut choisir l'assurance la moins chère possible car le jour où vous avez un pépin, ils ne sont pas au rdv. Toujours une petite clause à votre désavantage.
Chers amis l'olivier, dans 2 mois, je vous quitterai, avec mes 2 voitures</t>
  </si>
  <si>
    <t>29/10/2021</t>
  </si>
  <si>
    <t>yasmine-g-108926</t>
  </si>
  <si>
    <t>pas satisfaite. Assurance en cours depuis fin 2019. Dossier toujours en cours depuis mi 2020, aucune communication de suivi.
session qui se ferme après validation de mon courrier pour réclamation hier
tout à refaire ce jour.</t>
  </si>
  <si>
    <t>bilthauer-j-139746</t>
  </si>
  <si>
    <t>Personnel très sympa et compétent, service agréable qui répond à toutes les questions. Excellente transparence du contrat bien expliqué, et bonne suggestion!</t>
  </si>
  <si>
    <t>16/11/2021</t>
  </si>
  <si>
    <t>linarda-24875</t>
  </si>
  <si>
    <t xml:space="preserve">je n ai pas trop apprécié que l expert fouille ma voiture , comment je le sait , mon garagiste m avait fait un devis pour la réparation , et le devis était dans la boite à gant , et l expert a donné exactement la somme , sachant que si j avais été dans leur garage désigné ça aurait coûté plus du double, de l accident a la réparation 2 mois , et encore si mon garagiste ne téléphonait pas a l expert , la réparation ne serait pas encore faite, j ai du payé la facture , et j ai renvoyé par recommandé pour le remboursement , en espérant que je ne devrais pas attendre des mois , accrochage ou je suis en droit </t>
  </si>
  <si>
    <t>05/06/2018</t>
  </si>
  <si>
    <t>tang-x-114559</t>
  </si>
  <si>
    <t xml:space="preserve">Plus tot, au niveau de prix et rapide en ligne, bon site globalement. mais je voudrais etre assurer en tous risque, le site m'oblige de prendre le tiers. </t>
  </si>
  <si>
    <t>22/05/2021</t>
  </si>
  <si>
    <t>roche-m-114141</t>
  </si>
  <si>
    <t xml:space="preserve">Satisfaite. Je recommande cette assurance un sav très à l’écoute de nos demandes et des réponses rapides dans les minutes qui suivent l’appelle.  Je recommande fortement. </t>
  </si>
  <si>
    <t>18/05/2021</t>
  </si>
  <si>
    <t>cardon-g-110724</t>
  </si>
  <si>
    <t>C'est le prix  le plus bas que j'ai trouvé pour une assurance basique. Après ma recherche sur internet et ma demande de devis, le service a été rapide et efficace par téléphone.</t>
  </si>
  <si>
    <t>mario-107052</t>
  </si>
  <si>
    <t xml:space="preserve">Avec Direct assurance il à était convenu une prime d'un montant annuel de 425 € environ 
Et en fin de compte je me trouve avec une prime annuelle de plus 475 € je ne suis pas du
Tout content.
Gabriel Mario
</t>
  </si>
  <si>
    <t>18/03/2021</t>
  </si>
  <si>
    <t>jacnec-110337</t>
  </si>
  <si>
    <t>Bonjour, 
Jeudi 13 Avril suite à ma réclamation téléphonique, j'ai eu une interlocutrice Angélique qui m' a bien renseigné à propos de ma réclamation, je tiens à l'en remercier.
Cordialement
J.NECTOUX</t>
  </si>
  <si>
    <t>francis88000-61841</t>
  </si>
  <si>
    <t xml:space="preserve">remboursements qui tardent , mutuelle imposé par l'employeur , je n'ai jamais eu  une mutuelle aussi minable et j'ai  bientôt 40 ans de travail </t>
  </si>
  <si>
    <t>28/02/2018</t>
  </si>
  <si>
    <t>paiano-a-126074</t>
  </si>
  <si>
    <t>Les prix sont corrects voir même moins chère par rapport aux autres assurance auto. 
Les explications sont claires et le site internet  est facile à utiliser.</t>
  </si>
  <si>
    <t>02/08/2021</t>
  </si>
  <si>
    <t>noemie-t-112027</t>
  </si>
  <si>
    <t xml:space="preserve">je suis satisfaite des services fournis par direct assurance. Facilité de consultation et modification des contrats via mon espace personnel en ligne, </t>
  </si>
  <si>
    <t>29/04/2021</t>
  </si>
  <si>
    <t>marinagraham-67933</t>
  </si>
  <si>
    <t>Première voiture, première assurance : trouver l'assurance au tiers la moins chère possible. Chose faite avec Active assurance. Moins de 70e par mois pour une 206. L'assurance est bien mais présente peu de garanties. Le vandalisme n'est pas couvert par exemple. Mais sinon l'assistance 0km est comprise. Pour une panne, n'attendez rien de l'assurance (pas de dédommagement). Mais l'assistance est bien (la moindre des choses?). Le gros problème a été le temps de réception de la vignette verte. J'ai mis un an pour la recevoir et une fois reçue, elle périmait dans à peine un mois. Mais la suivant est arrivée quelques jours après heureusement.</t>
  </si>
  <si>
    <t>21/10/2018</t>
  </si>
  <si>
    <t>seraphin-62670</t>
  </si>
  <si>
    <t>bénéficiaire d'une rente d invalidité nous ne sommes jamais payes à dates fixes ce qui entraine des rejets de prélèvements bancaires et de lourds frais bancaires et participe donc à un endettement</t>
  </si>
  <si>
    <t>26/03/2018</t>
  </si>
  <si>
    <t>battisacchi-s-119114</t>
  </si>
  <si>
    <t xml:space="preserve">satisfait pour le moment, en attente de voir pour le service prestation réel d'assurance
Le service commercial a en tout cas été extremement efficace. </t>
  </si>
  <si>
    <t>anthony-m-131327</t>
  </si>
  <si>
    <t xml:space="preserve">SUPER TRES CONTENT DE LA RAPIDITE ET DE LA PRISE EN CHARGE DE MON DEVIS. MA SOEUR MA ENVOYER VERS VOTRE ASSURANCE CLIENTE DEPUIS PLUSIEURS ANNEES ELLE A JAMAIS EU DE SOUCIS </t>
  </si>
  <si>
    <t>04/09/2021</t>
  </si>
  <si>
    <t>nahon-j-124011</t>
  </si>
  <si>
    <t xml:space="preserve">très satisfait de la partie commerciale, des explications et du tarif appliqué. et de ses premières démarches administratives. Je vais de ce pas les poursuivre sur les autres contrats ;-)
</t>
  </si>
  <si>
    <t>moune2807-57425</t>
  </si>
  <si>
    <t>La Maaf vire ses clients au moindre sinistre. J'en ai fait les frais pour un sinistre auto et un autre pour l'habitation</t>
  </si>
  <si>
    <t>18/09/2017</t>
  </si>
  <si>
    <t>01/09/2017</t>
  </si>
  <si>
    <t>tomc-137969</t>
  </si>
  <si>
    <t>N'ayant aucunes réponses à mes demandes (informations importantes sur un sinistre) en utilisant le site, j'ai tenté d'appeler directement la matmut afin d'avoir un conseiller. Après avoir essayé d'appeler pendant 4 jours (une dizaine de fois par jour, à toute heure, et 4 agences matmut différentes), j'ai bien compris qu'il était quasi impossible d'avoir une réponse à mes questions dans des délais décents.
J'ai finalement eu un conseiller qui a su répondre à mes questions, mais après tant d'efforts et de perte de temps.. Je déconseille fortement.</t>
  </si>
  <si>
    <t>21/10/2021</t>
  </si>
  <si>
    <t>malika00-67045</t>
  </si>
  <si>
    <t xml:space="preserve">Les employés aussi bien commerciaux que service clients se foutent royalement des clients Des mois pour valider l'adhésion même l'adhésion faites on vous réclame des documents déjà fournis envoie d'un échéancier ne correspondant pas au contrat raccroché au nez du client  remboursements retardés du fait de l'incompétence des employées Regrette d'avoir souscrit chez ag2r </t>
  </si>
  <si>
    <t>23/09/2018</t>
  </si>
  <si>
    <t>mohamed-n-116330</t>
  </si>
  <si>
    <t xml:space="preserve">Je suis satisfait du service de cette assurance parfait et réactif ainsi que très accueillant merci de vos service                                      </t>
  </si>
  <si>
    <t>08/06/2021</t>
  </si>
  <si>
    <t>pasrassure-75472</t>
  </si>
  <si>
    <t>après avoir été contactés début décembre par cet "assureur", dans le cadre de leur recherche de bénéficiaires de contrats, nous avons envoyé les documents et justificatifs demandés début janvier, 2 fois par mail et deux recommandés... toujours pas de nouvelles!</t>
  </si>
  <si>
    <t>SwissLife</t>
  </si>
  <si>
    <t>30/03/2017</t>
  </si>
  <si>
    <t>acheval-67782</t>
  </si>
  <si>
    <t>suite a un sinistre rc non responsable debut aout  toujours pas indemnise Service sinistre injoignable ne repondent pas aux mails. Mon mail avec les pieces demandés envoye il y a 3 semaine n a toujours pas ete traite 
Pitoyable</t>
  </si>
  <si>
    <t>16/10/2018</t>
  </si>
  <si>
    <t>nadiia-y-108572</t>
  </si>
  <si>
    <t>Prix trop élévé 
Aucune information pour le jeune conducteur
Prix trop élévé 
Aucune information pour le jeune conducteur
Prix trop élévé 
Aucune information pour le jeune conducteur</t>
  </si>
  <si>
    <t>kalala-61528</t>
  </si>
  <si>
    <t xml:space="preserve">J’ai changé de voiture, j’étais auparavant chez lcl assurance, et j’ai voulu changé d’assurance pour ma nouvelle voiture. On m’a conseillé la maaf, mais lorsque je suis allée en agence le renseigner on m’a « gentillement » dit que comme je ne connais personne qui soir assuré à la maaf il ne pouvait rien pour moi. A mon arrivé on m’a juste demandé « avez vous un membre de famille assuré chez nous? », j’ai repondu non et on m’a dit desole on peut rien pour vous ... vraiment déçu .. c’est un peu con de ne pas vouloir de nouveau client </t>
  </si>
  <si>
    <t>17/02/2018</t>
  </si>
  <si>
    <t>van-oers-p-126355</t>
  </si>
  <si>
    <t>Je suis satisfaite du service par téléphone et de la signature des documents, c'est facile. Puis la rapidité de prise en charge de ma demande aussi...</t>
  </si>
  <si>
    <t>babacar-94594</t>
  </si>
  <si>
    <t xml:space="preserve">Parfaitement ce dont il me faut!
Je ne suis pas déçu de la visite. Je recommande fortement direct assurance.
Donc je mets 5 étoiles.                   </t>
  </si>
  <si>
    <t>19/07/2020</t>
  </si>
  <si>
    <t>lazhar-k-106101</t>
  </si>
  <si>
    <t>je suis très content du service proposé autant coté tarif que coté pratique.prix le moins cher et service simple et rapide.merci a toute l equipe direct assurance.</t>
  </si>
  <si>
    <t>10/03/2021</t>
  </si>
  <si>
    <t>gael-62954</t>
  </si>
  <si>
    <t xml:space="preserve">il ne  faut pas avoir besoin de son assureur, ils encaissent les primes  ensuite sauve qui peur en cas de sinistre xxxxxxxxxxxxxxxxxxxxxxxxxxxxxxxxxxxxxxxxxxxxxxxxxxxxxxxxxxxxx
 </t>
  </si>
  <si>
    <t>04/04/2018</t>
  </si>
  <si>
    <t>chantal-l-125280</t>
  </si>
  <si>
    <t xml:space="preserve">Je suis très satisfaite et j'ai eu à faire à des gens sympathiques par mails .
Les prix sont très compétitifs et je recommanderai cette assureur à mes proches 
</t>
  </si>
  <si>
    <t>maurice-c-122958</t>
  </si>
  <si>
    <t xml:space="preserve">BJRS TOUJOURS COMPETANT ET DIRECT AIMABLEMENT RECUS PAR TELP PAROLE DE MOTARD CORDIALEMENT  TRES BIEN CONSEILLER ET A CONSEILLER A CHAQUE AMIS MOTARD </t>
  </si>
  <si>
    <t>lili-123146</t>
  </si>
  <si>
    <t>Mutuelle à fuir, prélèvements effectués à tort puisque contrat résilié en bon et dû forme et au bout de 2 mois toujours pas de remboursement.... on vous dit au téléphone le remboursement est enclenché et rien, faut appeler toutes les semaines. Pour faire les prélèvements sur votre compte, ils savent.... Pour des conseils et des remboursements de soins ou autre, y' plus personne.... FUYEZ</t>
  </si>
  <si>
    <t>wrotecki-c-115755</t>
  </si>
  <si>
    <t>Déjà assuré chez L'Ollivier mais aucun avantage sur le tarif et toujours les mêmes renseignements à fournir et à répéter. Visiblement la numérisation  a ses limites</t>
  </si>
  <si>
    <t>02/06/2021</t>
  </si>
  <si>
    <t>louip-60027</t>
  </si>
  <si>
    <t>Sur contrat nous avons un véhicule de remplacement ! Sauf que lorsque nous en avons besoin, ils nous le refusent !!! Il faut qu'on casse la voiture pour y avoir droit !!! Ce n'est stipulé nulle par sur les documents en notre possession. Et nous avions bien stipulé que nous voulions ce véhicule de remplacement lors de la signature du contrat ! (Nous sommes mafré avec les voitures, beaucoup de panne)</t>
  </si>
  <si>
    <t>29/12/2017</t>
  </si>
  <si>
    <t>eric-f-115841</t>
  </si>
  <si>
    <t>proposer un paiement mensuel n'est pas négligeable, peu d'assurance ne le propose pas!
laissez le choix au client de la méthode de souscription, téléphone ou internet, ne forcez pas le choix.</t>
  </si>
  <si>
    <t>03/06/2021</t>
  </si>
  <si>
    <t>magali-l-108618</t>
  </si>
  <si>
    <t>Service très satisfaisant. Rapport qualité/prix très bien. Accueil des interlocuteurs très satisfaisant. Je recommande Direct Assurance à mes proches.</t>
  </si>
  <si>
    <t>31/03/2021</t>
  </si>
  <si>
    <t>jeremy-h-125442</t>
  </si>
  <si>
    <t>Simple et pratiques mais j'espère ne pas avoir de mauvaise surprise au moment d'avoir un problème. Je recommande sans hésiter de souscrit cette assurance</t>
  </si>
  <si>
    <t>gibus-57106</t>
  </si>
  <si>
    <t>CE QUI SERAI BIEN DE POUVOIR ÉDITÈ CARTE VERTE
DANS SONT COMPTE PERSO DANS A PARTIR WEB</t>
  </si>
  <si>
    <t>05/09/2017</t>
  </si>
  <si>
    <t>commeunaimant-64873</t>
  </si>
  <si>
    <t xml:space="preserve">En 2018 les mecs vous demandent d'envoyer un fax ! Du coup ils font même preuve de mauvaise foi en disant qu'ils ne l'ont pas reçu ! Surtout que j'ai envoyé mon dossier sinistre en lettre suivie qui est arrivé le jour même où j'ai perdu mon temps avec eux au téléphone... Pour un fax non reçu ! Peu d'agence en zone rural contrairement à GROUPAMA ou autre maif.. </t>
  </si>
  <si>
    <t>18/06/2018</t>
  </si>
  <si>
    <t>olivier-44975</t>
  </si>
  <si>
    <t>une parfaite gestion des sinistres une communication rapide et facile une prise en compte détaillée précise.
une indemnisation rapide
on prend soin du client et de son sinistre</t>
  </si>
  <si>
    <t>09/11/2018</t>
  </si>
  <si>
    <t>alain33-50073</t>
  </si>
  <si>
    <t>Sociétaires de la Maif depuis de longues années, nous possédons 4 contrats chez eux. Aujourd'hui, assurés depuis plus de 25 ans, nous avons subi notre premier sinistre !!! Ben pour une première, on ai servi !!
Nous déclarons donc un dégât des eaux (non prévisible, rupture d'une canalisation souterraine sous la salle de bains), à notre assureur. Après la visite d'une entreprise mandatée par la Maif afin d'effectuer une recherche de fuite, la Maif décide de faire intervenir un "expert". Lors de sa visite, il a bien voulu prendre en compte les dégâts liés au sinistre dans les chambres , le couloir et les toilettes, mais pas dans la salle de bains. Son explication, trop de dommages consécutifs à la fuite !! 
Aussitôt son départ, j'ai porté une réclamation et j'ai contacté le gestionnaire de notre sinistre pour lui faire part de notre réclamation. Ce dernier m'a indiqué que l'expert devra revenir pour prendre en compte tous les dégâts. Depuis maintenant 2, 5 mois on nous balade et on nous ignorent, aucune possibilité de rencontrer une personne tout se règle par téléphone. Même le délégué de la Maif a essayé d'obtenir des réponses, mais lui aussi c'est heurté a l'indifférence de ses propres collègues!! Ils reconnaissent que l'expert a commis une faute afin de limiter le montant de l'indemnisation, mais propose aucune solution. 
Nous sommes arrivés à point où même le conseiller de notre agence ne cherche plus à défendre sa propres boite !!
C'est une honte !!!</t>
  </si>
  <si>
    <t>09/12/2016</t>
  </si>
  <si>
    <t>jennifer-h-105186</t>
  </si>
  <si>
    <t>Souscription simple et rapide !
Les prix attractifs et la suggestion de contrat pertinente, je suis contente d'avoir rejoint cette compagnie d'assurance</t>
  </si>
  <si>
    <t>dequidt-g-121600</t>
  </si>
  <si>
    <t xml:space="preserve">Les prix me conviennent. Le sav est agréable et rapide. le site est facile d'accès et simple d'utilisation.Je recommande votre assurance à mes proches. 
</t>
  </si>
  <si>
    <t>chat-101361</t>
  </si>
  <si>
    <t xml:space="preserve">je recommande l'assurance GMF meilleur de toutes les assurances de France et surtout la moins chère a tous les niveaux vraiment je ne cesse de le formuler a tous mes collègues
MERCI GMF
</t>
  </si>
  <si>
    <t>12/12/2020</t>
  </si>
  <si>
    <t>clarenz-68906</t>
  </si>
  <si>
    <t>j'ai ete cambriolée debut septembre 2018. j'ai appele pour le déclarer , j'ai tout ce que l'on m'a dit de faire. 3 seamine apres je n'avais pas de nouvelles j'ai appelé et on m'a envoyeé par mail la fiche pour lestimation des biesn degradés et volé. ce que j'ai renvoyé par mail, 1 mois est passé quand on m'explique qu'il faut envoyer par courrier les factures pour les biens volés. 2 mois apres on m'nforme qu 'il faut envoer par courrier le PV,( il l'avait depuuis le debut par mail) et qu'il manquait sur ce PV le details des biens volés, donc je revois le complèment de PV, et le 20/11/18 soit 2 mois 1/2 apres il m'informe trop d'incohérence. j'ai juste fais ceque l'on m'a dit de faire. le préjusdice cela ne les intéresse pas. ils font trainer le dossier pour ne pas me régler. c'est une honte</t>
  </si>
  <si>
    <t>26/11/2018</t>
  </si>
  <si>
    <t>marc-106023</t>
  </si>
  <si>
    <t xml:space="preserve">30 ans d'assurances motos. Aucun accident responsable. 3 motos et une voiture assurées. Augmentation de plus de 15 % !!!!! Alors que l'année 2020 a été ce que l'on sait avec les confinements. Après les avoir contacté je n'ai eu aucune information qui puisse justifier cette augmentation. Je cherche un nouvel assureur!!!
</t>
  </si>
  <si>
    <t>Mutuelle des Motards</t>
  </si>
  <si>
    <t>mokrani-a-114877</t>
  </si>
  <si>
    <t xml:space="preserve">Je suis satisfait du service et du niveau des prix. la démarche pour souscrire le contrat est rapide, simplifiée. je recommande vivement L'olivier Assurance.   </t>
  </si>
  <si>
    <t>maurice-w-106999</t>
  </si>
  <si>
    <t>Parfait , rapide, clair et pertinent.
après  un soucis de connexion résultant de ma connexion internet;  une réponse par téléphone m'a permis de souscrire en ligne sans stress  MERCI</t>
  </si>
  <si>
    <t>nicolas-g-115501</t>
  </si>
  <si>
    <t xml:space="preserve"> J ai pris pour la deuxième fois l assurance emprunteur via zen up pour mon nouveau credit immobilier
Mon premier a été remboursé par anticipation et la première assurance a été clôturé </t>
  </si>
  <si>
    <t>papy46-80156</t>
  </si>
  <si>
    <t>Je viens d'avoir un entretien avec kHALID suite à mon adhésion à cette mutuelle . Mon ancienne mutuelle me refusait la résiliation de mon contrat . Suite à notre discussion, j'ai reçu par mail les papiers nécessaires pour effectuer cette résiliation</t>
  </si>
  <si>
    <t>nortier20-70418</t>
  </si>
  <si>
    <t>Client de la Macif depuis 23 ans, je viens de connaître une expérience assez traumatisante puisque j'ai été cambriolé à 11h du soir alors que j'étais dans mon appartement. La Macif refuse tout remboursement car, même si portes et fenêtres étaient fermées, les volets auraient du l'être (je rappelle que j'étais chez moi). Mon contrat date de 2016. Les conditions générales à ce jour ont évolué (c'est désormais fenêtres OU volets fermés, et non plus ET) mais elle ne n'applique pas à moi !!! alors que l'on parle toujours du contrat Habitation option Protectrice.
Conclusion : Mieux vaut ne pas être un client ancien et fidèle à la MACIF.</t>
  </si>
  <si>
    <t>21/01/2019</t>
  </si>
  <si>
    <t>brillault-k-113829</t>
  </si>
  <si>
    <t>Je suis satisfait du service 
Le prix semble etrd corecte 
On verra par la suite bonne et heureuse journee                                  coordialement</t>
  </si>
  <si>
    <t>15/05/2021</t>
  </si>
  <si>
    <t>chevalier-129740</t>
  </si>
  <si>
    <t>Comme d'habitude on paye des assurances, mais quand il est question de bénéficier des services, on ne rentre pas dans les cases ! Manque d'information et délai trop court.</t>
  </si>
  <si>
    <t>siassia-bambi-b-116207</t>
  </si>
  <si>
    <t>Je suis satisfait du prix. Merci d'être là, pour servir les clients. N'augmentent pas vos tarifs, de peur de perdre les clients. Dans tous domaines le clients est roi.</t>
  </si>
  <si>
    <t>mimi-69585</t>
  </si>
  <si>
    <t>J'ai reçu une mise en demeure de mon hopital qui n'arrive pas à se faire rembourser les quelques frais de Néoliane.
J'ai donc écrit à plusieurs reprises à Néoliane via mon espace adhérent mais Néoliane ne me répond pas.
J'ai du régler les 2 factures (126,40).
En revanche, les prélèvements mensuels de mes cotisations (130,1) fonctionnent très bien.
J'ai essayé de joindre Néoliane sur les messageries mutua-gestion@mutua.fr, sur suivi-client@neoliane.fr mais visiblement, il ne faut pas les déranger sur ces courriels.
Néoliane a fini par me répondre de les contacter via https://www.neoliane.fr/demande-rappel.php et dans le même temps, J'ai reçu un message de la société Santiane qui me demande de contacter Néoliane via http://www.santiane.fr/service-client, ce que je viens de faire.
Mais je suis épuisée d'autant de complications. 
Je comprends que des intermédiaires doivent gagner de l'argent au passage mais quand même les adhérents... 
Je suis heureuse que pour certains, le service client de Néoliane est sérieux et rapide ...</t>
  </si>
  <si>
    <t>mickael-b-129980</t>
  </si>
  <si>
    <t>Je suis satisfait des tarifs proposés aux vues des protections 
Le site est très intuitif
Les devis sont clairs
J espère être pleinement satisfait a l avenir</t>
  </si>
  <si>
    <t>28/08/2021</t>
  </si>
  <si>
    <t>berthy-t-130907</t>
  </si>
  <si>
    <t>Je suis satisfait du service et des prix de mon assurance automobile chez l’olivier assurance.
Tout est bien expliqué lors de suscription de l’assurance avec les personnes en relation.</t>
  </si>
  <si>
    <t>raydu89-95247</t>
  </si>
  <si>
    <t>Merci beaucoup pour votre aide et votre temps. Je ne comprend pas grand chose à ces histoires d'assruance et Sylvain m'a bien expliqué quand j'ai eu besoin. Son très pro et eficace. 
a bientot les copains</t>
  </si>
  <si>
    <t>26/07/2020</t>
  </si>
  <si>
    <t>rahma-63689</t>
  </si>
  <si>
    <t xml:space="preserve">Assurance pas sérieuse à éviter absolument 
Nous somme le 30 Octobre 2019 , je viens d'appelé le service clients pour modification d'adresse et faire un devis pour diminué le prix de mon assurance vue que on me propose moins cher ailleurs et le service client viens juste de me raccrochez au nez !
déjà que j'appelle pour la deuxieme fois pour le changement d'adresse vue que il n'est pas fais correctement et en plus en me  raccroche au nez pour une demande .
Service clients et assurance vraiment pas sérieuse et trop cher ...     </t>
  </si>
  <si>
    <t>30/10/2019</t>
  </si>
  <si>
    <t>moataz-65782</t>
  </si>
  <si>
    <t>je signale un sinistre le 10 juillet en agence en me précisant que l on doit me contacter par téléphone pour le suivi du sinistre ....aucun appel...j ai recontacté par téléphone le 24 juillet qui me précise que l expert doit me contacter par téléphone dans le 48 h et 2 jours après je reçois un SMS d une personne qui me fixe un RDV le 17 août à 9h15 .....je rêve ... un mois après le sinistre (il s'agit d' une porte de entrée) et je n' ai pas le choix du jour et ni de lheure....</t>
  </si>
  <si>
    <t>27/07/2018</t>
  </si>
  <si>
    <t>loullou-112188</t>
  </si>
  <si>
    <t>A la Cegema depuis janvier 2021, quelle déception. Elle n'a jamais répondu à la demande de prise en charge du 23 mars d'une intervention que je devais subir le 14 avril et à ma sortie j'ai acquitté le "reste à charge". A ce jour, toujours aucun signe de vie malgré les relances téléphoniques et les message du courtier Hueber de Tarbes qui m'a "vanté" les qualités de cette mutuelle. Je viens d'obtenir une adresse email : serviceréclamations@cegema.com , qui ne figure d'ailleurs sur aucun des documents remis et j'espère que mon message, mais sans illusion, fera bouger les choses !</t>
  </si>
  <si>
    <t>alainmenot-50910</t>
  </si>
  <si>
    <t>Aucun problème prise en charge de mon dossier et ensuite un service clients au TOP.Suffit de bien envoyer les document demandés.Le plus difficile a été de faire patienter ma banque.Je conseille fortement la CNP.</t>
  </si>
  <si>
    <t>04/01/2017</t>
  </si>
  <si>
    <t>ledromois-49768</t>
  </si>
  <si>
    <t>exceptionnel, l'agent du cabinet d'assurance, lui-même, me conseille de changer d'assureur alors que j'assure depuis 10 ans mon véhicule chez eux (34 euros/mois il y a 10 ans - aujourd'hui 186Euros/mois).
Il ne comprend pas pourquoi le logiciel a majoré autant.
En dédommagement ; RIEN, c'est comme ça. L'agent se cache derrière le siège. Il dit avoir honte que l'on m’aie pris pour un "......."
dès aujourd'hui je dégage!!!!!</t>
  </si>
  <si>
    <t>dantan-c-134563</t>
  </si>
  <si>
    <t>Service rapide, personnel disponible et à l'écoute. 
Lors de la souscription, j'avais des questions concernant la résiliation de mon précédent contrat, tout a été pris en charge pour moi.</t>
  </si>
  <si>
    <t>26/09/2021</t>
  </si>
  <si>
    <t>lysgomis835-81812</t>
  </si>
  <si>
    <t>Au départ j'avais bien noté cette assurance car ils étaient réactif.. mais maintenant je réalise qu'ils aiment bien prendre les clients pour des imbéciles et les balader de gauche à droite.. Jai eu un sinistre vol le 08/10/2019.. depuis on m'a demandé d'envoyer les documents du véhicule, le dépôt de plainte et la fameuse preuve d'achat.. Ayant échangé ma voiture + 3000e en liquide contre un tmax 530 neuf à un particulier, on me demande la preuve que j'ai retiré 3000e.. donc je fourni mes relevés bancaires ( presque 2mois pour les obtenir car c est un compte en ligne ) que j'envoie via la plateforme de AMV.. mais non C'est pas bon il faut les originaux en format PDF.. et si j'appelle pas on me le dis pas.. Donc traitement des dossiers exécrable, mauvaise fois au de la du maximum, et aucune considération pour les clients.. Donc je prends un avocat dès demain et il s'occupera de tout et j'irai au bout de la démarche.. pour encaisser les sous tous les mois ils ont pas demandé une tonne de papier mais maintenant qu'ils doivent rembourser.. il faut 1 tonne de documents.. Et cerise sur le gâteau, depuis le sinistre ils continuent à me prélever tous les mois</t>
  </si>
  <si>
    <t>04/02/2020</t>
  </si>
  <si>
    <t>coralie-a-135071</t>
  </si>
  <si>
    <t xml:space="preserve">Je suis Très satisfaite de cette assurance auto, les prix sont très attractifs je recommande fortement cette assurance auto. Rapide simple efficace tout ce qu'il faut! </t>
  </si>
  <si>
    <t>isa-66706</t>
  </si>
  <si>
    <t>Quelle fut ma surprise de voir que je ne suis pas le seul à "galérer" pour pouvoir obtenir mon complément de revenus en lisant les commentaires ci dessous !! Je suis en arrêt depuis juin suite a une opération des canaux carpiens , j essaye en vain de valider mon dossier auprès d 'AG2R envoies des documents par courrier et par email a 2 reprises sans nouvelles de leur part a ce jour ... Aucuns arrêts enregistré sur ma page perso AG2R en résumé rien de fait . Donc je déconseille si vous avez le choix .</t>
  </si>
  <si>
    <t>21/09/2018</t>
  </si>
  <si>
    <t>heliof-65678</t>
  </si>
  <si>
    <t xml:space="preserve">Je souhaite faire diffuser une expérience surréaliste avec la MAIF, affaire toujours en cours d’instruction.
Les faits :
- Le 18/04/2018 mon véhicule est percuté à l’arrière par un véhicule dont le conducteur était occupé par l’utilisation de son portable. Celui-ci reconnait entièrement sa responsabilité et le constat est fait.
- Un expert, désigné par la Maif, expertise le véhicule, le 03/05/2018. A son retour de vacances, le 22/05/2018, il indique dans son rapport que le véhicule n’est pas financièrement réparable (coût de 4600 euros pour un Zafira 2002 Diesel avec coffre, pare-chocs et renfort - arrière à changer). 
- Il m’indique une valeur résiduelle de 1600 euros et m’incite à m’en séparer. Lors de l'estimation visuelle l'expert m'avait pourtant spécifié un très bon état du véhicule, me l’avait reconfirmé par téléphone. Il a cependant noté un état "normal" sur le compte rendu. 
- Je fais estimer la valeur du marché du véhicule, en particulier sur la centrale des pros (avec le bon kilométrage, soit 2500 euros). L'expert me contre-argumente que je dois prendre aussi "le bon coin" comme référence !!!! A la suite, entretien téléphonique pour m'obliger à prendre une décision immédiate. L’estimation est alors descendue à 2200 euros.
- Je prends RV dans une agence Maif de Paris pour traiter le problème. L’agence ne s’occupe que des contrats à venir et me donne le numéro de téléphone de la plateforme « Gestion des sinistres » !!!
- J’indique à la Maif que je vais faire procéder aux réparations en utilisant des pièces d’occasion, ce qui me diminue le coût maximal de 2900 euros avec mon concessionnaire. 
- La Maif me répond qu’en cédant le véhicule (avec appel téléphonique le weekend !), un bonus de 300 euros me sera offert (geste commercial pour fidélité), soit 2500 euros en cédant le véhicule à cette société d’expertise.
- J’indique à la Maif mon souhait de faire procéder aux réparations et demande le versement de la somme de 2200 euros pour couvrir les frais.
- Refus de la Maif, argumentant le passage par un garage partenaire ou présentation de factures.
- Refus de ma part de passer par un partenaire et d’avancer la somme, et demande donc d’être mis en contact avec le service juridique pour que les frais soient pris en charge par l’assurance adverse.
- Depuis, aucune réponse de la Maif, malgré des relances quasi journalières (emails avec AR) tant au niveau du service « Gestion des sinistres » qu’au niveau du service « Réclamation ».
- Nous sommes le 26/07/2018, le véhicule n’est toujours pas réparé, La Maif ne répond pas, l’expert a procédé à la fermeture du dossier.
- Nous sommes dans l’obligation d’utiliser le véhicule.
La non réparation du véhicule, en particulier le non remplacement du renfort de pare-chocs, peut-elle être considérée comme un cas de non-assistance en personne en danger potentiel ?
Y a-t-il des consignes ou entente pour retirer de la circulation des véhicules diesel ?
J’ai fait estimer le préjudice (100 euros par jour de non utilisation).
Le comportement de la Maif me parait surréaliste.
</t>
  </si>
  <si>
    <t>26/07/2018</t>
  </si>
  <si>
    <t>hotphot-51733</t>
  </si>
  <si>
    <t>Attractif en prix ,cette mutuelle assurances CEGEMA ne donne que le strict minimum des conventions..Carte Blanche est un leurre qui n'apporte rien .A moins de souscrire sur des mensualités très fortes..Mutuelle a éviter</t>
  </si>
  <si>
    <t>benjamin-80644</t>
  </si>
  <si>
    <t xml:space="preserve">FUYEZ vous paierez une assurance propriétaire non occupant à prix d'or. Mais quand il s'agit de régler le sinistre causé par un tiers , vous êtes bons pour vous débrouiller seul
Des mois de solitude pour un sinistre non responsable  très grave </t>
  </si>
  <si>
    <t>02/11/2019</t>
  </si>
  <si>
    <t>ppapin92-51392</t>
  </si>
  <si>
    <t xml:space="preserve">J'ai une fuite sur une conduite enterrée entre les compteurs et mon appartement (copropriété). Nous sommes assurés pour la copro au crédit mutuel, ainsi que mon assurance personnelle habitation. 
Ils ne couvrent rien, même pas la rechercher de fuite.
Tous les artisans contactés ont exprimé leur surprise quant au non remboursement de cette recherche.
A priori, nous faisons partie des rares cas à ne pas être remboursés.
Pour un autre dégât des eaux dans la copro (fuite sur un toit), la personne contactée a tout de suite déclarée qu'ils ne remboursaient rien car cela ne viendrait pas de tel ou tel évènement...
A quoi bon s'assurer ? 
En tous les cas pas avec cet assureur, qui quel que soit le sinistre, se dérobe tout le temps. </t>
  </si>
  <si>
    <t>17/01/2017</t>
  </si>
  <si>
    <t>daniel-z-123102</t>
  </si>
  <si>
    <t xml:space="preserve">simple et pratique , les reponses sont rapides pour se donner un avis , d' ailleurs j'ai incité mes amis et connaissances à devenir sociétaires  chez direct assurance </t>
  </si>
  <si>
    <t>11/07/2021</t>
  </si>
  <si>
    <t>mariericharte8-122301</t>
  </si>
  <si>
    <t>Ne prenez pas neoliane! Au bout de 2ans refuse votre résiliation et quand vous devenez veuf ,vous demande les mensualités 202euro pour une personne vivant et une décédée.la honte.c'est ce qui arrive à mon papa</t>
  </si>
  <si>
    <t>04/07/2021</t>
  </si>
  <si>
    <t>christian69-74707</t>
  </si>
  <si>
    <t>Je confirme tous les commentaires négatifs à l'encontre de Néoliane/Santiane. J'ai adressé une résiliation de contrat en bonne et due forme par le site Résilier.fr, à compter du 31/12/2018, mais le service client fait l'autruche et invoque toujours une raison non valable pour ne pas entériner la résiliation, et en m'envoyant tous les mois une demande de règlement de cotisation. Aux dernières nouvelles, mon dossier serait au contentieux!! Cherchez l'erreur!!</t>
  </si>
  <si>
    <t>03/04/2019</t>
  </si>
  <si>
    <t>margaux-b-135077</t>
  </si>
  <si>
    <t xml:space="preserve">Satisfaite du service. Les prix sont chers, il est dommage de payer plus cher en mensualisant, car pour les petits portes feuilles, l'effort est tout de même grand. </t>
  </si>
  <si>
    <t>doume--99451</t>
  </si>
  <si>
    <t>Un service clients aussi déplorable que les remboursements de contrats qui restent différents de ce que vous affirment des courtiers peu scrupuleux. Ensuite Très difficile de dénoncer les contrats . Attention pensez aussi à résilié la prévoyance. À éviter absolument. La note de 0 étoile serait plus adapt</t>
  </si>
  <si>
    <t>31/10/2020</t>
  </si>
  <si>
    <t>alienb54-104052</t>
  </si>
  <si>
    <t>Bonjour à tous
Je crois que je n'ai jamais rencontré de tels personnes, au téléphone ils sont agressifs, procéduriers au possible, vous demande plusieurs fois le mème document.
Et des papiers qui ne seront produits qu'un mois plus tard.
Leur médecin conseil se permet des choses aberrantes, il a des contacts officieux auprès de la CPAM preuve en est, il connait mes problèmes de santé n'ayant rien avoir avec le sinistre et cherche par tout moyen l'erreur en l''occurrence pour moi il n'y en a pas, donc il cherche ailleurs
N'ayez jamais besoin d'eux vous serez rembarrer vite fait avec violence.
Heureusement que j'ai demandé de l'aide auprès d'UFC que choisir qui essaie de m'aider, rien n'est gagner.
Relisez votre contrat des surprises vous attendent comme le bénéficiaire en cas de sinistre pour nous c'est la banque, pourquoi???.
Pour nous le cancer, mais la pitié ils ne connaissent pas.
Bon courage</t>
  </si>
  <si>
    <t>Afi Esca</t>
  </si>
  <si>
    <t>christine-a-113377</t>
  </si>
  <si>
    <t xml:space="preserve">Acceuil téléphonique cordial, des conseillers très professionnels, de bon conseil, prise en charge de sinistre très réactive et simple. Démarches simplifiées. </t>
  </si>
  <si>
    <t>mousse-91091</t>
  </si>
  <si>
    <t>Bonjour, ayant eu un sinistre imaginaire en 2019 avec un cycliste, j"ai demander a l'assurance de nommer un expert pour qui vienne constater sur place ce qui sais réellement passer , il m'on mis responsable a cent pour cent, sans me demander mon avis,  ma protection juridique aucun nouvelle.
j'ai du prendre un avocat pour résoudre cet affaire.</t>
  </si>
  <si>
    <t>19/06/2020</t>
  </si>
  <si>
    <t>sebastien-v-109935</t>
  </si>
  <si>
    <t>accueil téléphonique OK personnel compétent
contrat clair
options claires
prix correct
tout OK
site internet et application oK
necessite tout de même contact par téléphone pour finaliser
Fidélité non récompensée, les tarifs nouveaux clients plus bas que clients fidèles en renouvellement de véhicule. A améliorer svp</t>
  </si>
  <si>
    <t>10/04/2021</t>
  </si>
  <si>
    <t>vr6-72407</t>
  </si>
  <si>
    <t xml:space="preserve">Très très très mauvaise assurance qui croit qu ils ont raison ne veut pas rembourser alors qu ils n ont aucun élément que du verbal pour un préjudice de 31000e c est pour ça que je vai me retirer ainsi que tout mes proches et mm tous ce qui est habitation à déconseiller fortement ne prend rien en considération quand il s agit de rembourser </t>
  </si>
  <si>
    <t>22/03/2019</t>
  </si>
  <si>
    <t>01/03/2019</t>
  </si>
  <si>
    <t>di-79949</t>
  </si>
  <si>
    <t>je serais adhérent le 01/01/2020 mais les contacts téléphonique me donne satisfaction contact avec SABRINA maintenant l'année 2020 souscrit avec santiane espérons que je ne serais pas insatisfait</t>
  </si>
  <si>
    <t>11/10/2019</t>
  </si>
  <si>
    <t>patlem-49917</t>
  </si>
  <si>
    <t xml:space="preserve"> Après 4 ans de contrat, toujours un coefficient «bonus-malus» constant de 50 % de moins de 3 ans??.. Contrat en cours avec une augmentation de 10 %???…             Malgré le non-respect de ses obligations et des lois, cet assureur refuse encore la résiliation des contrats.                                                                              </t>
  </si>
  <si>
    <t>forogo-t-139556</t>
  </si>
  <si>
    <t xml:space="preserve">Souscription rapide
Prix abordable 
Bonne expérience de souscription 
Vous avez vos documents et être prêt à conduire les minutes suivant votre souscription </t>
  </si>
  <si>
    <t>fanfan-89944</t>
  </si>
  <si>
    <t xml:space="preserve">Comment vous dire mon expérience désastreuse chez eux cela fait 1 an et demi que je suis chez eux avec un taux bonus de 39% via le parrainage de ma famille, on ma pris en formule équilibré 130€ pour ma SV 650 n Bride sois disant qu'elle passe en sportive, une honte ils n'y connaissent rien, je part chez April moto tout risque 50€ par mois, sauf que j'ai voulu demandé mes fiches de renseignement, il y a un ecart sur le coefficients de 0.34, j'ai envoyé un message il y a 20 jours pour comprendre cette écart, aucune réponse.
J'ai entre temps malheureusement eux un accident de moto sur un trajet boulot, la conseillère que j'ai eu au téléphone ma dis que je n'aurais aucun malus car c'était un trajet boulot, au final je reçois ma fiche de renseignement victime et précisé que mon bonus/malus sera réévaluer, une grosse douille cette assurance honnêtement je suis dégouté. </t>
  </si>
  <si>
    <t>26/05/2020</t>
  </si>
  <si>
    <t>jacqueline-c-107690</t>
  </si>
  <si>
    <t>je suis satisfaite de l'offre qui m'est proposée ainsi que les garanties que vous m'avez proposés sur votre site . Prix qualité, correcte .
Cordialement.</t>
  </si>
  <si>
    <t>maria-dirosa-100128</t>
  </si>
  <si>
    <t>J'ai été radiée manu-militari au motif que j'avais trop de sinistres... Bref, je me suis faite voler des bijoux et faite arracher un sac à main cette année et manifestement ils n'aiment leur rôle d'assureur que lorsqu'il s'agit de toucher des cotisations (chères) et non quand il s'agit de "faire marcher" l'assurance... Assureur militant? hahaha... la bonne blague.</t>
  </si>
  <si>
    <t>16/11/2020</t>
  </si>
  <si>
    <t>joelle-74878</t>
  </si>
  <si>
    <t>Nous sommes tres satisfait de notre assurance..Après 36 ans de bons et loyaux service..Nous avons demandé  de pouvoir bénéficier des nouveaux contrats autos sans franchise. .Réponse négative. .Il faut être  nouveau client..Une aberration. ..Aucune discussion. .Aucune considération. . Aucun geste commercial. .</t>
  </si>
  <si>
    <t>08/04/2019</t>
  </si>
  <si>
    <t>rezende-a-112535</t>
  </si>
  <si>
    <t xml:space="preserve">Je suis satisfait du prix , et du service proposée , des conseillers qui sont à l’écoute et qui réponde très vite a la demande du client , je recommande cette assureur </t>
  </si>
  <si>
    <t>nab-74894</t>
  </si>
  <si>
    <t xml:space="preserve">je subi un combriolage.La MACIF a mandaté un expert.Il est venu à mon domicile fait le tour de la maison et reste 4heures pour vérifier justificatif apres justificatif.Il m'a envoyé une lettre  D'acceptation que j'ai signé .suite à cela ont m'a dit  que j'allais être remboursé .sa fait 3 mois que j'attend .A chaque fois que j'ai un conseiller sinistre il me dit que je vais être remboursé rapidement .Depuis j'attend toujours et dernièrement on me dit qu'il fallait une étude complètement </t>
  </si>
  <si>
    <t>09/04/2019</t>
  </si>
  <si>
    <t>severine-l-129444</t>
  </si>
  <si>
    <t xml:space="preserve">Service satisfaisant et simple
Rapide et efficace 
Les prix sont très compétitifs
Étant assuré depuis des années Je recommande fortement direct assurance
</t>
  </si>
  <si>
    <t>caracole-95643</t>
  </si>
  <si>
    <t xml:space="preserve">Je perçois ma retraite de cadre du même groupe (humanis et compagnie) et on me refuse de m'assurer parce que j'ai 77ans !!
Sans commentaires superflus.
</t>
  </si>
  <si>
    <t>29/07/2020</t>
  </si>
  <si>
    <t>gros-m-112652</t>
  </si>
  <si>
    <t>Je suis satisfait des services pour le moment. Les prix sont corrects et j'y trouve mon compte. A voir pour la suite du contrat si tout est en ordre ou pas</t>
  </si>
  <si>
    <t>nadege2808-88384</t>
  </si>
  <si>
    <t>Depuis le 14 décembre 2019, mon dossier assurance emprunteur cardif me demande les mêmes documents par mail et par courrier, je les renvoie systématiquement et ce matin je reçois un dernier rappel pour les mêmes documents c'est honteux</t>
  </si>
  <si>
    <t>18/03/2020</t>
  </si>
  <si>
    <t>delory-m-112472</t>
  </si>
  <si>
    <t>tres satisfait, rapide et simple de souscription. Je recommenderai tres bientot cette assurance a des proches qui souhaitent aussi faire de grosses economies</t>
  </si>
  <si>
    <t>03/05/2021</t>
  </si>
  <si>
    <t>claire-o-130761</t>
  </si>
  <si>
    <t>toujours très bien accueillie, renseignée.
justificatifs demandés fournis
je reviendrais vers vous pour une assurance locative étudiant prochainement
cordialement</t>
  </si>
  <si>
    <t>lance-116078</t>
  </si>
  <si>
    <t xml:space="preserve">Incroyable ! Nous étions ma sœur et moi  bénéficiaires d'une assurance vie de notre mère décédée. Ne recevant rien, nous avons telephoné, écrit pour entendre répondre que nous ne faisions pas parti de la liste des Bénéficiaires. Nous avons pris un avocat et entamé une procédure et comme par hasard ils se sont aperçus de leur erreur. Que de pauvres gens doivent se faire avoir. </t>
  </si>
  <si>
    <t>05/06/2021</t>
  </si>
  <si>
    <t>pat-99285</t>
  </si>
  <si>
    <t>Assurance très bien positionné niveau prix par contre compliqué à se faire comprendre pour modifier un contrat la réponse type que l ont vous donne allé chez un autre assureur et cette réponse ne me convient pas</t>
  </si>
  <si>
    <t>27/10/2020</t>
  </si>
  <si>
    <t>ophelie-g-131255</t>
  </si>
  <si>
    <t>Dans l'ensemble satisfaisant pour l'inscription........
Nouvelle cliente c'est  a voir par la suite j'espère ne pas etre déçu de mon choix......et que le service client est efficace</t>
  </si>
  <si>
    <t>breuil-c-108502</t>
  </si>
  <si>
    <t xml:space="preserve">Prix convenables rapidité de réalisation du contrat
Personnes au téléphone très agréables et très à l écoute je pense que je vais conseiller cette assurance à mes connaissances </t>
  </si>
  <si>
    <t>morgan-b-126396</t>
  </si>
  <si>
    <t>Etant nouveau client, J attend de voir comment se passe la première année avant de donner un quelconque avis.
Concernant le prix, ce dernier est très attractif</t>
  </si>
  <si>
    <t>styven-n-111599</t>
  </si>
  <si>
    <t xml:space="preserve">Je suis satisfait, très content des services et des prix rien à dire merci pour votre efficacité ! 
Je recommande april moto à tout les motards et jeune permis pour des prix et une protection au top </t>
  </si>
  <si>
    <t>milamb-64402</t>
  </si>
  <si>
    <t>Tres mauvaise assurance , voila 7 mois que mon vehicule est immobilise a cause d'une erreur de carburant de la part de la station . Ils ont mis 3 mois avant de ne pas prendre un expert et 3 mois avant de regler le réparateur</t>
  </si>
  <si>
    <t>charliedream83-50522</t>
  </si>
  <si>
    <t xml:space="preserve">Des pratiques inimaginables. Je me suis aperçue qu'il comptait des sinistres quand j'appelais simplement pour des renseignements.  Donc impossible de changer d'assureur après. Honteux! </t>
  </si>
  <si>
    <t>20/12/2016</t>
  </si>
  <si>
    <t>max-2003-78201</t>
  </si>
  <si>
    <t>Assurance qui ne vends pas du tout sont service mais alors pas du tout pour assuré meme un véhicule de collection il nous demande tout un tas de renseignement qui ne serviras a rien et difficile de les avoir au téléphone</t>
  </si>
  <si>
    <t>05/08/2019</t>
  </si>
  <si>
    <t>nicolas-68573</t>
  </si>
  <si>
    <t xml:space="preserve">apres des souci financiers, j'ai réglé ce que je devait pour mon contrat moto, on me passe maintenant en prime annuelle, on me reclame pres de 200 euros d'un coup, je suis client depuis 12 ans chez axa, que des problemes... entre ca et je changement de compte bancaire qui n'a jamais ete pris en compte pour ma mutuelle malgré 2 rib donné a mon agent axa, plus un envoyer en reco au service prelevement et un au service client... facile de dire quon est mauvai payeur quand les changement ne sont jamais pris en compte... </t>
  </si>
  <si>
    <t>14/11/2018</t>
  </si>
  <si>
    <t>bibinoudu71240-50098</t>
  </si>
  <si>
    <t>a fuir immédiatement. On ne peut jamais les avoir. Augmentation de tarifs sans vous avertir sauf quelques jours avant et pire alors que mon bonus a été augmenté !</t>
  </si>
  <si>
    <t>raphael-v-105076</t>
  </si>
  <si>
    <t>rapidité de la souscription, tarifs en hausse par rapport à mes anciennes demandes. souscription impossible de ma fille avant ses 2 ans d'assurance malgré la conduite accompagné assurée par DA.</t>
  </si>
  <si>
    <t>03/08/2021</t>
  </si>
  <si>
    <t>jacky-0259-75397</t>
  </si>
  <si>
    <t>35 % d'augmentation en 2 ans sans aucune raison et malgré un bonus de 50 %. On me dit que c'est normal, que le tarif est calculé par rapport aux sinistres de la zone dans laquelle je suis !!!!!!
Je quitte cette assurance sur le champ.......</t>
  </si>
  <si>
    <t>francis-54828</t>
  </si>
  <si>
    <t>Sans commantaire. Très  déçu  par le fait qu'une modification de contrat ait entraîné un nouveau contrat, pas normal de la part d' après  l'un de vos concurrents .</t>
  </si>
  <si>
    <t>20/05/2017</t>
  </si>
  <si>
    <t>domino-136283</t>
  </si>
  <si>
    <t>Très mauvais gestionnaires et délais de traitements inacceptables. 
Client depuis plus de 35 ans et pour l'ensemble des biens (voitures, motos, maisons et enfants), j'ai été confronté récemment à deux problèmes d'assurances qui ont nécessité leur aide. Malheureusement, le suivi des dossiers est laborieux et les réponses apportées ne prennent pas en compte la situation sanitaire et celle du client. 
Pour qua la garantie pannes mécaniques souscrite chez eux et opérée par Gras Savoye fonctionne, il aurait fallu que je fasse une révision prévue en 2020 en pleine pandémie et avec des restrictions de déplacement. Malgré le fait que le véhicule n'a pas fait beaucoup de kilomètres, ils considèrent que l'entretien n'est pas confirme aux préconisation du constructeur pour refuser l'indemnisation. 
Le moment est venu de goûter à la concurrence et faire réévaluer les coûts de mes contrats.
Dommage de voir que les promesses affichées dans les pubs ne sont pas tenus sur le terrain !</t>
  </si>
  <si>
    <t>06/10/2021</t>
  </si>
  <si>
    <t>rabidoudou-6300</t>
  </si>
  <si>
    <t>lors d'un appel pour ajouter un 3eme contrat auto avec signalement de la fin prochaine de la fin de formation de conduite accompagnées de mon fils, j'ai été informé que l'on me demandais de trouver un autre assureur, eurofil refusant le droit a mon fils d’être assuré pour continuer a conduire mes véhicules assurés chez eurofil ?</t>
  </si>
  <si>
    <t>06/01/2017</t>
  </si>
  <si>
    <t>belliard-d-108840</t>
  </si>
  <si>
    <t xml:space="preserve">Pas d avis concrète, je viens de souscrire. À voir à l'avenir. En espérant ne pas avoir de surprise durant cette année d engagement. Bien cordialement </t>
  </si>
  <si>
    <t>thebesteemo-80818</t>
  </si>
  <si>
    <t>Assurance à éviter à tout prix.
Même si le prix est aguicheur, le service et la prestation ne sont absolument pas là. Sur simple appel, notre contrat a été résilié.. aucun justificatif n'a été demandé et quand nous avons essayé d'appeler l'assurance pour résoudre ce problème, une responsable méprisante et excecrable de la maaf nexx a eu une attitude insultante à notre égard. Elle n'a même pas essayé de trouver avec nous une solution et nous a clairement dit d'aller voir ailleurs.. et s'est permis d'ajouter à notre dossier des mensonges d'une importance significative!! En ce temps où l'expérience client est au coeur des préoccupations, il n'y a aucune chance pour que je revienne un jour chez cet "assureur" et encore moins pour que je le conseille à quiconque</t>
  </si>
  <si>
    <t>07/11/2019</t>
  </si>
  <si>
    <t>alexis-b-129877</t>
  </si>
  <si>
    <t>J'aurais aimé être prévenu avant qu'il fallait réglé 3 mois d'avances . 
Mais imbattable sur leur tarifs je recommande vivement ! 
Je resterai surement la pour ma troisième moto .</t>
  </si>
  <si>
    <t>abdel-50954</t>
  </si>
  <si>
    <t xml:space="preserve">Bonjour, je voudrait vous avertir que en cas de sinistre chez Axa  faut prendre un avocats de suite car MOI après avoir été victime d'un combriolage dans mon magazin et que l'expert et passer à établie son rapport defenitif en précisant qu'il fallait indemniser. AXA a décider le contraire et elle à employer un enquêteur qui je ne sais même pas pour qui il travaille il se présente à MOI en m'appelant de son 06 bonjour, détective privee nous avons été contacter par Axa votre assureur faut qu'on se rencontre.il me donne rdv 2  semaine apres alors que je suis commerçant et que si je réouvre pas mon commerce.  Je pourrai mettrela clés sous la porte. Donc apres tous cela à vous de choisir votre bonne assurance qui ne cherche pas que leur intérêt   </t>
  </si>
  <si>
    <t>05/01/2017</t>
  </si>
  <si>
    <t>nawel-103279</t>
  </si>
  <si>
    <t>ATTENTION ??  ! Bonjour à tous je vais pas entrer dans les détails yen aurai 8 page recto verso mais chercher une autre assurance je m’adresse à ceux qui ont la chance de ne pas encore avoir souscrit car une fois que c’est fait ce sera tout simplement impossible de résilier ils vous trouveront tout les prétextes possible du coup je me retrouve avec deux assurance... le service client c’est tout simplement Des personnes qui parle à peine français qui se permet de vous raccrocher au nez et de vous parler comme si vous étiez un moin que rien assurez tout risque sa fait plus de 2 mois que mon sinistre en Raison n’est pas pris en charge FUYEZ si vous ne voulez pas avoir dés crise de nerf quotidiennement 4 demande de résiliation ont étais faite par ma nouvelle assurance mais ils refuse de me laisser partir à croire qu’il sont tomber amoureux de moi ????</t>
  </si>
  <si>
    <t>18/02/2021</t>
  </si>
  <si>
    <t>marie-g-106163</t>
  </si>
  <si>
    <t>Service rapide et accessible
Prix compétitifs
N'effectue pas la démarche de résiliation auprès de l'ancien assurance comme annoncé par téléphone. Je reste sans réponse depuis plusieurs jours !?</t>
  </si>
  <si>
    <t>clement-b-117277</t>
  </si>
  <si>
    <t>Prix un peu chère pour un scooter de 2002.. 
Assurance sans meme de carte grise, juste avec les numéro de série.
Idéal pour faire une première immatriculation.</t>
  </si>
  <si>
    <t>anne-51421</t>
  </si>
  <si>
    <t>Tres bonne assurance. Prix competitifs.</t>
  </si>
  <si>
    <t>18/01/2017</t>
  </si>
  <si>
    <t>clo-122870</t>
  </si>
  <si>
    <t xml:space="preserve">Je n'ai jamais vu un tel manque de professionnalisme au sein d'une compagnie d'assurance ! 
Mon contrat n'a jamais été mis en "loi Madelin" comme demandé dès le début et relancé à plusieurs reprises, résultat impossible de déduire fiscalement les cotisations, il a fallu plus de 4 mois de relance quasi hebdomadaires pour qu'ils daignent enfin placer mon contrat en Loi Madelin, mais pas de manière rétroactive et aucun geste commercial de leur part. Les conseillers mettent des semaines à répondre et tout ça pour dire "je vais me renseigner et je reviens vers vous plus tard". 
A FUIR ! </t>
  </si>
  <si>
    <t>Gan</t>
  </si>
  <si>
    <t>gaga92-99410</t>
  </si>
  <si>
    <t xml:space="preserve">Pour l'instant comptent moi et ma fille qui a eu son permis en janvier direct assurance est 2 à 3 fois moins cher que tout les autres après si je m'assure moi seul avec 50 %depuis 12 ans d'autre sont 30 %moins cher dommage que pour ma fille ça coince pourtant permis en conduite accompagnée merci à direct assurance </t>
  </si>
  <si>
    <t>30/10/2020</t>
  </si>
  <si>
    <t>suzrem-62100</t>
  </si>
  <si>
    <t xml:space="preserve">Cela fait 5ans que je suis tres satisfaite de Santiane et contente que vous me proposiez un nouveau contrat moins onnereux </t>
  </si>
  <si>
    <t>07/03/2018</t>
  </si>
  <si>
    <t>vero-68277</t>
  </si>
  <si>
    <t xml:space="preserve">erika parfaite </t>
  </si>
  <si>
    <t>02/11/2018</t>
  </si>
  <si>
    <t>kat-98355</t>
  </si>
  <si>
    <t>Après 30 minutes d'attente impossible de les joindre cela est inacceptable ,j' aurais pu y passé la journée et toujours personnes pour repondre . Comment fait on pour avoir un document ? Que fait le directeur de cette mutuelle . Nul de chez nul</t>
  </si>
  <si>
    <t>05/10/2020</t>
  </si>
  <si>
    <t>attchoume-137950</t>
  </si>
  <si>
    <t xml:space="preserve">Ma chienne est décédé le 1r aout 2021, on a payé une assurance presque 14 ans sans retard et au 21 octobre 2021 nous n’avons toujours pas reçu de remboursement or au téléphone on nous dit bien qu’on doit encore attendre 2 chèques mais il ne l’es envoi pas. Alors que nous on a été prélevé directement sur le compte donc ils ont bien notre RIB pour effectuer un virement pour clôturer le dossier plus rapidement.
ATTENTION AUX ASSUREURS SOLLY AZAR, ILS PRENNENT VOTRE ARGENT MAIS NE VOUS REMBOURSE PAS </t>
  </si>
  <si>
    <t>Solly Azar</t>
  </si>
  <si>
    <t>siga--128265</t>
  </si>
  <si>
    <t xml:space="preserve">Je ne recommande absolument pas cette compagnie d’assurance 
J’ai eu un accident dont je n’étais pas responsable. 
L’expert a chiffré le prix des réparations supérieur au pris de la valeur de mon véhicule sur le marché 
Mon dossier doit donc passer par l’expert conseiller de la compagnie 
Cela fait deux mois que je n’est aucun retour de la part de l’assurance 
Toutes les semaines c’est à moi de les appeler mon dossier est en attende d’une validation dont il ne connaisse pas le délais d’attente 
A aucun moment la compagnie ne m’a appeler concernant mon dossier </t>
  </si>
  <si>
    <t>thierry-c-124852</t>
  </si>
  <si>
    <t>Je suis satisfait de direct assurance mais payer 925€ par an pour une voiture de 2007 je trouve cela excessif, l'olivier assurance me propose la même chose pour 650€ par an, je vais donc changer d'assureur !</t>
  </si>
  <si>
    <t>benlab-49778</t>
  </si>
  <si>
    <t>Client GMF depuis plus de 10 ans j'ai eu en peu de temps une mauvaise série de sinistres dont un seul responsable . J'ai reçu un appel m'informant que l'assurance ne voulait plus m'assurer compte tenu de ces sinistres. J'étais encore à 50% et j'ai deux autres véhicules assurés chez eux mais rien n'y fait l'assurance décide de me radier. Je suis terriblement déçu moi qui faisait l'éloge de cette assurance et maintenant je la place au même niveau que certaines qui n'ont aucun scrupule. Bref vous devez être assuré mais surtout pas de sinistres y compris non responsable c'est lamentable.</t>
  </si>
  <si>
    <t>cris-113972</t>
  </si>
  <si>
    <t xml:space="preserve">Bonjour c’est impossible d’avoir ces informations d assurance chez eux quand ont n’a résilier avec eux ils ne respectent aucun droit sur vos droits que vous avez comme le bonus nombre d’années assuré chez eux ils sont a fuir c’est l’es roi des menteurs des vrais mytho ils me disent à plusieurs reprises que mes droits sont parti par mail toujours le même refrin avec beaucoup de bla bla avec un numéro surtaxé bien sûr !! alors je vous dit ne faites pas la bêtise où erreur de s’assurer chez eux car ils mentent pour cela alors ont peut s’imaginer le pire une assurance qui tient pas parole c’est une assurance à problème à part vous prendre de l’argent moi ils me doivent mes relevés d’information de mai 2018 à février 2021 sur une 307 BF105ZC ils sont capables de me demander de les rappeler pour régler ce problème ou même dire que tout es parti alors que j’ai rien reçu je vous promets que ces des menteurs alors a fuir aux plus vite PS: j’ai appelé plus de 3 fois alors stop </t>
  </si>
  <si>
    <t>sylvain-b-105311</t>
  </si>
  <si>
    <t xml:space="preserve">Le service client laisse à désirer. Lors de mon dernier appel pour un sinistre vitrage la conseillère n'a pas été très claire. De plus cette déclaration de sinistre faite une fois sur l'appli mobile (Android) et une fois sur le site n'a jamais été prise en compte !!! </t>
  </si>
  <si>
    <t>tahry-b-74785</t>
  </si>
  <si>
    <t>Notre cuisine a pris feu à cause d'un probable défaut technique d'une plaque chauffante. La macif nous propose un rdv d'expert dans un mois, en attendant nous n'avons plus de cuisine et nous devons nous débrouiller seul. Triste situation pour une famille de 4 personnes qui doit dépendre de la gentillesse de voisins. De plus, leur service de nettoyage intervient dans une semaine pour enlever la suie de l'appartement dans lequel nous vivons. A priori, nous ne sommes pas dans un cas d'urgence...</t>
  </si>
  <si>
    <t>05/04/2019</t>
  </si>
  <si>
    <t>martine--107250</t>
  </si>
  <si>
    <t xml:space="preserve">J'étais contente de la Maif Auto jusqu'au jour où je suis acquéreur d'une voiture electrique et là surprise entre mon ancienne voiture thermique et ma nouvelle électrique la facture de la cotisation DOUBLE son PRIX !!! La honte. Je fais faire des devis pour quitter la Maif après 40 ans d'assurance chez eux </t>
  </si>
  <si>
    <t>20/03/2021</t>
  </si>
  <si>
    <t>matthieu135-66967</t>
  </si>
  <si>
    <t>j'ai été conseillé par 1 revendeur sur cette assurance</t>
  </si>
  <si>
    <t>Euro-Assurance</t>
  </si>
  <si>
    <t>19/09/2018</t>
  </si>
  <si>
    <t>jordanien-77925</t>
  </si>
  <si>
    <t xml:space="preserve">Des rigolos ! Ils prennent les clients pour des abruti...
J'ai fais une demande de rachat total au mois de mai et je n'ai toujours rien or nous somme au mois de juillet le délai maximum est de deux mois. J'ai appelé une fois en juin une dame ma affirmer que le virement aurait été fait le lendemain de l'appel, le lendemain toujours rien, je rappel une dame me disant que ma demande n'a toujours pas été traité qu'elle allait faire une demande d'urgence pour que la demande sois traité au plus vite.
Deux mois plus tard toujours rien, je rappel une dame me disant la même chose que ma demande n'a toujours été traité... ok je comprends que ça ne sois pas une banque et que le délai d'attend est assez long mais la c'est du foutage de g*****
 c'est une assurance pas du tout sérieuse qui mène les gens en bateau !!
</t>
  </si>
  <si>
    <t>25/07/2019</t>
  </si>
  <si>
    <t>lobna-p-122765</t>
  </si>
  <si>
    <t>Je suis satisfaite du relationnel, les prix sont vraiment interessants et accessibles pour tous. Nous n'avons jamais eu de sinistre ou d'accident pour le moment pour evaluer l'assistance.</t>
  </si>
  <si>
    <t>08/07/2021</t>
  </si>
  <si>
    <t>ozgur-t-117493</t>
  </si>
  <si>
    <t>Je suis satisfait du service et des prix très abordables.. 
J'ai eu mon devis en à peine 5 minutes j'étais j'étais assurer l'assurance le moins chère que j'ai trouver au top.</t>
  </si>
  <si>
    <t>nash-66597</t>
  </si>
  <si>
    <t>Bonjour, j'ai un contrat indemnités journalières depuis 2006, contrat souscrit au cas où. Suite à AVC arrêt depuis janvier 2018, suite visite médecin conseil indemnités stoppées car pour lui pb psy (diagnostic au bout de quelques minutes). Je suis suivi par plusieurs médecins. Surtout éviter swiss life. Mon frère est chez eux et a demandé sa résiliation.</t>
  </si>
  <si>
    <t>04/09/2018</t>
  </si>
  <si>
    <t>ml-56510</t>
  </si>
  <si>
    <t>bonjour, je rejoins votre triste club, je suis passée en invalidité en juin 2016 apres un arrêt maladie de 3 ans.
cardif m a demandé d aller voir le médecin pour une expertise médicale et biensur réponse négative.
a quoi sert d avoir une assurance si on peut pas l utiliser en cas de pb.
deja que nous sommes malades et il rajoute ça en plus.
j'ai eu un cancer pendant la grossesse, je trouve cela triste que cardif soit inhumain a ce point.
ce qui est sur c'est que c'est que je ne vais pas me laisser faire!!!! je vais prendre contact avec la maison de justice proche de mon domicile. je vais faire également intervenir mon assistance juridique pour les frais d'avocat!!
cela m embete d en arriver la mais je vais me lancer.
de plus lors de mon expertise médicale, le médecin m a dit clairement qu'il était d accord sur le fait que je ne pouvais pas reprendre le travail et que pour lui j'allais continuer a être indemnisée !!! 
alors je me demande si cardif ne fait pas les taux à sa sauce.
je vais demander une copie de mon expertise mais en parallèle je vais faire le nécessaire car le traitement des dossiers est super long comme par hasard.
en tout cas je suis dégoutée</t>
  </si>
  <si>
    <t>02/11/2017</t>
  </si>
  <si>
    <t>01/11/2017</t>
  </si>
  <si>
    <t>ouael-f-135153</t>
  </si>
  <si>
    <t xml:space="preserve">Je suis satisfait du prix 
Je suis satisfait de la simplicité 
Je suis satisfait de l'accueil téléphonique 
Je suis satisfait des garanties proposées </t>
  </si>
  <si>
    <t>lllm774-71084</t>
  </si>
  <si>
    <t>Un Assureur déplorable qui ne défend pas les dossiers de ses clients, ne les accompagne pas, fait des déclarations orales qu'il ne tient pas etc.... A fuir absolument !</t>
  </si>
  <si>
    <t>08/02/2019</t>
  </si>
  <si>
    <t>schmitt-a-125698</t>
  </si>
  <si>
    <t xml:space="preserve">Prix convenable, réactivité et efficacité. Je suis jeune conducteur et vient de m'acheter une Volkswagen Polo 5, le prix en tous risque est d'environ 85€. </t>
  </si>
  <si>
    <t>renaud-s-105621</t>
  </si>
  <si>
    <t>déçu : Je m'attendais à une baisse plus importante cette année, dans le contexte COVID et de la réduction d'utilisation du véhicule. aucune baisse notable.</t>
  </si>
  <si>
    <t>martinr-68478</t>
  </si>
  <si>
    <t xml:space="preserve">Surtout pas prendre une assurance Maaf.   Après 18 avec eux, ils ont résilié un contrat d'assurance habitation pour motif de 2 réclamations en 4 ans. Apparemment ils ont un quota de clients qu'ils doivent larguer chaque année, même si les réclamations ne sont pas excessifs.  </t>
  </si>
  <si>
    <t>matthieu-103682</t>
  </si>
  <si>
    <t xml:space="preserve"> J ai pris attache avec mon teleconseiller par rapport a mon option mutuelle. 
Mon interlocuteur a été a mon ecoute et a répondu à l ensemble des mes questions. 
</t>
  </si>
  <si>
    <t>04/02/2021</t>
  </si>
  <si>
    <t>francail-50310</t>
  </si>
  <si>
    <t xml:space="preserve">Pour la GMF le fait d'avoir plusieurs voitures est suspect et refuse d'assurer.
</t>
  </si>
  <si>
    <t>15/12/2016</t>
  </si>
  <si>
    <t>sombacour-85496</t>
  </si>
  <si>
    <t xml:space="preserve">Apres l incendie de sa maison il y a un an ma mère n est toujours pas indemnisée ...elle paye elle-même le loyer d un logement de secours ! On attend toujours les conclusions d une nouvelle expertise suite au  nombreuses erreurs commises dans la première qui nous a été fournie 6 mois après le sinistre Merci la Maif ...J ai décidé  de résilier ce jour tous mes contrats personnels après 30 ans d affiliation </t>
  </si>
  <si>
    <t>04/01/2020</t>
  </si>
  <si>
    <t>sandra-80462</t>
  </si>
  <si>
    <t>Merci à Lamia d'avoir été à l'écoute et d'avoir répondu à toutes mes questions. Heureusement que les conseillers sont disponnibles pour répondre car le site ne fonctionne que très partiellement</t>
  </si>
  <si>
    <t>28/10/2019</t>
  </si>
  <si>
    <t>claud-96010</t>
  </si>
  <si>
    <t>Bonjour , 
cette compagnie n'est pas à recommandé en effet je suis radié au 15/07/2020 à cause du corona virus et  de quelques difficultés de paiement et je dois suite à une mise en demeure payer jusqu'a la fin de la période anniversaire soit le 15/04/2021sans aucune souplesse !!!!!!</t>
  </si>
  <si>
    <t>06/08/2020</t>
  </si>
  <si>
    <t>claudebretel-102580</t>
  </si>
  <si>
    <t>Bon accueil et renseignements rapides et précis Cela  fait 44 ans que je suis à  la MGP et je n'ai jamais été déçu. Bravo  continuez  ..Pas trop  d'attente  lors des appels et le numéro est gratuit.</t>
  </si>
  <si>
    <t>13/01/2021</t>
  </si>
  <si>
    <t>francois-111642</t>
  </si>
  <si>
    <t>En ce qui me concerne je suis satisfait. J'ai déclaré récemment un sinistre pour ma C4. Mon indemnisation a été faite selon les modalités contractuelles. J'ai parfaitement été renseigné et mes interlocuteurs m'ont paru à l'écoute et professionnels. Le seul bémol que je peux faire, c'est que l'information sur l'espace personnel laisse à désirer. Sinon, rien à redire...</t>
  </si>
  <si>
    <t>26/04/2021</t>
  </si>
  <si>
    <t>fdr-68512</t>
  </si>
  <si>
    <t>Bonjour,
Je suis déjà client chez Eurofil et pour l'instant je suis content. Je voulais juste savoir si vous assurez les voitures acheter à l'étranger ?  Dans l'Union Européenne .
Cordialement.</t>
  </si>
  <si>
    <t>21/11/2018</t>
  </si>
  <si>
    <t>seburel-71463</t>
  </si>
  <si>
    <t xml:space="preserve">Bonjour, 
J'étais si content d'avoir un prix si compétitif sur mon assurance auto... mais ma joie est aussi vite partie qu'elle est venue! Après plusieurs échange de mail, impossible de la par de l'olivier de me faire un contrat conforme ! 
Effectivement mes bris de glace se sont transformés en collisions, et... un bris de glace à fait son apparition ! J'ai du demandé à mon assureur un relevé d'information + inscription manuscrite + tampon daté et signé ! Vous savez quelle réponse ai-je eu le droit? je cite : "De plus, vous pouvez valider cette mise en conformité mais aussi la refuser, à ce titre là, votre contrat sera résilié à 30 jours de la date à laquelle cette dernière vous a été envoyée."
Résultat des comptes, je pense que vraiment, l'olivier font tout pour ne pas me proposer un contrat conforme. J'avais conseillé cet assureur à mon entourage, qui avait commencé à faire les démarches, mais je les ai stoppé et heureusement !
De savoir que 4 personnes proches auraient vécu mon cauchemar n'est pas possible.
Donc un conseil, ne regardez pas que le prix! Le service à un coup, la sérénité non.
</t>
  </si>
  <si>
    <t>19/02/2019</t>
  </si>
  <si>
    <t>charvier-p-130236</t>
  </si>
  <si>
    <t>Je suis satisfaite du service , les prix me conviennent .
La personne au téléphone très agréable sympathique à l'écoute .
Je recommande cette assurance.</t>
  </si>
  <si>
    <t>paulian-p-139263</t>
  </si>
  <si>
    <t xml:space="preserve">Pour faire suite a notre entretien téléphonique de ce jour, nous avons apprécié le bon accueil et  la qualité des renseignements fournis. Pourvu que ça dure;-) </t>
  </si>
  <si>
    <t>abdelmalek-b-115078</t>
  </si>
  <si>
    <t>le prix me convient pas aucun sinistre et le prix a chaque fois il augmente pour le véhicule ou la maison  et pourtant ont fais très attention a tout  , je ne comprend votre politique ??</t>
  </si>
  <si>
    <t>bergereau-l-121402</t>
  </si>
  <si>
    <t>Les tarifs sont très concurrentiels. Contact facile et rapide. personnel compétent, agréable et diligent. Nous sommes très satisfaits des services de cette assurance</t>
  </si>
  <si>
    <t>28/06/2021</t>
  </si>
  <si>
    <t>cricri2b-62881</t>
  </si>
  <si>
    <t xml:space="preserve">Prix contenus. Diminution de la prime au bout de 3 ans d'assurance sans accident. </t>
  </si>
  <si>
    <t>03/04/2018</t>
  </si>
  <si>
    <t>paulo-69652</t>
  </si>
  <si>
    <t>50 années de PC, 50 années de cotisations d'assurances auto, dont 13 à la GMF.
Résultat pour 3 accidents en 3 ans dont 2 responsables, je me fais résilier comme un malpropre.
Nul</t>
  </si>
  <si>
    <t>24/12/2018</t>
  </si>
  <si>
    <t>meftah-127817</t>
  </si>
  <si>
    <t xml:space="preserve"> Bonjour, 
A fuire pas très professionnel en galère avec ma famille depuis une semaine en Espagne domage une mauvaise expérience. U. Coup j ai le droit d une voiture de prêt un coup non ils ont pas à la hauteur.
Dommage je ne peux pas mettre 0</t>
  </si>
  <si>
    <t>jeremydurand-107752</t>
  </si>
  <si>
    <t>Bonne couverture en complémentaire santé.
Le service en ligne est bon et la satisfaction des diverses demandes ou interrogations et toujours rapidement comblée.
Je recommande.</t>
  </si>
  <si>
    <t>24/03/2021</t>
  </si>
  <si>
    <t>frederic--d-113257</t>
  </si>
  <si>
    <t>Moyennement satisfait. Conditions/options d'assurance inférieures à celles d'autres assureurs et tarifs de plus en plus élevés. Prévois de changer d'assureur très prochainement.</t>
  </si>
  <si>
    <t>ticamomille-64435</t>
  </si>
  <si>
    <t>Pour une personne sourde passée par Twitter pour créer mon contrat de bout en bout : génial !</t>
  </si>
  <si>
    <t>04/06/2018</t>
  </si>
  <si>
    <t>jose-r-110377</t>
  </si>
  <si>
    <t>je suis satisfait des services des prix  et de l'accueil fourni par direct assurance ayant eu un sinistre récemment ou le délai et le remboursement se son très bien passés</t>
  </si>
  <si>
    <t>wolf60-88434</t>
  </si>
  <si>
    <t xml:space="preserve">Bonjour,
Je tenais à apporter mon témoignage concernant les retraits sur un contrat assurance vie avec un fond en euros EUROSSIMA. Aucun problème concernant mes retraits effectués par internet. Les fonds sont disponibles sur mon compte au maximum 72 h après ma demande. Je retire les sommes de ce contrat progressivement pour affecter cette épargne ailleurs, car le contrat ne fait plus partie des plus performant de sa catégorie. </t>
  </si>
  <si>
    <t>20/03/2020</t>
  </si>
  <si>
    <t>vevelyne-114594</t>
  </si>
  <si>
    <t xml:space="preserve">Cela fait plus 10 ans que je suis assurée. Je viens d'en assurer une autre , j'envoie tous les papiers. demande un autre papier déjà envoyé. Bien entendu pas de possibilité de  m' envoyer ce fameux papier à signer par mail et vu mes horaires je ne peux me déplacer aux horaires d'ouverture de l'agence de Laval (53)
Résultat , je ne peux pas avoir un autre  papillon vert donc si je me fais arrêter....
Nous avons 3 voitures assurées pour l'instant, je pense vraiment changer d'assurance, je suis furieuse.
</t>
  </si>
  <si>
    <t>hatem-107929</t>
  </si>
  <si>
    <t xml:space="preserve">remboursement rapide,prix très avantageux, je suis vraiment satisfait.quand des collègues chercher une mutuelle, c est la mutuelle santé mgp que je leurs conseil. </t>
  </si>
  <si>
    <t>25/03/2021</t>
  </si>
  <si>
    <t>caroline-90710</t>
  </si>
  <si>
    <t>Je suis satisfaite du site rapide bons renseignements info demandées très précises tarif très attractif facilité pour remplir les réponses et rapidité pour remplir le devis</t>
  </si>
  <si>
    <t>pat-59269</t>
  </si>
  <si>
    <t>J'ai eu accident de voiture début octobre 2017, règlement reçu prix neuf du véhicule (assurance tous risques, prix neuf) fin novembre. Ils m'ont même proposé leur aide pour récupérer la franchise chez identicar</t>
  </si>
  <si>
    <t>30/11/2017</t>
  </si>
  <si>
    <t>pateau83-96190</t>
  </si>
  <si>
    <t xml:space="preserve">Bonjour j'ai souscrit une assurance tous risques chez direct assurance avec protection juridique la j'ai besoin de l'assistance juridique pour mener une action on me dit que j'ai aucune protection juridique faux mon contrat est avec protection juridique donc mauvaise assurance d'autre personne chez direct assurance on fui donc je vais mener une action avec que choisir donc cette assurance est à évité absolument </t>
  </si>
  <si>
    <t>11/08/2020</t>
  </si>
  <si>
    <t>coco-101956</t>
  </si>
  <si>
    <t xml:space="preserve">Assurée sur 7000 km annuel, dans le contexte Covid, ce qui veut dire que mes déplacements sont encore plus réduits, je constate une augmentation de mon assurance globale (voiture + appartement), soit une AUGMENTATION ANNUELLE de 40 euros alors que je n'ai déclaré aucun sinistre et je ne les ai jamais contactés pour quoi que ce soit.
 Bien sûr, on ne vous prévient pas de cette augmentation....
Je ne resterai pas chez eux 0/20.
</t>
  </si>
  <si>
    <t>29/12/2020</t>
  </si>
  <si>
    <t>fabio-a-130507</t>
  </si>
  <si>
    <t xml:space="preserve">Je suis content du devis et satisfait des prestations de l'assureur 
A comparé à mon assureur voiture le tarif diminué de 70% du prix 
A voir dans la durée 
</t>
  </si>
  <si>
    <t>manuel-c-110643</t>
  </si>
  <si>
    <t>Nous avons téléphoné ce matin et nous n'avons pas apprécié l'interlocutrice que nous avons eu, si c'est une de  ADV je pense que vous allez perdre des clients en tout cas pour nous c'est la dernière année chez vous après avoir constaté la difference de prix après une nouvelle simulation et le prix que nous avons a payé actuellement. Cordialement !</t>
  </si>
  <si>
    <t>virginie-r-111529</t>
  </si>
  <si>
    <t xml:space="preserve">Très satisfaite du service. Personne très sympa au téléphone, répond à toutes vos questions  ??
Super tarif et changement d assurance très facile et rapide.
</t>
  </si>
  <si>
    <t>24/04/2021</t>
  </si>
  <si>
    <t>bauffe-a-139469</t>
  </si>
  <si>
    <t xml:space="preserve">Services très rapide prix défiant toute concurrence.  Jattend de voir si j'ai un problème si vous cerai aussi réactif. Sinon très heureuse car de pouvoir l'avoir l'avoir ligne me permet de récupérer ma voiture ce jour . </t>
  </si>
  <si>
    <t>regis-102589</t>
  </si>
  <si>
    <t>Bilan particulièrement satisfaisant quand à la gestion de mon litige. Ecoute et disponibilité réelles tout au long de la gestion du dossier. Facilité rédactionnelle de l'ensemble des éléments.
Je recommande donc particulièrement ce partenaire.</t>
  </si>
  <si>
    <t>aucun-80453</t>
  </si>
  <si>
    <t>Juste bon pour prendre vos cotisations, service client déplorable et incompétente, une gestion des sinistres désastreuse, je suis assuré chez eux tiers maxi(vol et incendie) . Je me suis voler mon véhicule et refuse de m'indemniser sous prétexte qu'il manque un document qui n'a rien a voir avec mon véhicule sinistré (justificatif de cession d'un véhicule qui a servi a la reprise du véhicule sinistré) malgré une liste de documents complète que je leur ai fourni. Allez n'importe où mais pas chez eux. N'ayant aucun moyen de locomotion et ni de solutions pour me rentre au travail, je vais être prochainement licencier de mon emploi, le tout premier CDI que je signe dans ma vie. Ils ont ruiné ma vie. Je compte les poursuivre pour faire valoir mes droits</t>
  </si>
  <si>
    <t>27/10/2019</t>
  </si>
  <si>
    <t>ultra4-98256</t>
  </si>
  <si>
    <t xml:space="preserve">Il leur a fallu 3 mois entrer les domiciliations. Durant ce temps là je croyais qu'ils allaient faire un rattrapage. Et comme j'avais signé les domiciliations, j'ai donc fait abstraction de leur lettre de rappel. Au final, ma prime mensuelle a été augmentée de plusieurs dizaines d'euros ce qui correspondait à plus de 30% d'augmentation en raison des frais d'impayés. 
Suite à cela je suis passé en virement automatique car il était hors de question qu'ils prélèvent des montant injustifiés sur mon compte. Mais cela ne leur a pas plus, j'ai été harcelé pour payer ma prime annuellement ce que j'ai fait. 
Et quand j'ai eu payé ma prime annuellement ils m'ont remboursé prétextant que j'avais un paiement trimestriel. Je ne me suis pas aperçu qu'ils m'avaient remboursé. Pour moi la prime annuelle était payée et je dormais sur mes 2 oreilles. 
Du coup j'ai reçu un recommandé pour ne pas avoir payé ma prime trimestrielle.
Je dois payer 445,30€ / trimestre, alors que ma prime mensuelle s'élèvait à 113€/mois. (339€/trimestre)
Donc, ils m'ont changé de plan tarifaire sans m'avertir, parce que cela les arrangeait bien et au final leur système m'envoie des recommandés automatiques. 
Ras le bol. Des bras cassés. Pas sérieux. Et pour clarifier les choses, je passe des heures dans la file d'attente avec le service comptabilité. INADMISSIBLE !
</t>
  </si>
  <si>
    <t>02/10/2020</t>
  </si>
  <si>
    <t>frank-54353</t>
  </si>
  <si>
    <t>Bsr,depuis 40 ans relationsidylliques mais suite à un important sinistre (incendie) tout est parti en fumée,au propre comme au figuré.L'expert et la personne s'occupant du dossier mon littéralement torpillé.Vétusté importante et une belle règle proportionnelle comme double lame.Nous sommes meurtris moralement et financièrement.Quelle tristesse....</t>
  </si>
  <si>
    <t>28/04/2017</t>
  </si>
  <si>
    <t>vitor-o-130530</t>
  </si>
  <si>
    <t>Je suis satisfait du service, simple et pratique, sérieux, très facilement joignable, je recommande Direct assurance pour leur sérieux et leur professionnalisme.</t>
  </si>
  <si>
    <t>charlotte-t-135387</t>
  </si>
  <si>
    <t xml:space="preserve">Je suis satisfaite de la souscription de mon assurance voiture. Les prix sont resonables. 
Très rapide et simple et tout est très bien expliqué pendant toute la souscription </t>
  </si>
  <si>
    <t>genevieve-b-128040</t>
  </si>
  <si>
    <t>Satisfaite dans l'ensemble des réponses apportées : rapides et claires,  ou à à mes demandes .
Déplacement rapide en cas de besoin pour dépannage. Merci</t>
  </si>
  <si>
    <t>nicolas-p-124731</t>
  </si>
  <si>
    <t xml:space="preserve">les prix me conviennent pour le moment, le service est satisfaisant, la rapidité du service est bluffant. j'ai toujours voulu souscrire chez vous maintenant c'est chose faites 
</t>
  </si>
  <si>
    <t>sivie-54178</t>
  </si>
  <si>
    <t>Indemnisée par la Cardif depuis 2009 et en invalidité depuis 2011 deuxième catégorie .J'ai été convoqué le 22 mars 2017 chez un médecin expert de la Cardif par prudence ,j'ai demandé à celui ci de me transmettre un double du compte rendu de l'expertise que j'ai reçu le 3/04/2017 .N'ayant pas de retour du service de gestion je les ai contacté à plusieurs reprises première réponse je relance le service  pour reprogrammer les paiements réponse bateau pour mettre fin à la conversation . Deuxième appel pas de trace du compte rendu de l'expert . On vous rappel maximum dans une demie heure j'attend encore.......Troisième appel alors là ils vont recontacter l'expert car il n'aurait pas dû m'envoyer le compte rendu mais d'abord à eux sauf que sur le compte rendu un exemplaire leur a été adressé et une copie à ma demande .j'ai demandé que le service me contact non ce n'est pas possible ils me prennent pour une imbécile heureusement j'ai un double de l'expertise qui est en ma faveur . Fidèle à sa réputation la Cardif traîne des pieds pour me répondre que faut il faire les traîner en justice je me demande si c'est de l'incompétence et de la malhonnêteté .Vu les dires de la Cardif j'ai eu confirmation par le medecin mandaté expert que le compte rendu   avait bien été envoyé le 1/04/2017</t>
  </si>
  <si>
    <t>20/04/2017</t>
  </si>
  <si>
    <t>robertsti-76390</t>
  </si>
  <si>
    <t xml:space="preserve">Assurance bon marché, un service client peu compétent. difficultés de communication. </t>
  </si>
  <si>
    <t>joel-j-109697</t>
  </si>
  <si>
    <t xml:space="preserve">Les prix me conviennent mais le service (informatique) laisse encore à désirer, j'attends une amélioration des logiciels dans les mois à venir. Bon courage
</t>
  </si>
  <si>
    <t>08/04/2021</t>
  </si>
  <si>
    <t>alex54-51448</t>
  </si>
  <si>
    <t>Harmonie est une société vantarde, d'avoir des millions d'assurés mais qu'elle radie sans prévenir, se cachant derrière l'employeur et laissant une femme enceinte et 2 enfants sans mutuelle
Ne prenez jamais harmonie : en plus de couper votre contrat sans raison alors que nos cotisations sont payées, il ne vous rembourse pas les prestations du contrat</t>
  </si>
  <si>
    <t>stephane-51029</t>
  </si>
  <si>
    <t>Personnel de mon Agence local efficace
Témoignage objectif.
Assuré à la mutuelle des motards
Acheté un 3008 Hybrid de 200 cv. Devis à 1100 € à la mutuelle des motards alors de 50 % de bonus.
Axa me propose 400 €  pour les même garanties
A peine assuré, pare brise changé. Prise en charge rapide et efficace sans franchise.
Une offre Axa proposait 70€ de remboursé pour 2 contrats.
Malgré une close (en tout petit) indiquant que l'offre était valide si aucun sinistre depuis une année n'avait eu lieu, mon agence locale m'a envoyé un chèque du montant en m'expliquant qu'il prenait à leur charge car il n'avait pas vu cette close.
Donc client content.
En général seuls les personnes mécontentes donnent des avis.
Un autre jour, besoin d'un transfer d'assurance sur une voiture de prêt, j'ai envoyé une photo de la carte grise par mail depuis mon smartphone. Dans les 30 mn, un mai me confirmait le transfert.
Voici donc un avis positif</t>
  </si>
  <si>
    <t>tahaa2-90378</t>
  </si>
  <si>
    <t>Nous avons un Sinistre depuis décembre 2019. Il y a eut un choc sur notre studio en mitoyenneté de nos voisins. Le choc vient de chez nos voisins. Le sinistre n'est toujours pas réglé. 20 ans que nous sommes clients, nos dernières cotisations nous ont coûté 2200 euros pour 2020 et pas de prise en charge pour un sinistre de 1970 € C'est une honte.</t>
  </si>
  <si>
    <t>10/06/2020</t>
  </si>
  <si>
    <t>lochrini-67681</t>
  </si>
  <si>
    <t>A la lecture des avis postés, je  comprends que ma situation n'est pas isolée. Sociétaire depuis 20 ans, quasiment aucun sinistre déclaré, jusqu'à... A la remise en fonctionnement d'une piscine laissée en hivernage plusieurs mois, je constate une fuite au niveau de la tuyauterie et un appareil électrique grillé. Je ne suis ni électricienne, ni pisciniste, bref, je parle tempêtes, d'orages, de gel au moment de ma déclaration. Conclusion : les tuyaux sont dus au gel et on ne couvre pas le gel. L'appareil grillé a été endommagé par un orage. Il faut que je fournisse un document qui le prouve. Je n'ai malheureusement trouvé aucun professionnel en mesure de rédiger un tel document. D'ailleurs certains m'ont même dit qu'ils n'en avait pas le droit. Maif, la coupe est pleine, je te quitte!</t>
  </si>
  <si>
    <t>14/10/2018</t>
  </si>
  <si>
    <t>daniel-g-130931</t>
  </si>
  <si>
    <t>Simple et rapide, les prix me conviennent, j'espère que le service sera à la hauteur. C'est la première fois que je souscris à une assurance en ligne.</t>
  </si>
  <si>
    <t>mitch2704-23385</t>
  </si>
  <si>
    <t xml:space="preserve">Des tarifs opaques, une agence qui téléphone au lieu de répondre par écrit à des questions précises posées par écrit....des relèvements mensuels qui augmentent en cours d'nnée sans aucune justification dépassant de plus de 8 % par rapport au contrat signé en agence .... Bref une assurance de moins en moins mutuelle, de moins en moins "humaine" contrairement  au slogan publicitaire, beaucoup plus axée sur le fric  tout comme une compgnie privée </t>
  </si>
  <si>
    <t>02/01/2021</t>
  </si>
  <si>
    <t>thierry-103780</t>
  </si>
  <si>
    <t>Impossible de faire réparer ma voiture alors que celle ci est assurée tous risques. AXA joue la montre avec un expert KPI Groupe qui refuse les réparation sous prétexte que la déclaration faite ne correspond pas aux dommages. La déclaration est très claire et en plus l'assurance est tous risques et je sais que je vais devoir payer la grosse franchise.
Je ne comprends pas. Cela fait.  17 ans que tous mes biens sont. assurés par AXA comme quoi la fidélité n'est. pas récompensée.
Lamentable
Thierry Clémnent</t>
  </si>
  <si>
    <t>06/02/2021</t>
  </si>
  <si>
    <t>soso-95186</t>
  </si>
  <si>
    <t>Service très efficace Tarif raisonnable Conseillère très aimable et rapide
Je recommanderai cette assurance à mes amis sans problème 
Merci pour votre efficacité</t>
  </si>
  <si>
    <t>alpichoo-104380</t>
  </si>
  <si>
    <t>Bonjour, 
Mutuelle catastrophique !! Je n'ai jamais vu des gestionnaires aussi incompétents.
Dossier bloqué depuis + de 3 mois. Aucun remboursement depuis plus de 8 mois.
les documents sont transmis 2 voir 3 fois pour être prit en compte. Lors des appels, l'attente est min de 10 min voir 40 min parfois pour avoir une personne qui ne peut vous aider car n'a pas la main sur la gestion des dossiers. Les gestionnaires ne savant pas lire vos messages, ils redemandent sans cesse les mêmes documents pour ne pas traiter la demande correctement. Aucun professionnalisme.  
Mes factures apparaissent comme "traités" sur mon espace alors qu'aucun remboursement n'est effectué.
Je ne vous parle même pas des demandes de devis qui restent sans réponse.
Bref, UN VRAI CAUCHEMAR cette boite. INCOMPETENCE TOTALE.
A FUIR ENCORE PLUS QUE LE COVID car c'est d'une crise cardiaque que MERCER vous achève. A FUIR 
Dommage de ne pas pouvoir mettre 0 étoile.</t>
  </si>
  <si>
    <t>17/02/2021</t>
  </si>
  <si>
    <t>naj13-66229</t>
  </si>
  <si>
    <t xml:space="preserve">Bonjour , je souhaite réagir également sur un dossier ouvert depuis novembre au sein du service protection juridique. Je ne suis pas du tout satisfaite , sans mes multiples appels et courriers mon dossier resterais dans le bas de la pile . J'ai acheté un véhicule celui tombe en panne au bout de 6 mois , de grosse réparation à prévoir que vendeur refuse de prendre en charge . Jai avertis à maintes reprises que cette situation est insupportable d'autant plus que j'ai des enfants en bas âge . Je me retrouve à pied, tous l'hiver glacial a trainballer mes enfants à l'école , un petit de 3 ans que je dois porter je vous raconte pas l'horreur et les douleurs au dos que cela m'a engendré . Jai insisté pour que mon dossier avance , à ce jour rien est fait ! J'appréhende déjà la rentrée , mais personne en a rien à faire de la vie des autres et des difficultés que cela engendre et l'argent gaspillé (location de voiture, enfants privée de sport pour des abonnements payés, tickets de bus pour me  déplacer, sans parler des sciatiques alorsque je n'avais jamais eu de mal de dos )Je vis un vrai cauchemar cette situation ne dérange personne , je paie tous les mois des assurances pour un véhicule immobilisé depuis bientot 1 an ( dans 2 mois ça fera 1 an que le dossier reste dans l'état ) je vous passe les détails de l'expert qui estime que je peux récupèrer Mon véhicule peut être réparer et de rouler avec sur des routes à 50 klm /h ( l'expert a expertisé une audi A1 pas une voiture sans permis ) me conseiller de récupèrer ma voiture et de rouler sur des routes limité c'est une honte ! Je pense me déplacer à la direction pour rencontrer un directeur . Parceque là c'est la catastrophe . </t>
  </si>
  <si>
    <t>16/08/2018</t>
  </si>
  <si>
    <t>lud-62255</t>
  </si>
  <si>
    <t>À fuire!!!</t>
  </si>
  <si>
    <t>13/03/2018</t>
  </si>
  <si>
    <t>donald-66956</t>
  </si>
  <si>
    <t>accidenté depuis plus de 2 mois et toujours aucune nouvelle d'eux après 3 coups de fils toujours la même réponse je préviens le service sinistre, bref et je fais comment pour rouler ?</t>
  </si>
  <si>
    <t>batmancool2007-97979</t>
  </si>
  <si>
    <t>La premier année rien à dire deuxième année augmentation troixième augmentation encore  et quatrième idem j'ai fuis. La logique voudrait qu'il pratique des prix attractive pour garde leur client. Je pense qu'il prefère avoir des nouveaux clients que de garde les anciens.</t>
  </si>
  <si>
    <t>ahite-s-133426</t>
  </si>
  <si>
    <t>Je suis satisfait de l’offre d’assurance à laquelle j’ai souscrit, tant au niveau du prix que des garanties par lesquelles je suis couvert. Je recommande vivement.</t>
  </si>
  <si>
    <t>borceux-y-121192</t>
  </si>
  <si>
    <t>Le devis est simple à préparer grâce à l'accueil téléphonique.
Prix intéressant. Je conseillerai cet assureur à mes proches et à mes amis. 
Web site facile</t>
  </si>
  <si>
    <t>25/06/2021</t>
  </si>
  <si>
    <t>isalanglois-103283</t>
  </si>
  <si>
    <t>Je suis satisfaite de cette mutuelle. Les remboursements sont corrects mais pourraient être bien meilleurs au niveau de l'optique.
Les remboursements médecine douce ne sont pas suffisants.</t>
  </si>
  <si>
    <t>27/01/2021</t>
  </si>
  <si>
    <t>bouhlel-87709</t>
  </si>
  <si>
    <t>Super mécontene mutuelle injoignable et incompétent.
Le numéro de téléphone surtaxé et bien sur ça fait 1 semaine j'essaie de les joindres  impossible! 
L'attente est super longue de minimum 10 minutes a chaque appel (dont une fois 20min). Lorsque j'arrive a parler à un conseiller elle me dit qu'ils vont me rappeler mais pas de nouvelle au bout de 72 heures. J'étais obligé de les rappeler pour qu'au finale la conseillère me dit que la personnes qui gère n'est pas disponible et injoignable ! Donc encore une fois il faut rappeler. C'est juste inadmissible elle n'essaie même pas de gérer mon problème ni du moins tenir sa promesse et me recontacter.
Je vous la déconseille !!!</t>
  </si>
  <si>
    <t>27/02/2020</t>
  </si>
  <si>
    <t>jeanne--104396</t>
  </si>
  <si>
    <t>Je suis satisfaite de la MGP en tant que santé et cautionnaire d'achat d'appartement...
Les conseillers sont disponibles et répondent à 
nos questions...Très satisfaite depuis des années...</t>
  </si>
  <si>
    <t>mathieu-m-117139</t>
  </si>
  <si>
    <t>bon rapport qualité prix, trouvé grâce au comparateur d'assurance 
finalement inutile de prendre une assurance à proximité quand une assurance en ligne fait le travail, et ce de manière plu rapide à conditions identiques et moins cher.</t>
  </si>
  <si>
    <t>15/06/2021</t>
  </si>
  <si>
    <t>nina-81114</t>
  </si>
  <si>
    <t xml:space="preserve">Merci à Caroline qui a été très professionnelle et efficace. 
Elle m'a aidé à faire les démarches pour résilier un contrat qui ne correspondait pas à mon profil et qui m'a été vendu par un courtier au téléphone.
</t>
  </si>
  <si>
    <t>19/11/2019</t>
  </si>
  <si>
    <t>niazi-87360</t>
  </si>
  <si>
    <t>Ils résilie mon contrat parce que ils sont pas arriver pas a trouvé une solution pour mon cas permis étranger(en cours de changement vers un permis français) avec catégorie A directement sans catégorie A2.</t>
  </si>
  <si>
    <t>19/02/2020</t>
  </si>
  <si>
    <t>pep-j-127275</t>
  </si>
  <si>
    <t>Satisfait par l’amabilité des interlocuteurs lors de mes différents entretiens téléphoniques.
Consignes claires, conseils avisés m’ont aidés à compléter la signature de mon contrat.</t>
  </si>
  <si>
    <t>sarah-d-127077</t>
  </si>
  <si>
    <t xml:space="preserve">Bonjour,
Je suis satisfaite du service.... les prix me conviennent.....  je suis ravie pour mon véhicule .    
Direct assurance l’assurance qu’il vous faut. </t>
  </si>
  <si>
    <t>juju-63805</t>
  </si>
  <si>
    <t xml:space="preserve">Cela fait 3 semaines que sogecap me fait tourner en rond pour une assurance emprunteur. Ayant eu une opération de l'épaule gauche suite à des luxations je leur ai fourni le bilan post-op ou il est bien indiqué que je me suis fait opérer l'épaule gauche. Malheureusement leur médecin conseil doit être au mieux incompétent voir illettré. Donc voilà mon projet est tombé à l'eau.... </t>
  </si>
  <si>
    <t>05/05/2018</t>
  </si>
  <si>
    <t>rjlh45-88277</t>
  </si>
  <si>
    <t xml:space="preserve">Ayant procédé (à titre de test) un nouvel investissement de 1500 € sur mon compte Cardif Multiplus, je reçois le 2902/2020 un formulaire de Hello Bank (mon compte direct Cardif ayant été malheureusement supprimé lors d'un passage chez Hello Bank, qui n'est pas ma banque).
Je renvoie le formulaire rempli, ainsi que mon RIB chez AXA) le 30 janvier, ainsi que le confirment les copie de messages de hello Bank.
Le 10 Février, après que Cardif (contacté au téléphone m'indique n'avoir aucun dossier à mon nom) ; Hello Bank m'informe que la procédure appliquée par eux le 30 janvier n'était pas la bonne, et qu'il me fallait virer la somme sur le RIB de Cardif, qu'ils me communiquaient alors.
Je virai donc la somme sur le compte Cardif.
Entre temps Cardif me signalait ne plus avoir l'ordre initial d'achat du fonds.
Sans nouvelles je reprends contact le 26 Février pour apprendre que l'ordre d'investissement n'était toujours pas passé.
Le 2 mars j'apprenais que l'ordre avait été passé le 27 février MAIS AU COURS DU 14 FÉVRIER. Soit 7,741205 PARTS DE SICAV PICTET  PREMUIUM  BRAND à 192,80 €.
CARDIF M'A DONC VENDU (RETROACTIVEMENT) À 192,80 € DES PARTS QU'IL A ACHETÉES À 166,27 LE JOUR MÊME.
SOIT UNE MARGE DE 205,37 € NON JUSTIFIÉE.
</t>
  </si>
  <si>
    <t>12/03/2020</t>
  </si>
  <si>
    <t>blanche-e-130993</t>
  </si>
  <si>
    <t xml:space="preserve">Assez rapide et pratique d'utilisation, les prix sont correct et ils sont assez réactifs après un accident ou autre problème sur le véhicule ! Bonne assurance </t>
  </si>
  <si>
    <t>03/09/2021</t>
  </si>
  <si>
    <t>marion-c-134916</t>
  </si>
  <si>
    <t xml:space="preserve">Je suis satisfaite de ce que propose direct assurance. C’est la seule assurance que j’ai trouvé avec des prix raisonnable et qui couvre ma voiture comme je le voulais </t>
  </si>
  <si>
    <t>dfya-52256</t>
  </si>
  <si>
    <t xml:space="preserve">Refus du siège de donner suite à un cambriolage, avec pour prétexte que le mot effraction n’apparait pas textuellement sur le dépôt de plainte de la gendarmerie, ceci n'étant pas stipulé sur les Conditions Générales, et ce malgré effraction sans dégradation.
Dossier transmis par le conseiller clientèle aprés demande de vérification. </t>
  </si>
  <si>
    <t>09/02/2017</t>
  </si>
  <si>
    <t>rysema-54069</t>
  </si>
  <si>
    <t>J'ai changé de voiture en décembre, 2 mois pour avoir une carte verte définitive, cotisations multipliée par 2 entre le devis et l'avis d'échéance définitif. Refus de leur part la résiliation, dates sur la carte verte qui correspondent a rien et j'en passe. J'ose pas imaginé encas de pépin.</t>
  </si>
  <si>
    <t>13/04/2017</t>
  </si>
  <si>
    <t>ennouri-k-115190</t>
  </si>
  <si>
    <t xml:space="preserve">Satisfait ! Et tres comptant merci l'olivier recommande vivement prix suivis tout y est assitance tel au top temps d'attente très court et a votre écoute </t>
  </si>
  <si>
    <t>debo38-75450</t>
  </si>
  <si>
    <t>Attention très mauvaise mutuelle. Même dans le cadre d'une adhésion obligatoire à la mutuelle de votre entreprise... harmonie mutuelle refuse de vous résilier !!!
Attention... à fuire !</t>
  </si>
  <si>
    <t>28/04/2019</t>
  </si>
  <si>
    <t>kheli-64169</t>
  </si>
  <si>
    <t xml:space="preserve">AUCUN SERVICE APRES SOUSCRIPTION  ASSURER CHER EUX DEPUIS 2 ANS IMPOSSIBLE A AVOIR LE RELEVÉ INFORMATION DE PLUS IMPOSSIBLE A CONTACTER LE SERVICE TOUS CE FAIT PAR MAIL JESSYAE DE LES AVOIR DEPUIS 4 MOIS RIEN A FAIRE </t>
  </si>
  <si>
    <t>24/05/2018</t>
  </si>
  <si>
    <t>matador-138702</t>
  </si>
  <si>
    <t>1 mot : FUIR !!!
Demande 15 ans de documents de mutuel et de documents médicaux pendant des mois pour au final ne pas payer !!! Assurance vie qui ne sert à rien à part jeter son argent !!
Regardez tous les avis sont négatifs, c'est une honte...</t>
  </si>
  <si>
    <t>tima28-87357</t>
  </si>
  <si>
    <t xml:space="preserve">Je suis très déçu par leur assurance mais aussi par leur partenaire d'assistance qui est Europ assistance ...
j'ai eu un sinistre au mois de décembre, l'assistance doit me rembourser 200e pour le dépannage que j'ai avancé et 80e de taxi .... 
Nous sommes le 19 février je n'ai toujours pas reçu mon argent. 
Et quand on les appels le virement a été fait mais ils ne peuvent donner aucun information il faut envoyer des mails .... des mails qu'ils ne reçoivent jamais et ne répondent pas !!!! 
Je commence à saturer la je veux récupérée mon argent !!! 
Je ne recommande surtout pas lolivier et encore moins leur compagnie d'assistance !!! </t>
  </si>
  <si>
    <t>estelle34340-79376</t>
  </si>
  <si>
    <t xml:space="preserve">Augmentation abusive des tarifs si je ne consulte pas mon dossier je ne le sais même pas. 2 contrats auto assurés en tout risque. Le pire c'est que lorsque je refais un devis chez le tarif est celui pour lequel je mettais engagée alors pourquoi augmenter vos tarifs sans nous prévenir. </t>
  </si>
  <si>
    <t>22/09/2019</t>
  </si>
  <si>
    <t>fanny-l-126286</t>
  </si>
  <si>
    <t xml:space="preserve">Je suis globalement satisfaite des services. J'ai cependant été mal conseillée pour la souscription de l'assurance juridique et j'en pâtis aujourd'hui. </t>
  </si>
  <si>
    <t>madj-77520</t>
  </si>
  <si>
    <t>Purement et simplement honteux !!!!
Pas fichu de modifier une adresse du coup suite a l'arrivée de mon enfant je le déclare logiquement et la plus signe de vie et un jour ma cotisation semestrielle est prélevé a ma grande surpise ma prime a plus que triplé je les appels et il me dise avoir envoyé un courrier (a une mauvaise adresse après avoir fais 2 fois la démarche de modification d'adresse !!) pour me prévenir, de plus ils ont ont le culot de me dire que tout est sur internet et que j'avais qu a regarder.
Je demande a résilier on me soutien que ce n'est pas possible sauf si je paye la totalité de ma prime annuel.
Acte 2 : Encore plus énorme : une plainte va partir
Et bizarrement j'ai des courrier avec 2 adresses de contact (les miennes) différentes. 
J'en déduis 2 ERP et vraisemblablement un fonctionnement en mode franchise dont le but est uniquement de ce faire un max de pognon au détriment de la déontologie.
Bref je déconseille vivement</t>
  </si>
  <si>
    <t>10/07/2019</t>
  </si>
  <si>
    <t>maria-77616</t>
  </si>
  <si>
    <t xml:space="preserve">bonjour ,
je vais donner un avis sur cette assurance,  alors comment font t'il pour vous envoyer une mise en demeure du 4 juillet et le prélèvement ce fait le 10 juillet , j'appel le service on me dit que c'est une erreur de leur part , bon je me dit ok,  3 jours plus tard mise en demeure mais le double de la Somme 198euros , et on me dit mais madame faut payer et sa que pour le mois de juillet , Sava j'ai acheter une porche pour payer cette Somme par mois , vraiment honteux à fuir </t>
  </si>
  <si>
    <t>15/07/2019</t>
  </si>
  <si>
    <t>elise98-67803</t>
  </si>
  <si>
    <t>super ...de vrais professionnelles  de la santé.
toujours à l'écoute pour nous trouver des contrat adaptés.</t>
  </si>
  <si>
    <t>17/10/2018</t>
  </si>
  <si>
    <t>glissant-k-114723</t>
  </si>
  <si>
    <t xml:space="preserve">Super facile à souscrire bon service client c’est bien même si les tarifs sont tout de même élevé. Mais je recommande vivement. Je recommanderai sûrement à mon entourage. </t>
  </si>
  <si>
    <t>25/05/2021</t>
  </si>
  <si>
    <t>minh-tam-p-135349</t>
  </si>
  <si>
    <t>c'est la 1ère fois que je ne je ne sais pas encore, si c'est bien j'aurai une autre voiture à assurer chez vous pour le mois d'avril 2022.
Merci beaucoup
Cordialement
Minh-Tam PHAM</t>
  </si>
  <si>
    <t>cocolasticot-61543</t>
  </si>
  <si>
    <t xml:space="preserve">Quand on choisit une assurance lowcost, il faut s'attendre à un service lowcost.
évidemment, ce forum est un peu le bureau des pleurs et la plupart des gens qui écrivent ici sont la pour exprimer un mécontentement.
Pour ma part, je suis client pour ma voiture ( qui a 19 ans ) et c'est l'assurance qui me proposait le meilleur prix.
Ce que je recherche, c'est uniquement un papier vert à coller au parebrise pour rouler en toute légalité.
Je ne me fais pas d'illusion;.. en cas de sinistre ( responsable ou pas) je sais très bien que ce sera le parcours du combattant pour obtenir réparation .. Pas que l'assurance soit malhonnête, mais que le traitement du dossier se fera lentement et pas forcément traité avec beaucoup d'attention et d'empathie ( ils respecteront le contrat, la loi et rien de plus.. contrairement aux assurances prémium qui offrent une vraie relation client).
Pour ma voiture ( qui vaut moins de 1000 euros) Je n'ai pas besoin de plus.. si je suis victime d'un accrochage, je devrai prendre mon mal en patience, mais cela ne me causera pas de problème financier...
En revanche, pour une voiture neuve achetée à crédit, il est clair que cela pourrait poser problème à pas mal de personnes..
réfléchissez bien avant de signer ( et c'est valable pour toutes ses assurances pas chères.. pas spécialement eurofil)
bref, on a le service qu'on paye... Moi ça me convient.
</t>
  </si>
  <si>
    <t>18/02/2018</t>
  </si>
  <si>
    <t>chantal-137848</t>
  </si>
  <si>
    <t xml:space="preserve">Très bonne écoute téléphonique avec réponse satisfaisante déjà un appel pour la transmission qui ne s’est pas faite j’espère que cela se fera avec ce deuxième appel </t>
  </si>
  <si>
    <t>jez-58401</t>
  </si>
  <si>
    <t xml:space="preserve">Ils nous ont résilié car nous avons déclaré 2 bris de téléphone cette année et ce alors qu'ils avaient initialement accepté de les prendre en charge dans le cadre de la multirisque habitation et ce sans émettre le moindre warning. Ce sont des méthodes purement inacceptables. </t>
  </si>
  <si>
    <t>mohamed-m-132911</t>
  </si>
  <si>
    <t xml:space="preserve">bonjour je suis très content de tarif et le site très bien fait
rien est compliqué pour le moment je suis satisfait un grand merci à cette assurance. </t>
  </si>
  <si>
    <t>ralebolesassurances-51166</t>
  </si>
  <si>
    <t>j'ai souscrit en raison d'un tarif attractif un contrat tous risques. Je suis assuré à titre principal et  mon épouse en tant que conducteur secondaire. Les démarches ont été entreprises à compter du 15 11 2016 date de départ du courrier de résiliation adressé à mon ancienne assurance. Pour ce contrat, j'ai envoyé utilement 4 relevés d'information puisque j'ai été détenteur de deux véhicules sur les 36 derniers mois et assuré par deux compagnies d'assurances successives. Jusque là rien d'anormal. Par contre, la plupart des relevés envoyés font l'objet de la mention "en cours d'approbation". Je me demande ce que l'olivier assurance peut contester sur des documents adressés par d'autres compagnies. Ces documents sont toujours à l'étude. Par courriel, j'ai demandé de me faire parvenir une copie du courrier de résiliation adressé à mon ancienne assurance. No réponse. Demande de carte verte définitive. No réponse.
Chez l'olivier c'est le silence qui prévaut! Je passerais sous silence le fait qu'ils savent nous envoyer des courriels pour nous réclamer des pièces justificatives. Par contre, pour nous répondre!!!!!!!!!!!!! Je suis client chez eux depuis même pas un mois et je le regrette déjà. Je sens que l'année va être longue et que ne suis pas au bout de mes déconvenues.</t>
  </si>
  <si>
    <t>10/01/2017</t>
  </si>
  <si>
    <t>ap-75977</t>
  </si>
  <si>
    <t xml:space="preserve">Je suis assuré depuis 1 an à cette compagnie , et je suis très mécontent du service de celle-ci en ce qui concerne le contact téléphonique. Après plusieurs appels à leur plateforme , au  dernier appel l'employé m'a raccroché au nez . Le service comptabilité avait  commis une erreur sur notre prélèvement bancaire. Après avoir consulté ma banque qui m'informe que aucun rejet n'a été effectué , je constate que la comptabilité de chez SANTIANE est mensongère.
Lors de la résiliation de mon contrat qui a 1 an d’existence au 31 décembre 2020,  SANTIANE invoque des délais pour la résiliation. Garder un client sous contrainte est-il sain??
En résumé fuyer cette mutuelle SANTIANE. </t>
  </si>
  <si>
    <t>27/11/2020</t>
  </si>
  <si>
    <t>moustik13-59177</t>
  </si>
  <si>
    <t xml:space="preserve">On est assuré chez assurbike mais lors de notre premier sinistre (vol) on apprend que c'est axa qui gère les dossiers. 
.. bref ça fait 3 mois qu'on attend... 3 mois qu'on est au chômage technique du coup sans véhicule. La il nous propose un remboursement avec 25% de franchise du coup ça fait quand même 2000e en moin... Et on attend qu'un conseiller veuille bien décrocher son téléphone mais non quedal! Toujours pas d'argent en vue rien !! Une rage profonde car qui va réparer les préjudice financier de la perte de mon emploi ??? Quesque je vais bien pouvoir prendre comme véhicule avec 2000e en moin !? C'est moi la victime du vol mais pour le coup c'est moi qui l'ai profond ! La haine envers cette assurance ! </t>
  </si>
  <si>
    <t>28/11/2017</t>
  </si>
  <si>
    <t>rafi-k-132686</t>
  </si>
  <si>
    <t xml:space="preserve">Satisfaction et bien reçu. Tarif attractif et intéressant. Je recommanderais a mon entourage de comparer leurs tarif assurance avec la votre voir la différence. Cordialement </t>
  </si>
  <si>
    <t>didier-d-117823</t>
  </si>
  <si>
    <t>Je trouve inadmissible que le prix d'accroche pour un nouveau client soit 2 fois moins cher que le prix que je paie à l'heure actuelle pour le même véhicule.
J'ai contacté le service client qui me tiens un discourt que ne me convient pas. (Paiement mensuel, lieu de garage, etc...).</t>
  </si>
  <si>
    <t>sandy-54470</t>
  </si>
  <si>
    <t xml:space="preserve">Ne souscrivez surtout pas chez eux..a part encaisser les cotisations . Je suis en depression depuis...jai été victime de la route mon dossier a été classé ils me l ont dit six mois après. Alors même que je l ai appelait tres régulièrement </t>
  </si>
  <si>
    <t>04/05/2017</t>
  </si>
  <si>
    <t>mounia-e-123540</t>
  </si>
  <si>
    <t>je pensais que j'économiserai beaucoup plus, la pub dit en moyenne 250euros je sais que c'est une moyenne néanmoins je pensais être dans la fourchette haute.</t>
  </si>
  <si>
    <t>15/07/2021</t>
  </si>
  <si>
    <t>ziede--a-135028</t>
  </si>
  <si>
    <t>Je suis satisfait du service. Direct Assurance.Rapide, efficace.je recommande Direct Assurance a tous les gens qui n’ont pas de temps à perdre en agence! ????</t>
  </si>
  <si>
    <t>mafray-r-137796</t>
  </si>
  <si>
    <t>Super customer service et ultra rapide, rapport qualité prix au top.
Super content d'avoir connu c'est assurance online ça change vraiment tout et sans prise de tête.</t>
  </si>
  <si>
    <t>19/10/2021</t>
  </si>
  <si>
    <t>julien-d-114921</t>
  </si>
  <si>
    <t>assurance rapide et rapport qualité top ! 
par contre zéro sur certain point comme le fait de devoir batailler pour avoir un n° de sinistre bris de glace afin d'aller dans un garage de notre choix ...</t>
  </si>
  <si>
    <t>rdu-98689</t>
  </si>
  <si>
    <t>3 semaines depuis mon sinistre et aucune rappel ni réponse au mail de la part de cet assureur. Impossible de parler avec qq'un. les agences commerciales ne sont là que pour vous signer un contrat commercial. Un scandale</t>
  </si>
  <si>
    <t>13/10/2020</t>
  </si>
  <si>
    <t>yannick-g-123918</t>
  </si>
  <si>
    <t>Très bon accueil téléphonique . tarifs, facilité de souscription. Choix large des options possibles qui font un contrat d'assurance complet au meilleur prix</t>
  </si>
  <si>
    <t>guillaume-b-131349</t>
  </si>
  <si>
    <t xml:space="preserve">Nickel pas de soucis pour souscrire en ligne je recommande 
Pas cher et bonnes garanties . Prix attractifs , garanties au top. 
Merci et bonne continuation </t>
  </si>
  <si>
    <t>05/09/2021</t>
  </si>
  <si>
    <t>pau17-104793</t>
  </si>
  <si>
    <t xml:space="preserve">Rien à dire. Rapide, serviable, à l'écoute. Je recommande fortement.
Toujours disponible. 
Je ne suis vraiment pas déçue d'avoir changé d'assureur ! 
</t>
  </si>
  <si>
    <t>25/02/2021</t>
  </si>
  <si>
    <t>sylvie-d-114218</t>
  </si>
  <si>
    <t>Dommage, les prix plus que compétitifs par le passé, ont très sérieusement augmenter avec une différence de 1000 à 1200£ en comparatifs avec d'autres assurances pour exactement les même garanties. D'autre part malgré l'ancienneté et fidélité à cette assurance, le tarifs augmente tout les ans et pas de geste commercial.</t>
  </si>
  <si>
    <t>19/05/2021</t>
  </si>
  <si>
    <t>killian-57366</t>
  </si>
  <si>
    <t>Cela fait 5 ans que je suis chez eux, sans jamais avoir eu un accident.j'ai changé de véhicule et je n'arrive pas à avoir un opérateur capable de me faire un avenant...un personnel désagréable et des opérateurs incompétents qui te raccrochent au nez...Un contrat en ligne c'est bien, encore faut il avoir des opérateurs concernés...un conseil..fuyez cet assureur. Je suis Belge..et bien figurez-vous qu'elle ne comprend pas le Belge, je parle sans accent, un bon français d'un bac+5, mais le fait d’être Belge suffit manifestement pour parler à la Belge...langage qui n'existe que dans les sketches de certains...Brel , Raymond Devos...sont Belges.</t>
  </si>
  <si>
    <t>16/09/2017</t>
  </si>
  <si>
    <t>frani-91424</t>
  </si>
  <si>
    <t>Sociétaire depuis plus de 30 ans, j'ai quitté la MAIF début 2020 suite à une accumulation d'insatisfactions. Assurances auto et habitation ont considérablement augmenté au fil des ans et les garanties ont considérablement diminué. La goutte d'eau qui a fait débordé le vase est quand j'ai subi un dégât "foudre" pour lequel j'étais assurée, et rien ne m'a été remboursé, rien de rien !!! car "matériel obsolète", ma TV et mon PC et mon lave-linge marchaient pourtant bien, mais pas assez neufs pour être remboursés. L'autre summun a été atteint quand la MAIF a envoyé des pub "assurance habitat" expliquant qu'elle vous changeait votre matériel électroménager défectueux (lave-linge par exemple) par un neuf grâce à cette assurance sûrement chère je n'ai pas regardé... Valeurs mutualistes ? respect ? écologie ? Non finalement je quitte la MAIF, j'ai plus de garanties ailleurs pour la même somme.
Il y des années en arrière, suite à un cambriolage j'avais été bien indemnisée par la MAIF, même pour une vieille TV, une chaîne HiFi, des CD, des vêtements... et un appareil photo de valeur mais qui datait....
Les valeurs d'entraide se perdent, maintenant il faut faire du chiffre et faire rentrer des sous, c'est tout.</t>
  </si>
  <si>
    <t>20/06/2020</t>
  </si>
  <si>
    <t>cedric-p-107654</t>
  </si>
  <si>
    <t>Je suis plutot satisfait des conditions tarifaires.
Également satisfait des conseiller téléphonique, ainsi que la rapidité à souscrire un nouveau contrat auto.</t>
  </si>
  <si>
    <t>jean-jacques-d-128457</t>
  </si>
  <si>
    <t xml:space="preserve">je suis tres satisfait de a.m.v ces une tres bonne compagnie d assurance merci encore je vous recomdraie a des collegues car vous avez des tres bons tarifs </t>
  </si>
  <si>
    <t>18/08/2021</t>
  </si>
  <si>
    <t>speelfrederic-57075</t>
  </si>
  <si>
    <t>J'ai souscrit chez L'olivier assurance pour ses prix attractifs et les garanties proposées à un très bon prix. Jusqu'a présent je suis totalement ravi, la mise en place de mon dossier s'est faite sans problème !</t>
  </si>
  <si>
    <t>04/09/2017</t>
  </si>
  <si>
    <t>provenzano-c-111991</t>
  </si>
  <si>
    <t>Nous avons été enchantées par l 'accueil téléphonique et ce à plusieurs reprises.
Les explications données étaient claires. 
La procédure pour finaliser pas trop compliquée.</t>
  </si>
  <si>
    <t>28/04/2021</t>
  </si>
  <si>
    <t>jo-130321</t>
  </si>
  <si>
    <t xml:space="preserve">TROP DECU DE CETTE MUTUELLE 
ILS COMPRENNENT RIEN ET JE VOUDRAIS PARTIR DE CHEZ EUX MAIS J Y SUIS DEPUIS JUILLET
ILS SONT NULS!!!!!!!!!!!!
DEPUIS 2 MOIS J'ATTENDS UN REMBOURSEMENT ET LORSQUE JE TEL   ON ME DIT JAMAIS LA MEME CHOSE
JE VAIS PRENDRE UN AVOCAT CAR JE N'AI PAS L'INTENTION DE RESTER 1 ANS
</t>
  </si>
  <si>
    <t>31/08/2021</t>
  </si>
  <si>
    <t>bilal-e-129194</t>
  </si>
  <si>
    <t>Service très rapides avec une souscription vraiment simple.
Prise en main du site vraiment rapide.
Point positif: on ne reçois aucun appel publicitaire inutile.
Merci.</t>
  </si>
  <si>
    <t>23/08/2021</t>
  </si>
  <si>
    <t>avantime-54890</t>
  </si>
  <si>
    <t>Les prix sont ok. Depuis ma souscription de 4 contrats je reçois tous les 2 matins des mails pour réclamer les pièces justifcatives qui doivent être données pour début juillet (le7 exactement). Je trouve que c'est un peu excessif
J'attends les parrainages. Je n'en ai pas eu la confirmation ne serait ce qu'une seule fois par retour de mail.
On dirait que vous avez plus besoin des pièces justificatives que de donner des parrainages.....</t>
  </si>
  <si>
    <t>sardane-99948</t>
  </si>
  <si>
    <t xml:space="preserve">Bonjour,
Suite à un cambriolage mon assureur "La Macif" au titre du manque de factures ne rembourse rien. Sachant que mes tickets de caisse étaient pour la plupart édités sur papier thermo sensible qui s'effacent avec le temps, c'est une belle opportunité pour ne rien rembourser. 
Fort de ce constat, la Macif associe néanmoins son image à celle d'un skipper Charlie Dalin, au départ du Vendée Globe 2020 en n'hésitant pas à engloutir des sommes considérables en publicité institutionnelle, au détriment de ses adhérents... Publicité mensongère d'une mutuelle au service de sa propre image! 
</t>
  </si>
  <si>
    <t>sheherazade-h-129199</t>
  </si>
  <si>
    <t xml:space="preserve">Merci à direct assurance pour votre confiance. 
Concernant le rapport qualité prix, direct assurance est pour moi une des meilleures assurances sur le marché. </t>
  </si>
  <si>
    <t>patrap-86872</t>
  </si>
  <si>
    <t xml:space="preserve">assurance à fuir - clients depuis 40 ans  à Macif avec une dizaine de contrats, nous avons été victimes d'un gros dégât des eaux et n'avons pas été couverts malgré que nous soyons assurés pour ce risque. </t>
  </si>
  <si>
    <t>14/02/2020</t>
  </si>
  <si>
    <t>bellicha-e-107628</t>
  </si>
  <si>
    <t>Impossible de souscrire à l'assurance par Internet, "Un problème est survenu" : terriblement frustrant. Au bout du 15e devis, je finis par appeler: le problème a été réglé en un coup de fil, 20min top chrono! Nickel.</t>
  </si>
  <si>
    <t>claram-60431</t>
  </si>
  <si>
    <t xml:space="preserve">C'est vrai qu'elle est saoulante la community manager, ça fait un moment que je lis les avis clients sur eurofil car je souhaite changer d'ass auto, et j'avoue être refroidie après avoir lu tout ce que j'ai lu. Alors certes ils sont moins chers mais il semblerait que cela soit au détriment de l'accueil, du suivi, des services et j'en passe. Mais le plus navrant ce sont les réponses des community manager qui répondent toujours la même chose et le même blabla, ce ne sont que des réponses "type" qu'elles envoient à chaque message!! vive la médiocrité </t>
  </si>
  <si>
    <t>12/01/2018</t>
  </si>
  <si>
    <t>hicham-98265</t>
  </si>
  <si>
    <t>Délai de traitement sinistre : supérieur a 1 an
Nombre de conseiller client : 1 pour toute la France.
Après avoir envoyé mon dossier a "l'expert" celui ci me dis de voir avec sogessur et eux affirme ne rien avoir reçu. A fuite absolument sauf si vous avez du temps et de l'argent a perdre</t>
  </si>
  <si>
    <t>zebulon-76997</t>
  </si>
  <si>
    <t xml:space="preserve">J attends chaque jour d être pris en charge pour un sinistre à la gmf avec la macif il se rejete la balle, j en ai ras le bol surtout que c est pour la prise en charge d une porte de four. </t>
  </si>
  <si>
    <t>21/06/2019</t>
  </si>
  <si>
    <t>chg-104120</t>
  </si>
  <si>
    <t>Très mauvais, travaille avec un cabinet d’expert en mèche avec eux, ne rembourse pas avec des diagnostics absolument aberrants, je vais prendre 1 avocat et résilier mes 3 contrats chez eux....</t>
  </si>
  <si>
    <t>13/02/2021</t>
  </si>
  <si>
    <t>mikado-50419</t>
  </si>
  <si>
    <t xml:space="preserve">Je n'ai pas reçu les deux relevés annuels au 31 décembre 2019 de mes deux contrats d'assurance vie à mon adresse courrier en Espagne .Les années précédentes je les avais reçus sans problème  au plus tard début mars </t>
  </si>
  <si>
    <t>23/04/2020</t>
  </si>
  <si>
    <t>eric-67860</t>
  </si>
  <si>
    <t xml:space="preserve">La maaf reste une bonne assurance temps que vous n avez pas besoin d eux , il suffit d avoir 2 sinistres habitations en 3 ans il vous vire comme un délinquant ,malgré plusieurs autres contrats ainsi que des placements financières
</t>
  </si>
  <si>
    <t>18/10/2018</t>
  </si>
  <si>
    <t>legal-51848</t>
  </si>
  <si>
    <t xml:space="preserve">Le slogan de la G.M.F : « Le service GMF, l’efficacité pour votre tranquillité »  … défense de rire ! 
Pendant 35 ans, j’ai payé ma cotisation d’assurance à cette GMF qui semble actuellement dans une phase suicidaire, à lire les nombreux commentaires sur internet.
Mon Odyssée commence par une fuite d’eau banale chez mon voisin du dessus, début décembre 2016.
Des dégâts très ennuyeux sur mon plafond et mes murs.
Mon voisin, fait une déclaration à son assureur, la MA…F, qui règle le problème vite fait.
Moi, je fais une déclaration, avec la confiance aveugle du néophyte GMF.
Le 26 décembre 2016, ne voyant rien venir, je me déplace à l’agence GMF.
L’employé qui me reçoit me dit que c’est « Rennes » qui s’en occupe et que « Rennes » prendra contact avec moi au moment opportun, puis se désintéresse de mon cas.
J’ai compris qu’à l’agence GMF, personne n’en avait rien à « foutre » de mon sinistre.
Dès le lendemain, j’ai donc écrit à Thierry Derez, président de la GMF pour me plaindre des faits et lui dire que ce n’était pas bien  de me faire ça.
A ce jour, j’attends toujours une réponse de sa part. 
Je pense que lui non plus, il n'en a rien à « foutre » de mon sinistre. Il a sûrement autre chose à faire. 
A ce jour, presque 2 mois après ma déclaration, rien, mais rien,  n’a été réglé. 
Moi, j’attends… eux vont attendre longtemps ma prochaine cotisation car je vais déguerpir vite fait de leur GMF. 
Je suis quand même chanceux : mon logement n’est pas sous les eaux et avec ma famille, nous ne sommes pas dans une barque, dans l’attente de la bouée de sauvetage que nous lancerait notre brave assureur avec son slogan : « LA GMF, l’efficacité pour votre tranquillité ».
Bien sûr, je vais aller m’assurer ailleurs. Pourquoi pas, à la M….F comme mon voisin ?
Et moi qui voulais confier  à la GMF la gestion de mon plan assurance vie : j’ai eu chaud pour mes sous !
</t>
  </si>
  <si>
    <t>30/01/2017</t>
  </si>
  <si>
    <t>patrick-c-109742</t>
  </si>
  <si>
    <t>Je suis pleinement satisfait de cette operation
Simple et facile d'utilisation, rapide
Compréhensif, 
Je vous remercie pleinement
Cordialement
Mr ciquet</t>
  </si>
  <si>
    <t>tarik-e-124810</t>
  </si>
  <si>
    <t>Je suis satisfait du service
Tarif intéressant mais j'aurai aimé avoir un meilleurs prix ayant 2 véhicule et mon assurance habitation chez vous
Je suis satisfait du service
Tarif intéressant mais j'aurai aimé avoir un meilleurs prix ayant 2 véhicule et mon assurance habitation chez vous</t>
  </si>
  <si>
    <t>jovm-98763</t>
  </si>
  <si>
    <t>Après un premier avis sur ce site concernant CIC ASSRANCES ET DONC ACM-IARD une réponse m'a été envoyée par "Isabelle" ... Merci à vous. Je ne vous ai pas encore contacté car je reste dans l'attente (suite LRAR, 2 appels téléphoniques à ACM groupe 20 et 27, 2 relances par mail) du rapport de l'experte venue pour les fissures dues à la sécheresse 2019 (et en continuation été 2020!!). Je reste sans nouvelle à ce jour. LA LOI VOUS OBLIGE A M'ENVOYER CE RAPPORT! Vous faites un blocage "volontaire" et "décidé" par vos instances Dirigeantes pour bloquer volontairement les dossiers des VICTIMES DE SINISTRES! C'est lamentable mais tellement dans l'esprit ... l'assuré paie ses cotisations et les Cie d'assurances font tout pour éviter d'indemniser un sinistre. Des lois existent et vous n'en tenez pas compte car vous comptez sur "l'ignorance du petit peuple". 
A celles et ceux qui me liront, une asso existe (il y en a d'autres): LES OUBLIES DE LA CANICULE. VENEZ VISTER LE SITE ET VOUS INSCRIRE. L'UNION FERA LA FORCE FACE A CES CIE ASSURANCES DEFAILLANTES ET MENSONGERES.</t>
  </si>
  <si>
    <t>rosandi-t-105643</t>
  </si>
  <si>
    <t>Les prix indiqueraient un niveau compéttitif selon le conseiller et ce, pour un client fidèle mais ne se reflète pas sur la proposition. 
Je m'aperçois que vos confrères proposent après signature des contrats compétitifs moins chers à iso périmètre.</t>
  </si>
  <si>
    <t>mullier-k-123741</t>
  </si>
  <si>
    <t>Je suis satisfait de votre tarif 
Sauf déçu pour les frais de dossier 
Cordialement 
Monsieur Mullier 
Sincères salutations 
Bonne continuation à vous</t>
  </si>
  <si>
    <t>18/07/2021</t>
  </si>
  <si>
    <t>jean-michel-49876</t>
  </si>
  <si>
    <t>Je mets une étoile parcequ'on ne peut pas mettre moins. Voici plus d'un an (octobre 2015) que j'ai fait appel à la MAIF pour un dégât des eaux. La cause : une fuite au niveau de l'arrivée d'eau à l'extérieur de la maison qui a causé des dégradations aux murs intérieurs et extérieurs, fait gonfler les huisseries et dégradé les peintures. Réponse de la MAIF après passage d'un "expert" de la société Eurexo : ce ne sont que des remontées capillaires. Résultat un an plus tard la fuite s'est aggravée, sous-sol inondé, Veolia bien obligé d'intervenir cette fois pour réparer la fuite. Les dégâts sont devenus plus importants bien sûr. Mais côté MAIF, malgré deux relances, c'est toujours silence radio.</t>
  </si>
  <si>
    <t>04/12/2016</t>
  </si>
  <si>
    <t>audreysaby-137789</t>
  </si>
  <si>
    <t>J’attends toujours ma carte de 1/3 payant.
L’application ne marche pas je n’arrive pas à m’identifier depuis 1 semaine.
C’est très long.
J’ai besoin de ma carte demain !</t>
  </si>
  <si>
    <t>geniale-67623</t>
  </si>
  <si>
    <t>Axa assure mes véhicules depuis des années. Je trouve qu'il est utile d'avoir un contact en agence. Toujours une solution à apporter. Je suis très satisfaite. Le tarif peut paraître un peu élevé mais le service rendu est de qualité. L'espace client internet propose aussi un club avec des réductions dans plusieurs magasins.</t>
  </si>
  <si>
    <t>13/10/2018</t>
  </si>
  <si>
    <t>sergent70-71678</t>
  </si>
  <si>
    <t xml:space="preserve">ayant eu un sinistre (véhicule dégradé en stationnement)feu ar d cassé et plusieurs impacts sur aile dégradation causée par un individu et non un autre véhicule.la franchise prévue au contrat prise en charge totalement par la GMF. très heureuse surprise.
</t>
  </si>
  <si>
    <t>26/02/2019</t>
  </si>
  <si>
    <t>fabifab-72491</t>
  </si>
  <si>
    <t>Suite à un accident de deux roue ou j étais reconnu non responsable mon scooter à était reconnu épave le conseiller ma recommander de laisser les prélèvements de la prime mensuel ce faire tant que le remboursement du véhicule ne me soit parvenu et ensuite il me remboursera les primes de cette période soit 4 mois de paiement 160 e à l heure d aujourd'hui aucun remboursement ni réponse au courrier et cerise sur le gâteau 150 e de la valeur d expertise du scooter ne me son pas parvenu suivant les dires assit online il attende les fonds de la partie adverse</t>
  </si>
  <si>
    <t>26/03/2019</t>
  </si>
  <si>
    <t>eve-117700</t>
  </si>
  <si>
    <t>Mutuelle a fuir!!!!!Ne remboursent pas .Ne répondent pas ni aux mails ni au téléphone.Leur site internet est inaccessible.Par l’intermediaire du courtier,pas plus de résultats.</t>
  </si>
  <si>
    <t>numa-r-117609</t>
  </si>
  <si>
    <t xml:space="preserve">
merci pour la rapidité de prise en compte de notre demande, correspondant à nos attentes
Nous vous recommanderons sans problème à l'avenir car satisfait de la proposition
</t>
  </si>
  <si>
    <t>19/06/2021</t>
  </si>
  <si>
    <t>lasam47-63707</t>
  </si>
  <si>
    <t>Je ne note que mon rapport avec mon correspondant Santiane, puisque je serai couverte seulement dans qq mois... J'attendrai donc avant de noter totalement cette mutuelle. Je suis déjà cliente du groupe owliance, je reste donc en terre connue. Jusqu'ici j'étais satisfaite de la relation client ...</t>
  </si>
  <si>
    <t>02/05/2018</t>
  </si>
  <si>
    <t>sheart1-95913</t>
  </si>
  <si>
    <t>Très insatisfait. J’ai choisi April pour la mutuelle de mes 2 chiens et je regrette. Il faut attendre entre 3 semaines et 1 mois pour être remboursé. Les joindre par téléphone relève du miracle. Ils ne sont pas aimables et peu professionnels. Fuyez cette mutuelle !!!</t>
  </si>
  <si>
    <t>04/08/2020</t>
  </si>
  <si>
    <t>jeremie-b-128364</t>
  </si>
  <si>
    <t>A voir en cas de problème, mais tarifs le plus bas en comparaison des autres assurances, bien que les frais de dossiers et taxes soient surprenant et donc au final tarifs équivalents du groupe Axa</t>
  </si>
  <si>
    <t>vanda-f-130603</t>
  </si>
  <si>
    <t xml:space="preserve">C’est l’assurance la m’ois cher que j’ai trouvé .
Mon cousin m’a conseillé et on c’est mi d’accord pour prendre votre assurence 
J’espère être très satisfait </t>
  </si>
  <si>
    <t>luc-f-107209</t>
  </si>
  <si>
    <t xml:space="preserve">très content et satisfait de DIRECT ASSURANCE. site très facile à remplir et rapide. une grande facilité pour souscrire une assurance. je recommande  </t>
  </si>
  <si>
    <t>sriri-elyas-105265</t>
  </si>
  <si>
    <t>Tres satisfait pour le moment. L'ouverture et la validation du contrat s'est correctement effectué. Les prix sont plus bas que chez les concurents. Je conseille!</t>
  </si>
  <si>
    <t>luciejllie-129094</t>
  </si>
  <si>
    <t>La version assurance en ligne est une catastrophe. Je renouvelle des demandes par mail depuis 2 mois qui demeurent sans réponse. De plus, il ne s'agit pas d'une demande complexe ou extravagante (demande d'attestation d'assurance mentionnant l'activité de télétravail). Par télephone je n'ai pas eu plus de succès, les "rappels gratuits et immédiats" et 3prises de rendez vous téléphoniques3 n'ont méné à rien. JAMAIS DE RAPPEL. Et lorsque je les contacte directement "votre temps d'attente est estimé à moins de 4min", je ne sais pas s'ils sont équipés d'horloges mais 30min après je suis toujours en attente. En revanche aucun retard pour réaliser les prélèvements. ASSURANCE MEDIOCRE : je ne recommande pas, surtout si vous avez besoin d'eux.</t>
  </si>
  <si>
    <t>jessica-g-124955</t>
  </si>
  <si>
    <t>Très satisfait merci pour la rapidité de traitement et les offres proposées attend plus que ma carte vert merci et les justificatifs demandés cordialement madame Zapata</t>
  </si>
  <si>
    <t>jose-64178</t>
  </si>
  <si>
    <t>Leur numéro est très bien rôdé. Vous avez beau envoyer un dossier complet, ils vous réclament une pièce déjà fournie et ce (comme par hasard) avant l'échéance des 30 jours à laquelle ils sont tenus de payer. Ils comptent, sur le découragement des héritiers bénéficiaires. Leur objectif, faire trainer les choses. Malheureusement pour eux, ma compagne étant avocate et habituée de ce genre de pratique, j'avais anticipé en enregistrant les pièces envoyées. Du coup, en plus du versement du capital, je compte demander des intérêts sur la base de leur mauvaise foi avérée. Ne vous laissez pas faire et gardez des preuves des pièces que vous leur envoyez. Sur la base de ces preuves, le tribunal de grande instance, tranchera en votre faveur.</t>
  </si>
  <si>
    <t>dbz-88585</t>
  </si>
  <si>
    <t>Pour faire court.
Plus de 6 semaines que mon véhicule à brûler,je précise assuré en grosse omnium avec valeur majorée, à pied avec mes 3 enfants, et rien à part se faire balader d un agent à l autre.A mon avis répété , 30 fois la même chose a chaque fois a quelqu'un de différent,au passage je n'ai jamais eu la personne s'occupant de mon dossier.Je précise 4 experts passés ,chiffré par l'expert,assuré a valeur majorée , facture et les 632 autres documents renvoyés etc etc....
ici il y a 2 semaines on m'a dit au téléphone , quand on me laisse parler bien entendu , mr fin de semaine vous avez la proposition il reste juste la signature de l'expert de la région , je sais pas tout quoi car a chaque fois on vous raconte un nouveau mensonge, et vous êtes indemnisé.
LAISSEZ MOI RIRE , ENFIN PLEURER !!!!!!!
Tout simplement HONTEUX.
Ah oui véhicule de remplacement cat B , je vais le chercher chez europcar suite a leur réservation 15 j,et quand je le ramène 225 euros a payer!!!!!!!
Je contacte un médiateur et mon avocat si rien arrangé fin de semaine.</t>
  </si>
  <si>
    <t>31/03/2020</t>
  </si>
  <si>
    <t>julien-v-123776</t>
  </si>
  <si>
    <t xml:space="preserve">Assistance performante en cas de panne ou d'accident
remboursement efficace lors d'une effraction de mon véhicule avec vol de sièges
Je n'ai pas eu l'occasion de recourir à d'autres services </t>
  </si>
  <si>
    <t>19/07/2021</t>
  </si>
  <si>
    <t>nora-h-124514</t>
  </si>
  <si>
    <t>Très contente du revive et du prix très rapide merci je recommande à tous votre assurance j’espère ce recevoir un geste commercial car j’ai parrainé ´</t>
  </si>
  <si>
    <t>jpgueru-57067</t>
  </si>
  <si>
    <t xml:space="preserve">Très déçu par l'augmentation annuelle des cotisations autos sans raison valable et sans malus en cause.Je vais donc quitter après + de 20 ans comme client( avant c'était l'UAP qui à été repris par AXA)
</t>
  </si>
  <si>
    <t>03/09/2017</t>
  </si>
  <si>
    <t>beaubier-t-127992</t>
  </si>
  <si>
    <t>Je suis satisfait du service... j'espère rester satisfait tout au long de mon contrat et que le prix puisse baisser au fur et a mesure des mois voir des semaines</t>
  </si>
  <si>
    <t>14/08/2021</t>
  </si>
  <si>
    <t>souvannarath-n-125760</t>
  </si>
  <si>
    <t>J' ai découvert l' Assurance Olivier en cherchant sur internet sur un site de comparateur et c' est la moins chère.
Je suis très satisfaite aussi du service client.
Je recommande l' Assurance Olivier</t>
  </si>
  <si>
    <t>31/07/2021</t>
  </si>
  <si>
    <t>emilie-v-124001</t>
  </si>
  <si>
    <t>Je trouve vraiment que cette assurance en ligne est simple et pratique facile d'adhérer.
Pour le moment je conseille vraiment direct assurance
Bien cordialement</t>
  </si>
  <si>
    <t>pierrebdlp-115858</t>
  </si>
  <si>
    <t xml:space="preserve">Après une première expérience affreuse avec Direct Assurance, je me suis dit que c'était mon gestionnaire qui était mauvais et j'ai donc décidé de leur donner une seconde chance.
Après un deuxième sinistre, je me rends compte à quel point cet assureur n'est pas au niveau. Je m'occupe moi-même de faire les démarches entre l'expert et le garage tellement ils ne sont pas à jour. Mon véhicule est immobilisé dans un garage partenaire depuis une semaine et demi et malgré un contrat qui le stipule je n'ai toujours pas de véhicule de prêt !!!  Aucun expert n'est passé à date. Personne ne suit le dossier. Et surtout ce n'est jamais leur faute (soit c'est la faute de l'expert, soit la faute du garage). J'en attendais plus et je suis très déçu.
Je clôture le sinistre et je fuis Direct Assurance cette fois. Et j'invite chaque personne qui lit ce message à ne surtout pas souscrire chez eux ou à résilier. </t>
  </si>
  <si>
    <t>steph-75012-92849</t>
  </si>
  <si>
    <t>Je trouve inadmissible que lorsque l'on passe en mensualisation la cotisation finale soit plus chère que si l'on paie en une seule fois. Lorsque je paie pour une année, je n'ai pas 2% d'intérêts. Cdlt.</t>
  </si>
  <si>
    <t>30/06/2020</t>
  </si>
  <si>
    <t>elisabeth-49741</t>
  </si>
  <si>
    <t>Je suis assurée Maif depuis plus de quarante ans. J'ai depuis deux ans un problème de dégâts des eaux complexe (une fuite sur une ancienne alimentation et les évacuations qui sont sous la maison dans un hérisson et cassées). Mes interventions auprès de la Maif ont toujours eu une réponse différée d'abord pour la prise en compte des problèmes et maintenant sur la prise en compte sérieuse des dégâts (pour exemple : on me propose de remplacer un sol en travertin en recouvrant par un sol pvc). Les indemnisations proposées ne font pas l'objet de devis et les courriers sont du genre "vous devriez être content". Si on ne l'est pas le litige doit être selon leur ivitation réglé par la Maif avec un expert d'assuré. Stupidement, je croyais que c'était eux....J'ai donc pris le mien qui n'est pas gratuit bien sûr. Le discours courant est "qu'on a profité de la MAIF". Je ne pense pas être concernée, mais ce que je peux dire c'est que la tendance semble s'être inversée. Il est vrai que depuis la MAIF est côtée en bourse. C'est le prix à payer ? Et on se fait maltraiter, par les experts et au téléphone.</t>
  </si>
  <si>
    <t>amelita-68331</t>
  </si>
  <si>
    <t xml:space="preserve">Le Service client et lassistance médiocre attente interminable je ne recommanderais a aucun de ma famille ou amies et je compte résilier au moment ou je le pourrais le plus rapidement possible sauvez vous </t>
  </si>
  <si>
    <t>05/11/2018</t>
  </si>
  <si>
    <t>lematador13-85519</t>
  </si>
  <si>
    <t>Surprise de cette nouvelle décennie. Augmentation de + de 25% de la cotisation de référence. Du jamais vu mais on en apprend tous les jours. Pas de courrier ou de mail pour en aviser le client.</t>
  </si>
  <si>
    <t>05/01/2020</t>
  </si>
  <si>
    <t>ml-106977</t>
  </si>
  <si>
    <t xml:space="preserve">Cela fait 6 mois que j ai déclaré mon sinistre de détérioration suite "cambriolage". Pour me faire payer la franchise ils ont été réactif dans le mois suivant le cambriolage  cependant pour les travaux sur la baie vitrée fracturée et le carrelage détérioré suite au chute de parfum du aux cambrioleurs on attend toujours!!!... après passage d entreprises qui sont agréés et mandatées par la GMF il y a plus de 4 mois, J attends toujours la validation du devis ( carrelage) par GMF et l intervention pour corriger les détériorations.
Pour faire payer les cotisations et franchises il n y a pas de soucis mais pour tenir leurs engagements pour lesquels on les paye alors là ils sont aux abonnés absents c est la 6 ème fois que j appelle et sans avancement, on me dit en permanence que on prendra contact avec nous pour la suite!. C est honteux et désespérant. </t>
  </si>
  <si>
    <t>mika59-90045</t>
  </si>
  <si>
    <t>Après 6 ans de cotisation sans sinistre pour une BMW 1150rt je déménage de 5 km.
Je reçois mon nouvel échéancier qui passe de 200 euros à 345 euros pour les mêmes prestations!!!
J'appelle et je signale le problème, on me dit que c'est normal!!!
Outré, plus on a de fidélité et plus la moto vieillie plus on paie???
80% d'augmentation et ça les choque pas, du coup fin de l'aventure April Moto, sidéré</t>
  </si>
  <si>
    <t>29/05/2020</t>
  </si>
  <si>
    <t>dono83-138791</t>
  </si>
  <si>
    <t xml:space="preserve">Assureur à éviter,
C'est carrément une assurance qui ne donne aucune assurance, j'aiésilier pour un incident dont Je n'étais pas responsable c'est suite à un défaut de la voirie.
Des personnes qui assure pas leur travail et leur fonction.
</t>
  </si>
  <si>
    <t>karim-d-110348</t>
  </si>
  <si>
    <t>Très simple de créer un dossier, les tarifs proposés sont intéressants et le conseiller a été réactif et efficace. Je recommande cette équipe de courtiers.</t>
  </si>
  <si>
    <t>fred-64732</t>
  </si>
  <si>
    <t>Mauvais Assurances pour payer il y a du monde mais quand il y a un sinistre il y plus personne débrouillez vous</t>
  </si>
  <si>
    <t>13/06/2018</t>
  </si>
  <si>
    <t>karine-r-129354</t>
  </si>
  <si>
    <t xml:space="preserve">Procédure en ligne très simple avec des tarifs interessants et une facilité à joindre les conseillers en cas de besoin Je suis satisfaite des services et prestations proposés </t>
  </si>
  <si>
    <t>michel-63431</t>
  </si>
  <si>
    <t>je suis tres satisfait</t>
  </si>
  <si>
    <t>20/04/2018</t>
  </si>
  <si>
    <t>cecilia-c-106114</t>
  </si>
  <si>
    <t>Je n'ai pas grand chose à dire mise à part qu'en ce qui concerne le prix de mon assurance, il conviens parfaitement à mon budget. En terme d'assurance, c'est ce qui me conviens le mieux. Merci pour tout</t>
  </si>
  <si>
    <t>jerome-t-123282</t>
  </si>
  <si>
    <t>Très satisfait de la simplicité pour souscrire et des tarifs qui sont parfait. A confirmer dans le temps sur l’efficacité et la réactivité de l’assurance.</t>
  </si>
  <si>
    <t>13/07/2021</t>
  </si>
  <si>
    <t>pinto-116766</t>
  </si>
  <si>
    <t xml:space="preserve">Mutuelle qui ne gère pas les dossiers de ces clients cela fait 2 mois que j attends la validation de la portabilité de ma mutuelle alors que les documents ont été expédiés plus de 2 fois.
Pas sérieux de plus ils prennent 4 à 6 semaines pour vous rembourser. 
Je ne recommande pas la mutuelle </t>
  </si>
  <si>
    <t>11/06/2021</t>
  </si>
  <si>
    <t>aurelie--b-136051</t>
  </si>
  <si>
    <t xml:space="preserve">Les prix me conviennent. À voir pour la suite, je souscris à peine pour la première fois alors difficile de donner un avis plus poussé quant à ma satisfaction. </t>
  </si>
  <si>
    <t>naima-b-105025</t>
  </si>
  <si>
    <t>Très satisfait du contact relationnel un peu cher pour ma petite bourse car je ne travail pas.
Réponse à toutes mes questions personne à l'écoute et très agréable pour un premier contact.</t>
  </si>
  <si>
    <t>kris69-96927</t>
  </si>
  <si>
    <t>Injoignable au téléphone ou alors vous attendez 10 minutes voir 15 minutes pour avoir quelqu’un. Concernant les sinistres habitation, la personne qui s’occupe de vous est injoignable sur sa ligne directe, aucune réponse aux mails  sur l’espace assuré et depuis plus de 2 mois aucun suivi suite au constat amiable dégâts des eaux. Par contre ils vous rappellent très vite pour vous faire souscrire une assurance auto. Pas contente du tout</t>
  </si>
  <si>
    <t>02/09/2020</t>
  </si>
  <si>
    <t>vinc35-89064</t>
  </si>
  <si>
    <t xml:space="preserve">Mauvaise assurance très chère aucune garantie
Ils sont juste là pour te soutirer ton argent chaque moi </t>
  </si>
  <si>
    <t>22/04/2020</t>
  </si>
  <si>
    <t>gaelle-r-135811</t>
  </si>
  <si>
    <t>Très bon accueil de la part de Emeline, agréable au téléphone. Elle a répondu positivement à toutes mes questions . Ses réponses étaient claires et précises .</t>
  </si>
  <si>
    <t>04/10/2021</t>
  </si>
  <si>
    <t>jeremat38-85603</t>
  </si>
  <si>
    <t xml:space="preserve">Excellent suivi du sinistre, une relation client de confiance et une rapidité d'exécution et d'indemnisation exemplaire </t>
  </si>
  <si>
    <t>07/01/2020</t>
  </si>
  <si>
    <t>stephanie-d-128157</t>
  </si>
  <si>
    <t xml:space="preserve">La souscription est Simple et rapide
Je trouve les Prix très adapté pour mon véhicule a assurer
Ça a l'air d'être une Bonne assurance je recommande vivement
</t>
  </si>
  <si>
    <t>richard-b-112552</t>
  </si>
  <si>
    <t>les prix me conviennent.je suis satisfait de vos services et recommanderai votre société d'assurance à d'autres personnes de mon entourage et de la famille.</t>
  </si>
  <si>
    <t>greg-67816</t>
  </si>
  <si>
    <t>ils ont résilier les garanties de mes enfants sans me prévenir.
Vous êtes bon qu'à engranger l'argent sans le service qui va avec.</t>
  </si>
  <si>
    <t>olivier19-88301</t>
  </si>
  <si>
    <t>Assurance qui se fout entièrement du monde, je suis en litige sur un portail détruit par la tempête en décembre 2019, et depuis pas de nouvelles. J'ai envoyé au moins une dizaine de mails, pas de réponse. Par contre pour prélever les sommes de cotisation, là il y a du monde.</t>
  </si>
  <si>
    <t>13/03/2020</t>
  </si>
  <si>
    <t>yamoussa-s-114015</t>
  </si>
  <si>
    <t>Je suis satisfait de la prestation ,ça été rapide et les prix me conviennent.
Si tout se passe bien j'ai l'intention d'acheter un second véhicule par rapport à ce que Direct m'a proposé.</t>
  </si>
  <si>
    <t>mouhyi-98306</t>
  </si>
  <si>
    <t>Tres degouté avec axa Maroc a Tanger.je suis vraiment tres deçu...bcp de problem lors du payment rien n est clair. L agent dis que le system n est pas fiable.je deconseille de faire une assurance avec Axa</t>
  </si>
  <si>
    <t>04/10/2020</t>
  </si>
  <si>
    <t>lionels-54383</t>
  </si>
  <si>
    <t xml:space="preserve">de très mauvaise fois, ils m' ont pris en charge pendant 55 mois et depuis 1 ans a arrêté la prise en charge depuis que tous les crédits agricoles de france ne travaille plus avec eux, donc je recommande à tous les clients crédit agricole de changer d' assurance pour le crédit maison et prendre la leur </t>
  </si>
  <si>
    <t>30/04/2017</t>
  </si>
  <si>
    <t>photo592002-77222</t>
  </si>
  <si>
    <t>impossible ne negocier le tarif malgré quatre contrats GMF Voiture residence principale résidence secondaire et assitance juridique</t>
  </si>
  <si>
    <t>29/06/2019</t>
  </si>
  <si>
    <t>noel-76491</t>
  </si>
  <si>
    <t>Bonjour je suis dans une situation maintien salaire plus complexe et egalement impossible de les joindre pour tant adherent chez eux depuis le debut de l annee , belle entrée en matiere de leur part de nombreux forum denonce ce mutisme et irrespect dont ils font part j ai de ce fait pour part déposé plainte pour publicité mensongere et vente d engagement mensonger. mon institution ayant ete avisé de la procedure je vous conseille dans faire autant a tous ceux qui des soucis a les joindre , je pense qu il faut faire bloc bien a vous noel</t>
  </si>
  <si>
    <t>Intériale</t>
  </si>
  <si>
    <t>05/06/2019</t>
  </si>
  <si>
    <t>maxime-e-103715</t>
  </si>
  <si>
    <t>Je leur ai simplement demandé un devis. Je tombe sur une personne commercialement agressive. 
Je m’aperçois par la suite, que le contrat a été signé (bien évidemment pas par moi). Je me suis d’ailleurs en parallèle assuré chez un autre assureur bien moins cher !
Ces faits sont très graves si un conseiller a signé pour moi ! 
Je ne recommande pas du tout, ni de près, ni de loin !</t>
  </si>
  <si>
    <t>05/02/2021</t>
  </si>
  <si>
    <t>veau-f-139028</t>
  </si>
  <si>
    <t>Je viens de souscrire un contrat auto sur le site de l'Olivier Assurance. Simple et rapide. Prix correcte vis à vis des garanties. A voir pour la suite si sinistre ...</t>
  </si>
  <si>
    <t>didine-99431</t>
  </si>
  <si>
    <t xml:space="preserve">Attention assureur qui annonce qu il  faut graver un scooter si nom pas d assurance vol et si je suis pas contente je peut voir ailleurs à vous de choisir </t>
  </si>
  <si>
    <t>fauris-114480</t>
  </si>
  <si>
    <t>Bonjour,
Ce petit mot pour exprimer ma plus parfaite satisfaction en ce qui concerne mon contrat de mutuelle avec Generation.
En sus des garanties qui couvrent vraiment bien les dépenses de santé, j'ai toujours eu à faire avec un personnel charmant et surtout très disponible, ce qui devient très difficile à trouver en ces temps surchargés.
Encore merci pour votre professionnalisme.
Bien à vous.</t>
  </si>
  <si>
    <t>boch-64880</t>
  </si>
  <si>
    <t>A fuir on a adhérer depuis 2 mois aucun remboursement d'effectuer aucune teletransmission de faite avec la cpam . Erreur sur les dates de naissances les numéros de sécurité sociale... par contre pour prélever aucun souci aucun retard . Le plus gros regret de ma vie d'avoir connu cette mutuelle</t>
  </si>
  <si>
    <t>19/06/2018</t>
  </si>
  <si>
    <t>celia-64894</t>
  </si>
  <si>
    <t>Satisfaite du service client et des réponses apportées ...........</t>
  </si>
  <si>
    <t>guener-c-115980</t>
  </si>
  <si>
    <t>rien a signaler tres content pour le moment le prix défit toute concurrence et les option propose sont top merci a vos équipe j espère continuer a être satisfaite</t>
  </si>
  <si>
    <t>04/06/2021</t>
  </si>
  <si>
    <t>monexperienceperso-70334</t>
  </si>
  <si>
    <t xml:space="preserve">J'ai un sinistre non responsable en cours de traitement et vu les commentaires que j'ai pu lire, je m'inquiète beaucoup. à voir dans les jours qui viennent.... </t>
  </si>
  <si>
    <t>18/01/2019</t>
  </si>
  <si>
    <t>maxime-m-115374</t>
  </si>
  <si>
    <t>Devis rapide et pratique, site clair et complet. Rapide. Je n'ai rien à ajouter.
Merci pour la prise en charge et le démarrage rapide de l'assurance !</t>
  </si>
  <si>
    <t>ginous-102335</t>
  </si>
  <si>
    <t xml:space="preserve"> A FUIR ABSOLUMENT difficile a joindre,IMPOSSIBLE a résilier envoie de message sur site et oups impossible comme d'habitude. Par téléphone, armez vous de patience !
J'ai envoyé un courrier recommandé le 21 octobre pour résilier ma mutuelle arrivant a échéance le 01/01 j'étais dans les temps mais je me suis trompé sur ma lettre et j'ai mis le 1/01/2021 au lieu de 31/12/2020 pour la date de fin. Alors LETTRE DE REFUS DE RESILIATION pour erreur de date et bien sûr ils ont mis 1 mois et demi à me répondre. Alors j'envoie une ATTESTATION de mon employeur disant que je devais adhérer à la mutuelle obligatoire de ma boite toujours par recommandé et là pas de réponse...pas de messagerie sur le site qui OUPS est en dérangement ...que dire des appels téléphonique ou on attend des plombes qu'on vous réponde , jamais la bonne personne au bout du fil et on vous passe le service mais OUPS le téléphone coupe il faut rappeler et re-demi-heure d'attente mais la on peut rien pour moi il faut envoyer un courrier mais bien sûr que je suis dans mon droit et puis ouf je les gonfles je le sent bien et là on me raccroche au nez très surprise car je n'ai été ni impolie ni insistante je travaille dans le commerce depuis si longtemps que je sais que la pauvre fille qui est au bout du fil n'y est pour rien mais pour le coup je regrette presque de ne pas m'être énervé. La prochaine étape je vais faire appel au médiateur de la république et porter plainte pour arriver à résilier une mutuelle dont je n'ai plus besoin on marche sur la tête. BREF A FUIR ABSOLUMENT
</t>
  </si>
  <si>
    <t>07/01/2021</t>
  </si>
  <si>
    <t>jp-114637</t>
  </si>
  <si>
    <t xml:space="preserve">Avis a tous ceux qui ont cegema comme mutuelle santé. Veuillez nous écrire aux mails suivant.   jeanpierrezerg@yahoo.fr et jmr93600@aol.com pour entrevoir une action contre le fait de ne pas honorer ses engagements de mutuelle au niveau de remboursements et de réponse muette.  </t>
  </si>
  <si>
    <t>30/05/2021</t>
  </si>
  <si>
    <t>stef-72417</t>
  </si>
  <si>
    <t>je n'ai jamais vu autant d'incompétence au m2 , ....."ah je ne peux pas vous dire , j'ai transmis au service réclamation "...</t>
  </si>
  <si>
    <t>23/03/2019</t>
  </si>
  <si>
    <t>saida-86530</t>
  </si>
  <si>
    <t>Je suis très satisfaite parce que mon conseiller Monsieur Leonard Angstrom est doué d'un sens de la communication et de l'écoute. C'est son dévouement pour son travail et sa patience avec les clients qui m'ont poussée à à avoir confiance en lui et à adhérer à votre mutuelle. Je lui souhaite une très bonne continuation.</t>
  </si>
  <si>
    <t>30/01/2020</t>
  </si>
  <si>
    <t>granero-g-112714</t>
  </si>
  <si>
    <t xml:space="preserve">Satisfait.
Je n'ai pas encore eu à tester la réactivité et la disponibilité de l'assureur en cas d'accident qu'il soit responsable ou non donc je réserve mon jugement complet pour le moment (en espérant ne jamais pouvoir juger).
</t>
  </si>
  <si>
    <t>yann3381-102388</t>
  </si>
  <si>
    <t>Une mutuelle impossible à joindre. Ne rembourse que les petits montants, alors qu’il s’agit d’une mutuelle employeur avec d’excellentes garanties. Du très bas de gamme, en tous les cas, pas à la hauteur d’une mutuelle groupe avec plusieurs milliers d’adhérents.</t>
  </si>
  <si>
    <t>08/01/2021</t>
  </si>
  <si>
    <t>mireil-64097</t>
  </si>
  <si>
    <t xml:space="preserve">Littéralement pris en otage par cette assurance ! Depuis 4 ans, je suis assurée chez eux, Ma cotisation était de 26€, puis 4 ans plus tard 55€!!!!
Mon chat étant maintenant malade, je ne peux plus aller ailleurs! Impossible de joindre le service client, mon vétérinaire s’étant trompé pour remplir la feuille de soin depuis mai, impossible de me faire entendre ! Je ne le conseille a personne, a fuir cette assurance qui triple la cotisation ! Passez votre chemin,même devant une cotisation attractive ! </t>
  </si>
  <si>
    <t>SantéVet</t>
  </si>
  <si>
    <t>frederic-b-126587</t>
  </si>
  <si>
    <t>Je suis très satisfait de l'accueil tél, du conseil et du globalement du service.
Bravo également pour la facilité de souscription du contrat
Bonne journée</t>
  </si>
  <si>
    <t>ralbol-49311</t>
  </si>
  <si>
    <t>Il vaut mieux ne pas avoir de sinistre si on est adhérent de cette mutuelle.</t>
  </si>
  <si>
    <t>karen-s-114908</t>
  </si>
  <si>
    <t>Je suis très satisfaite de mon assurance direct et l'amabilité des conseillés lors d une demande et ou questions et tarifs très raisonnable. Merci direct assurance.</t>
  </si>
  <si>
    <t>corvette-83-103839</t>
  </si>
  <si>
    <t>Première foi sue je donne ma carte de mutuel CEGEMA à un professionnel de santé ( radiologie ) , on me dit Non je ne prend pas cette mutuel, alors je demande pourquoi ??.
On me répond CEGEMA ne nous paye pas ,alors je suis obligé de payer la différence soit 30 pour cent.
Et je suis obligé d'attendre un an pour pouvoir changer de mutuel.
Je ne vais pas garder une mutuel qui ai refusé par les professionnels de santé
ALAIN MONTAGNE</t>
  </si>
  <si>
    <t>lj-101404</t>
  </si>
  <si>
    <t>Remboursement ok si vous avez une voiture vous serait rembourse le prix d'un vélo électrique mais manque total de communication et crédit agricole prend l'argent mais en cas de sinistres  ne fait strictement rien donc a fuir</t>
  </si>
  <si>
    <t>14/12/2020</t>
  </si>
  <si>
    <t>schalck-l-108779</t>
  </si>
  <si>
    <t>Très satisfaite de ma prise en charge lors de la souscription, très rapide et efficace. De réels opérateur à votre écoute. un bonheur je recommande totalement !</t>
  </si>
  <si>
    <t>catarina-67844</t>
  </si>
  <si>
    <t>Payé par chèque au mois de mai 2018 documents envoyés par courrier ,  chèque empoché ....jamais reçu carte verte malgré dizaines de demande , je roule sans preuve d'assurance puisque même pas de numéro de client ni contrat jamais rien recu en retour de leur part , cette assurance ne devrait pas être conseillée par furet ou lynx .....fuyez vite active assurance</t>
  </si>
  <si>
    <t>florence-f-111130</t>
  </si>
  <si>
    <t>JE SUIS SATISFAITE BON TARIF trés facile d'accés simple est puis trés rapide je le conseillerais a plusieurs de mes amis et connaissanse est bien sur a la famille</t>
  </si>
  <si>
    <t>weshlaguil-51835</t>
  </si>
  <si>
    <t>Absolument aucune gestion de leurs erreurs.
J'ai demandé résiliation de mon contrat avant période de rétracation ; rien n'est fait !</t>
  </si>
  <si>
    <t>seglinoise-75184</t>
  </si>
  <si>
    <t>Je suis très mécontente en 2006 assurance vie bloquée 10ans et 20 ans après on me dit que c' est maintenant une assurance épargne et retraite .
Heureusement que je suis allé le 13 avril à mon agence du plessis car ils ne retrouvaient aucune trace de ce compte ??
Pas étonnant mauvaise date de naissance donc mauvaise identité.
A ce jour je demande de rétablir mon dossier correctement 
De plus tous les ans je reçois un papier indiquant assurance vie et pas plan retraite c'est vraiment scandaleux.
COTTET Christele née le 09011970 et non 09011969 numéro de contrat 61051365534 ouvert le 30/01/2006</t>
  </si>
  <si>
    <t>17/04/2019</t>
  </si>
  <si>
    <t>isabelle-55486</t>
  </si>
  <si>
    <t>assuree depuis 2002 je n ai jamais eu de besoin a recourir a mes garanties souscrites et l assureur a toujours eu en temps et en heure ses echeances malheureusement atteinte depuis peu d une maladie genetique les choses se gatent ,suite a lexpertise medicale effectuee a la demande de l assureur ,plud de remboursements de ce dernier sous pretexte des conclusions de ce medecin le courier me donnant juste comme informations que mon etat ne correspond pas aux garanties souscrites qu egalement j ai souscrit a une garantie IPT mais dont je ne peut rien pretendre 
suite a mes differents appels ,avec les temps d attentes que vous devez imaginez ,interminable,j ai un premier conseille qui me dit m envoyer les conclusions du medecin .je recois un courier ,mes pas ces fameuses conclusions ,reappel,de nouveau attente ,puis ,gestionnaire du dossier absente mais quand meme promesse d envoie de ces conclusions,courier identique au premier ,de nouveau appel,conseille ne comprenant pas mes griefs me demande de lui faire conseil et attente de ce courier.Pour info j etais assuré en parallele par la banque pour un autre pret pour ce meme projet immobilier et bizarrement ,sans meme m en avertir ce pret a ete totalement soldé par celui ci</t>
  </si>
  <si>
    <t>19/06/2017</t>
  </si>
  <si>
    <t>jeff-79877</t>
  </si>
  <si>
    <t>mon contact téléphonique était Caroline qui m'a clairement renseigner en répondant vite et bien à toutes mes questions aimable et compétente... Bravo</t>
  </si>
  <si>
    <t>09/10/2019</t>
  </si>
  <si>
    <t>gaudenti-b-121919</t>
  </si>
  <si>
    <t xml:space="preserve">Je suis satisfait mais j'étais déjà assuré chez vous donc ça pouvait plus simple pour une2e soustraction a votre assurance e semplifie les case e perdre - de temps merci
</t>
  </si>
  <si>
    <t>renaud-w-112843</t>
  </si>
  <si>
    <t xml:space="preserve">Je suis satisfait........
Réactivité........
Réajustement des tarifs rapide.......
J'ai eu rapidement au téléphone un conseillé
Site assez clair et intuitif
</t>
  </si>
  <si>
    <t>karali-m-137391</t>
  </si>
  <si>
    <t>Satisfait pour l'instant, l'inscription est assez facilité grâce à l'interface simple, la carte verte provisoire à etais reçu en moins de 3 jours. Les prix défi toute concurrence.</t>
  </si>
  <si>
    <t>13/10/2021</t>
  </si>
  <si>
    <t>halien68-78236</t>
  </si>
  <si>
    <t>Fuyez AXA !!! Je me demande comment j'ai fait pour atterrir dans cette compagnie! Suite au chomage, un impayé sur un de mes 2 vehicules, l'assureur refuse de me fournir les relevés d'information alors que ce contrat à été payé par la banque de france dossier de surendettement! Suite à ca, j'ai résilié le contrat de la voiture en cours qui etait payé, toujours refus de me remettre les RI, je vais prendre un avocat!</t>
  </si>
  <si>
    <t>vi68-56953</t>
  </si>
  <si>
    <t>La Maif en général, comme toutes les assurances,mais plus encore ici: tu douilles, tu douilles, même si t'as des embrouilles.
C'est beau de faire des pubs où bladi blada, sociétaires... pfff! Du vent tout ça!
Personne ne répond au téléphone. Il faut patienter plus de 10 min.
Jamais la même personne à votre écoute.
Tout vous est facturé: même un simple changement d'adresse. Bien sûr ce n'est pas légal, voir la CNIL, mais ils vont gentiment vous dire que c'est pour les frais annexes de réédition de la carte ou dieu sait quoi (genre comme si le prix et les frais de dossiers et les frais attentats n'étaient pas suffisants)
Impossible de faire quoi que ce soit sur leur site et bien sûr, personne ne répond à vos emails.
En cas de problèmes, il vous faudra être patient. 
Je n'ai eu que des accidents non-responsables mais déjà c'est la galère....
Bref, ces dernières années, la Maif c'est devenu l'enfer.
Alors quitte à douiller pour rien, autant donner votre argent à un autre assureur moins cher.
Assureur militant... pffff laissez moi rire. A fuir.</t>
  </si>
  <si>
    <t>29/08/2017</t>
  </si>
  <si>
    <t>gcari-59451</t>
  </si>
  <si>
    <t>Après un an de souscription, le tarif a augmenté de 15%, alors que mon bonus augmente également et que la valeur de ma voiture diminue. On n'a pas su me donner des explications claires, on n'a pas su non plus me proposer autre chose.</t>
  </si>
  <si>
    <t>06/12/2017</t>
  </si>
  <si>
    <t>tina-n-125098</t>
  </si>
  <si>
    <t xml:space="preserve">Le prix ainsi que les garanties me conviennent. Je serais prête à recommander direct assurance à mes proches. Pourquoi pas diversifier mes assurances à l’avenir </t>
  </si>
  <si>
    <t>didier-s-113761</t>
  </si>
  <si>
    <t>Pas de reproche en terme de service sauf l'absence de réponse à mon message sur le site. Par contre, au fil des ans la prime augmente sans qu'aucun sinistre soit déclaré. Les prix   ne sont pas aussi compétitifs qu'annoncé.</t>
  </si>
  <si>
    <t>druelle-b-134687</t>
  </si>
  <si>
    <t>Satisfaite jusqu'à présent de mon assurance auto. Les prix sont très intéressants. La signature des documents est simple en passant par le site internet</t>
  </si>
  <si>
    <t>bourasseau-d-109914</t>
  </si>
  <si>
    <t>Des frais de souscription de 75 euros injustifiés.
C'est cela qui fait baissé ma note sur le prix.
je viens de souscrire, je ne peux pas encore donner une note sur la satisfaction. Une assurance reste une assurance, elle couvre tout sauf ce qui doit être couvert. On la prend finalement juste pour être en règle.</t>
  </si>
  <si>
    <t>fredanne461-61949</t>
  </si>
  <si>
    <t>Manque de contact direct avec un conseiller de proximité, dossiers égarés, remboursements longs,  e répondent pas au courrier, impossible de communiquer avec. Le bureau auxquels nous sommes sensés être rattachés , ça a beaucoup changé, nous sommes.on mari et moi clients depuis près de 50 ans: 2 voitures, 1 camion, une moto, un magasin’ un show- lié à une habitation, une résidence principale, un gd studio à Paris et on ne peut que sélectionner qu.un produit dans vos criteres</t>
  </si>
  <si>
    <t>03/03/2018</t>
  </si>
  <si>
    <t>ouairy-e-117554</t>
  </si>
  <si>
    <t xml:space="preserve">je suis satisfait et content du prix proposé pour m'assurer chez vous ainsi que la pour la rapidité des vendeur compétant .
Ps : Monsieur Ouairy Eric </t>
  </si>
  <si>
    <t>gallou76--99958</t>
  </si>
  <si>
    <t xml:space="preserve">Je me suis assurée chez eux l'année dernière et j'etais très satisfaite jusqu'à aujourd'hui car mon nouvel échéancier pour 2021 m'annonce plus de 10 euros par mois d'augmentation !! J'appelle pour avoir des explications sachant que je n'ai eu aucun sinistre... Et là un vieux mec (pr rester polie) m'explique que c'est du à l'augmentation de vols et d'accidents où j'habite (lol) donc moi pas d'accident, garage fermé je paye pour des gens qui en confinement quasi toute l'année auraient eu des accidents ??? C'est une blague ?! Sur ce le mec commence à me prendre de haut et me dire que si je suis pas contente j'n'ai qu'à changer d'assurance .. Je rêve.. Et bien vous venez de perdre une cliente merci adios ! </t>
  </si>
  <si>
    <t>florent-a-132059</t>
  </si>
  <si>
    <t>je ne changerai jamais d'assurance , j'en ai essayé plusieurs et au final je n'ai jamais été déçu par la GMF, tant pour les tarifs que pour les services et la rapidité de traitement des dossiers</t>
  </si>
  <si>
    <t>aurelie-b-133690</t>
  </si>
  <si>
    <t xml:space="preserve">Je suis satisfaite du tarifs .conseiller qui m as appeler tout de suite après mon devis rien a redire tout est bien indiquer pour les garanties j espère ne </t>
  </si>
  <si>
    <t>20/09/2021</t>
  </si>
  <si>
    <t>fdpz-97287</t>
  </si>
  <si>
    <t xml:space="preserve">Fidèle à la M.G.P. durant toute ma carrière dans le Police, je suis pleinement satisfait de ses prestations. Je regrette, toutes fois, le montant élevé de ma cotisation et dépit de la prise en charge à 100% par la sécurité sociale pour l'ensemble de mes nombreuses pathologies.
Certes, mon contrat comporte deux assurances-vie mais, malgré tout, je trouve ma cotisation assez élevée, par rapport à d'autres mutuelles qui m'ont déjà contacté. Néanmoins je reste fidèle à la MGP que j'ai défendue toute ma vie, tant qu'en qualité d'adhérent que délégué de Section. Je vous témoigne à nouveau toute ma gratitude et mon indicible fidélité.          Francis DUPRIEZ - Cdt de Police Honoraire.
  </t>
  </si>
  <si>
    <t>11/09/2020</t>
  </si>
  <si>
    <t>latraviata-104354</t>
  </si>
  <si>
    <t>Mes interlocuteurs ont été très professionnels et aimables. Site facile d'utilisation, en particulier pour transmettre les documents pour une assurance auto</t>
  </si>
  <si>
    <t>thierry-79432</t>
  </si>
  <si>
    <t>Adhésion à cette assurance pour mon chien braque de weimar.
Excellent accueil lors de l'adhésion par téléphone (bien évidemment)
les choses se sont gâtées lors de la première demande de remboursement suite à une intervention chirurgicale sur un oeil
Tous les documents sont envoyés mais comme cette intervention a eu lieu pendant le délais de carence, pas de prise en charge...
J'appelle le service client (8 minutes d'attente) en leur expliquant que ce détail ne m'a jamais été stipulé lors de mon adhésion à ce contrat. mais rien n'y a fait (donc les 650 euros étaient de ma poche)
Quelques mois plus tard, nouveau problème à l'oeil mais complètement différent.
Envoie des documents et même chose, pas de prise en charge car ils ont associé ce problème au premier.
Appel au service client (11 minutes) pour m'entendre dire la même chose... Pourtant la feuille de soin du vétérinaire indique bien une prise en charge différente
Donc 645 euros de ma poche car cette fois ci ils ont fait un scanner...
Voilà...
Donc assurance à éviter absolument. Je viens d'envoyer ma lettre de résiliation et comme à priori toutes les conversation avec le service client sont enregistrés, j'ai bien dit ce que je pensais de leur assurance</t>
  </si>
  <si>
    <t>lilou-65803</t>
  </si>
  <si>
    <t>assurance vraiment nul je me suis fais cambrioller jai du attendre 6 mois pour etre indemniser et le pire cest quont vous dis que les factures sont des photocopies et quil ne prenne pas en charge . 
alala de quoi devenir dingue!!!!!</t>
  </si>
  <si>
    <t>martine-l-105336</t>
  </si>
  <si>
    <t xml:space="preserve">Je suis satisfaite des services,
Satisfaite des prix
Parfois difficile d'avoir des renseignements par téléphone.
Si une question embarrasse la personne, elle a tendance à raccrocher tout simplement.
</t>
  </si>
  <si>
    <t>moreau-a-137468</t>
  </si>
  <si>
    <t xml:space="preserve">Bonne assurance et prix très attractif ! Je recommande 
Même pour jeune permis tous type de véhicule est accepté même les sportives 
Merci de leurs confiance </t>
  </si>
  <si>
    <t>14/10/2021</t>
  </si>
  <si>
    <t>corso-m-117555</t>
  </si>
  <si>
    <t>très satisfaite ,prix correcte, personne agréable et compétante, tout est clair, rappellée rapidement, je conseille l'olivier ,merci  pour le service et les prix</t>
  </si>
  <si>
    <t>joseph-78952</t>
  </si>
  <si>
    <t>1 mois pour changer une option, dossier superposés puis redémarrage à zéro. Par ailleurs l'équipe médicale est stupide incapable de valider des documents basiques, redemande des examens inutiles</t>
  </si>
  <si>
    <t>04/09/2019</t>
  </si>
  <si>
    <t>serge-l-115781</t>
  </si>
  <si>
    <t xml:space="preserve">Simple et pratique surtout pour la déclaration de sinistre en ligne simple, 
prix correcte mais peu négociable avec forfait bris de glace et utilisateur occasionnel excessif </t>
  </si>
  <si>
    <t>emmeline-g-125562</t>
  </si>
  <si>
    <t xml:space="preserve">Très satisfaite de la réactivité et simplicité de la démarche ! 
Quelques bugs sur le site mais la finalisation s'est bien passée 
tout ce que l'on peut attendre d'une assurance </t>
  </si>
  <si>
    <t>carole-m-122752</t>
  </si>
  <si>
    <t>Tarif pas vraiment  compétitif par rapport à la concurrence.
Je pensais avoir de meilleur prix lorsque l'on voit la publicité, c'est dommage, peut être que vous pouvez faire un effort...</t>
  </si>
  <si>
    <t>iftkhar-80621</t>
  </si>
  <si>
    <t>bonjour
il y a un vol chez moi depuis 3 mois mais  SOGESSUR il sont refus de pour remboursement,j ai donner touts les factures de achat mais il ne veux pas;est que possible contre sa decition je peux reclame et ou je peux reclamation contre sa
merci</t>
  </si>
  <si>
    <t>jenny-129609</t>
  </si>
  <si>
    <t>Ne fait absolument rien pour défendre ses assurés je suis obligée de faire les démarches pour être entendue c'est totalement lamentable je déconseille fortement !!!!!!</t>
  </si>
  <si>
    <t>Suravenir</t>
  </si>
  <si>
    <t>gerry-b-125529</t>
  </si>
  <si>
    <t xml:space="preserve">bon conseils lors de notre appel pour conseil.
petit hic sur le faut que si nous ne cochon pas la case d’acceptation de donner collecter GPS, localisation, kilométrage ect nous ne pouvons valider l'assurance alors que nous n’avons pas souscris a you drive </t>
  </si>
  <si>
    <t>charlie-96504</t>
  </si>
  <si>
    <t xml:space="preserve">Rapide , précis , clair , et disponible ,  aucun souci de prise en charge , site internet facile et pratique , plate forme téléphonique toujours disponible et réponse claire et rapide </t>
  </si>
  <si>
    <t>20/08/2020</t>
  </si>
  <si>
    <t>elodie-m-131979</t>
  </si>
  <si>
    <t>Je n'ai pas fait de comparaison de prix pour le moment.
Une deception pour un financement que je n'ai pas obtenu sur un véhicule assuré chez vous ..
Sinon dans l'ensemble nous restons fidèles</t>
  </si>
  <si>
    <t>clo-109475</t>
  </si>
  <si>
    <t>Le tarif est correct car j'ai une voiture hybride non rechargeable et que je suis assimilé fonctionnaire. Je bénéficie de réductions. Je n,ai pas eu de sinistres avec eux mais suite à un problème de santé qui m'empêchait de conduire, j'ai voulu faire intervenir l'assistance pour que la GMF m'envoie une personne pour reconduire ma voiture chez moi. Cela m'a été refusé pour cause d'antériorité alors que j'ai l'assurance tout risque. Aucune réponse écrite, tout s'est passé par téléphone. Bref sous ses abords qui peuvent paraitre sérieux (agence, garantie.. Sachez que la GMF fera tout pour ne pas vous rembourser en cas de réels besoins.
De plus, mon fils qui est jeune conducteur a voulu s'assurer chez eux, les prix sont délirants tout en étant assuré au minimum. C'est carrément excessif. plus de 1500 E à l'année pour un véhicule ancien.</t>
  </si>
  <si>
    <t>07/04/2021</t>
  </si>
  <si>
    <t>gerard-olivier-103178</t>
  </si>
  <si>
    <t>assureur très cher pour des garanties, qui ne sont pas en rapport avec le coût élevé des cotisations et qui ne répond pas au devis qui lui est adressé un mois après. A déconseiller.</t>
  </si>
  <si>
    <t>25/01/2021</t>
  </si>
  <si>
    <t>fadil-a-135069</t>
  </si>
  <si>
    <t xml:space="preserve">Je suis satisfait de du prix et du service .c'est pour cela  j'ai recommandé  et j'ai parrainé  quelqu'un  de ma famille. 
Assurance olivier  service meilleure  avec un prix trop bas </t>
  </si>
  <si>
    <t>derlon-c-113318</t>
  </si>
  <si>
    <t>Le devis est parfait, il est complet et le prix reste correct par rapport aux conditions du contrat. Je recommande les yeux fermés, foncez si vous avez un véhicule à assurer</t>
  </si>
  <si>
    <t>balde-o-113274</t>
  </si>
  <si>
    <t xml:space="preserve">C'est pas mal d'en l'ensemble pour le moment j'espère bien ça pourra continuer comme ça si c'est le cas c'est super par contre j'aimerai bien avoir de réductions après merci </t>
  </si>
  <si>
    <t>marisam-53457</t>
  </si>
  <si>
    <t xml:space="preserve">Après un dégâts des eaux minime, je préviens la maif en juin 2020 l expert est passé fin août. J ai eu l impression d être un enfant de 4ieme. J ai eu droit à un cours surl humidité et les nappes phréatiques. J habite en haut de la montagnes. Ce que je connais pour subir depuis un certain temps. Ma maison est neuve donc encore dans la décennale., et ce monsieur l expert m à semblé travailler pour la partie adverse, ne cherchant pas la cause du problème.
En colère le lendemain, j ai ouvert une partie du placo, le laine de verre est trempée. Elle ne fera plus son effet. Téléphone à la maif qui ne donne aucune suite.je dois attendre le rapport........ N était-ce pas le travail de l expert Et ce ne sont que des dégâts sur un mur, je plains les gros problèmes 
Nous savons tous quelle est la solution. Mais pas la maif.... Je suis veuve, ai 74 ans et je suis une femme. Que dois-je penser ???? J ai 50 ans de cotisations.... Une grave erreur. Toutes mes assurances sont à la maif. </t>
  </si>
  <si>
    <t>mika62750-58192</t>
  </si>
  <si>
    <t>Assurance a ne pas prendre en 2012 j ai assurer une zx j ai payer une année au en une fois au bout de un an il mon dit que je n existais pas donc que je n est pas etait assuré de l année
En fevrier 2017 je vend mon picasso je leur envoi le certificat de vente + certifivat prefecture + un justificatif de domicile car j avais demenager le tout en recommander il arrive a menvoyer mon cheque a l ancienne adresse soit disant on et au mois de octobre a ce jour il me doive environ 290 euros  il me demande de leur remplir un papier  pour pouvoir me renvoyer un cheque a ce jour il menvoi des mail vide j ai donc demander A RECEVOIR CE FAMEU PAPIER PAR COURIER MAIS BOITE AU LETRE VIDE
TRES TRES MAUVAISE ASSURANCE</t>
  </si>
  <si>
    <t>19/10/2017</t>
  </si>
  <si>
    <t>geraldine-63349</t>
  </si>
  <si>
    <t>Les conseillers sont bien briffés pour nous répondre sans être inquiété des ennuis que ça nous procure. Ils sont capables de vous répéter 10 fois la même chose sans pouvoir vous démêler votre problème. Finalement obligée de me débrouiller sans eux. Pas de prêt de voiture même avec l'option. Je ne reste qu'un an moins cher mais très mauvais sauf pour vendre leurs contrats.</t>
  </si>
  <si>
    <t>17/04/2018</t>
  </si>
  <si>
    <t>estelle-g-137340</t>
  </si>
  <si>
    <t xml:space="preserve">Satisfait du service je suis contente j ai trouvé une bonne mutuelle merci de me couvrir dans mes soins quotidiens binn journée à vous à bientôt dans mes besoin </t>
  </si>
  <si>
    <t>chrystel-b-133175</t>
  </si>
  <si>
    <t>Site simple d'utilisation formulaire claire et précis. Résumé des information de suite avec correction directement sur la page. Pas de prise de tête et rapide. Merci</t>
  </si>
  <si>
    <t>soufiane-a-128249</t>
  </si>
  <si>
    <t>Je découvre Direct Assurance (je connaissais de notoriété, merci Martin Lamotte... ;p), le prix et les garanties proposées sont intéressants. À voir maintenant en cas de souci.</t>
  </si>
  <si>
    <t>aa2202-71633</t>
  </si>
  <si>
    <t>Lundi 25.02.2019
 Très bonne écoute et merci pour toutes les explications apportées  au téléphone par Erika.
J'espère pouvoir être toujours aussi satisfaite lors des remboursements.</t>
  </si>
  <si>
    <t>25/02/2019</t>
  </si>
  <si>
    <t>francis-b-126295</t>
  </si>
  <si>
    <t>ok nickel pour la prise en compte service rapide et efficace bien sur tout rapports efficacité claireté rapidité satisfaction pri defiant toute concurence</t>
  </si>
  <si>
    <t>patrick-114783</t>
  </si>
  <si>
    <t>Nous sommes le 25mai 2021.
Depuis novembre 2020 j'ai demandé le versement de ma rente retraite issu d'un contrat Madelin.
Depuis rien.
Et bien sur Léo l'assistant virtuel ne comprends pas ce qu'on lui dis !
Mais pour faire des promesses de rente et recevoir les cotisations  ils sont efficases et encaissent très bien !</t>
  </si>
  <si>
    <t>diarassouba-z-135233</t>
  </si>
  <si>
    <t xml:space="preserve">Je suis satisfait du service Olivier assurance, le prix et l’équipe. C’est simple et pratique d’assurer un véhicule dans votre société. Satisfait satisfait satisfait </t>
  </si>
  <si>
    <t>jon-59061</t>
  </si>
  <si>
    <t xml:space="preserve">Je suis dans l'attente d'un remboursement suite à la résiliation de mon assurance auto (pour vente de mon véhicule) depuis au moins 2 mois. J'espère que ce remboursement ne devrait pas tarder car 900 € cela fait un gros trou dans le budget. Par contre Active Asurances doivent bien faire fructifier l'argent de leurs clients. Car je pense que je ne dois pas être seul dans ce cas. </t>
  </si>
  <si>
    <t>03/01/2018</t>
  </si>
  <si>
    <t>bro-89408</t>
  </si>
  <si>
    <t xml:space="preserve">Pas de suivi du dossier par la MACIF. Il faut relancer en permanence. Informations partielles et parfois contradictoires des différents interlocuteurs. 
Petit dégât des eaux toujours pas réglé après 6 mois d'échanges et de relances.  
Extrêmement déçu de cet assureur au auparavant était sérieux. </t>
  </si>
  <si>
    <t>06/05/2020</t>
  </si>
  <si>
    <t>pascaline-30-71804</t>
  </si>
  <si>
    <t>bonjour je suis a la recherche d une assurance auto  car je cherche mon cher mais vus les commentaires sur direct assurances je vais la  bannir heureusement qui y a des avis merci</t>
  </si>
  <si>
    <t>02/03/2019</t>
  </si>
  <si>
    <t>davsai31-49341</t>
  </si>
  <si>
    <t>Bonjour,tout comme vous ma mere a souscrit une assurance aupres de cardif suite a la realisation d un credit. Cela fait 2 mois quasiment qu elle a envoyé le dossier qu elle a dument rempli avec le banquier, fourni les attestations pole emploi et les 3 attestations d indemnités demandés afin de pouvoir pretendre a la prise en charge de son credit. Ne voyant pas arriver de nouvelles, ce matin elle se decide a appeler et la on lui dit qu il manque un papier...donc on va lui envoyer le papier manquant par le nouveau service de la poste, le recommandé avec ar  par numerisation comme ca pas d histoire comme quoi ils l ont pas eu!!!! Car j ai lu sur le forum que meme si l on envoyait en recommandé ils pretendent qu ils manquent un papier a l interieur....enfin si j ai mis ce post c est pour vous dire d utiliser ce service, au moins y a des preuves comme quoi tous voq document y etaient. J espere que ca vous aidera</t>
  </si>
  <si>
    <t>18/11/2016</t>
  </si>
  <si>
    <t>stellasalsa76-52950</t>
  </si>
  <si>
    <t>Je suis ravie de cette assurance, la dame que j'ai eu été très réactive. Cela fait du bien de tomber sur des personnes compétentes, ce qui devient très très rare de nos jours.</t>
  </si>
  <si>
    <t>03/03/2017</t>
  </si>
  <si>
    <t>betaweb34-53937</t>
  </si>
  <si>
    <t>Use de moyens plus ou moins moraux afin d'obliger l'assuré à rester chez eux.
Pour ma part, lorsque nous avons voulu ajouter un véhicule à notre contrat, ils ont édité un nouveau contrat au lieu de faire un avenant. Ce qui fait que l'on est bloqué 1 an minimum alors que d'autres compagnies proposent, pour la même chose, un tarif bien plus avantageux.
Tout est fait de façon à piéger le consommateur (impossible de recourir à la loi Hamon ou Chatel).
Bref à éviter !</t>
  </si>
  <si>
    <t>07/04/2017</t>
  </si>
  <si>
    <t>christophe-l-131525</t>
  </si>
  <si>
    <t>Satisfait rapide pas chère efficas Rapide merci direct assurance pour votre rapidité et vos tarifs abordables je vous recommanderrais a mes proche et amis</t>
  </si>
  <si>
    <t>manou-97054</t>
  </si>
  <si>
    <t xml:space="preserve">Mon mari a souscrit deux contrats identiques au profit de mes deux enfants. A son décès, le capital garanti est de plus de 100000 € selon le dernier relevé.  Les versements qui ont été réalisés, suite au décès de mon mari, ne sont pas d'une somme identique, mais diffèrent de plus de 7 000 € et sont inférieurs de + de 30000 € du montant annoncé. Nous n'avons pas de réponse à nos différentes demandes. Que faire ?
</t>
  </si>
  <si>
    <t>05/09/2020</t>
  </si>
  <si>
    <t>stephane-oreilly-86856</t>
  </si>
  <si>
    <t>Depuis, le début de ce mois, ils ont prit la décision d'augmenter les mensualités de toutes les contrats d'un seul coup, parce qu'ils sont filiale de Admiral qui est basé au UK et vu que cette semaine le BREXIT à été tranché, la grande Bretagne devra payer les 40Md d'euros qui ont été négociés à l'UE et du coup, ils ne trouvent personne à les faire payer que nous les clients, ils nous prennent pour des moutons, moi-même ma mensualité est passée de 30 à 42 euros d'un seul coup alors que j'ai jamais eu d'accident dans ma vie, du coup moi, je quitte, il y a d'autres assureur sérieux et moins chères, je n'accepterai jamais qu'on me fait avoir.
Ils ne sont pas sérieux du tout, à en fuir !</t>
  </si>
  <si>
    <t>07/02/2020</t>
  </si>
  <si>
    <t>katia-f-115962</t>
  </si>
  <si>
    <t>Bonjour. Ayant besoin de conseil avant de souscrire une assurance auto complémentaire, j'ai dû contacter Direct Assurance au téléphone. J'ai été très bien accompagné par une personne très professionnelle qui m'a permis de m'assurer très rapidement. Les documents me sont parvenus à la seconde par mail.
Je recommande à 100% Direct Assurance !</t>
  </si>
  <si>
    <t>kheng-105227</t>
  </si>
  <si>
    <t xml:space="preserve">Bonjour,
Je me permets de vous écrire car je suis complètement exaspérée et outrée par rapport à ma demande en cours, celle de rajouter mon mari.
Je suis Madame KHENG et je suis salariée chez VIAPOST à Chelles en Seine et Marne depuis plus de 15 ans.
J'ai donc une mutuelle obligatoire chez GENERATION MUTUELLE à QUIMPER(29080).
J'ai fait une demande d'inscription de mon mari pour cette mutuelle depuis octobre 2020.
Il y a eu plein d'aller-retour de mail, courrier, appel... jusqu'à ce jour et toujours aucune réponse concrète de votre part.
En historique, j'ai reçu un mail de votre part le 21/01/21 pour l'étude de mon dossier et la RH de ma société a eu une confirmation par mail de votre part le 18/02/21 pour une réponse positive, à savoir l'ajout de mon mari.
Je viens de recevoir une attestation de tiers payant par courrier ce jour mais j'ai été surpris que ce soit juste à mon nom et qu'il n'y ait pas celui de mon mari, c'est incompréhensible.
Je ne comprends pas du tout ce qui se passe car je n'ai, en aucun cas et ce depuis octobre 2020, fait une demande d'attestation à mon nom, surtout que je l'avais déjà depuis décembre 2020.
Je vous remercie de faire le nécessaire le plus rapidement possible pour nous renvoyer par courrier postale, l'attestation de tiers payant de mon mari.
Cette situation ne fait que trop perdurer et je ne pourrai être plus patiente, car cela fait plus de 6 mois et c'est inacceptable.
C'est une mutuelle obligatoire donc je n'ai pas le choix de rester chez eux, mais je vous déconseille fortement cette mutuelle.
</t>
  </si>
  <si>
    <t>pl-101764</t>
  </si>
  <si>
    <t>harmonie mutuelle non elle devrait s'appeler harmonie PROBLÈME , chez eux depuis a peine
 1 an je vais de problème en problème et lorsque vous les contacter ce n'est jamais de leurs 
faute , si j'ai un conseil a donner allez voir ailleurs à 62 ans c'est la première foi que je suit
totalement déçu d'une soi disant mutuelle</t>
  </si>
  <si>
    <t>22/12/2020</t>
  </si>
  <si>
    <t>jerome-m-139429</t>
  </si>
  <si>
    <t>Beaucoup d'options et de garanties pour des prix très compétitifs.
Une connaissance claire des besoins de l'assuré moto et beaucoup de simplicité dans l'établissement d'un devis.</t>
  </si>
  <si>
    <t>11/11/2021</t>
  </si>
  <si>
    <t>sharon-et-ralph-c-102424</t>
  </si>
  <si>
    <t>Je n'ai jamais eu de problème avec direct assurance.
Tout a toujours été clair et simple.
J'ai eu plusieurs sinistres et tout passe comme une lettre à la poste.</t>
  </si>
  <si>
    <t>10/01/2021</t>
  </si>
  <si>
    <t>mme-e-135293</t>
  </si>
  <si>
    <t>je suis satisfait de votre offre de prix concernant mon véhicule SAFRANE et je ne manquerai pas d'en informer mon entourage. en vous remerciant et à bientot</t>
  </si>
  <si>
    <t>gazelle61-69276</t>
  </si>
  <si>
    <t>Ils savent que vous quittez la mutuelle au 01/11 mais vous prélevent quand même en décembre !!! pour vous dire ensuite , vous serez rembourser sous 40 jours ....</t>
  </si>
  <si>
    <t>10/12/2018</t>
  </si>
  <si>
    <t>delphine-111219</t>
  </si>
  <si>
    <t>Obligée de souscrire à cette mutuelle puisque c'est le choix de mon employeur (merci cette foutue loi liberticide). Ils ne répondent jamais aux mails, ont des délais de remboursement qui sont longs et surtout ils n'ont aucune considération pour leur client. Si seulement j'avais la liberté de retourner chez mon ancienne mutuelle !</t>
  </si>
  <si>
    <t>murat-a-110839</t>
  </si>
  <si>
    <t>Merci assurance pas cher rapide Je suis satisfait de vos services de votre assurance je conseille à tout le monde merci à tous et à bientôt  Bonne année</t>
  </si>
  <si>
    <t>18/04/2021</t>
  </si>
  <si>
    <t>pigeon-59657</t>
  </si>
  <si>
    <t>Très très déçue dommage que les dernières étoiles de satisfaction sont impossible a retirer car c'est déjà trop croyait moi! Et tellement long a expliquer et incroyable!!</t>
  </si>
  <si>
    <t>13/12/2017</t>
  </si>
  <si>
    <t>flo66-79784</t>
  </si>
  <si>
    <t>Service client efficace je tiens à remercier Caroline pour son efficacité et son professionnalisme.</t>
  </si>
  <si>
    <t>07/10/2019</t>
  </si>
  <si>
    <t>iane-bougalou-108427</t>
  </si>
  <si>
    <t xml:space="preserve">je suis satisfaite de la mutuelle mais cependant elle est cher et j'aurais souhaité avoir un peu plus d'information vu que je ne suis plus en activité </t>
  </si>
  <si>
    <t>patou11-117737</t>
  </si>
  <si>
    <t xml:space="preserve">Une bonne assurance a l’écoute de ces clients et très rapide au niveau des remboursements factures C est une bonne assurance c’est une bonne assurance bien gérée par le crédit lyonnais </t>
  </si>
  <si>
    <t>jonathan-p-125343</t>
  </si>
  <si>
    <t xml:space="preserve">Parfait et niveau prix rien a dire. Pas chère comme assurance je recommande les yeux fermés. ++++ ravi de faire parti de votre agence. +++++ entièrement satisfait </t>
  </si>
  <si>
    <t>noel-s-114116</t>
  </si>
  <si>
    <t>je suis tres satisfaite du service en ligne- devis et contrat signé rapidement suite à mon appel téléphonique pour questions finales
prix très attractif - pour la gestion du contrat je verrais par la suite</t>
  </si>
  <si>
    <t>chris91-99161</t>
  </si>
  <si>
    <t>AMV est un assureur qui permet une inscription simple et raide. C'est aussi également simple dans les échanges. On ne reçoit pas trop de pub ou de promotion non plus. Et pour finir, c'est moins cher que d'autres assureurs pour les mêmes conditions.</t>
  </si>
  <si>
    <t>24/10/2020</t>
  </si>
  <si>
    <t>mickael-d-130868</t>
  </si>
  <si>
    <t>Je suis satisfait du service
Les prix me conviennent
Les vendeurs cherchent à vous vendre un maximum d'options.
J'ai déjà été assuré chez Direct assurance sans problèmes</t>
  </si>
  <si>
    <t>colmaire-69882</t>
  </si>
  <si>
    <t>Nous venons de demander l'arrêt de tous nos contrats (3 voitures, 2 habitations et GAV), dont une majorité ouverts il y a plus de 18 ans</t>
  </si>
  <si>
    <t>04/01/2019</t>
  </si>
  <si>
    <t>sebastien-h-129334</t>
  </si>
  <si>
    <t xml:space="preserve">Je suis satisfait du service très bonne assurance à recommandé.
Je suis assuré depuis plusieurs années avec direct assurance
Je n'ai rien d'autre à dire merci beaucoup vraiment </t>
  </si>
  <si>
    <t>domdom-96889</t>
  </si>
  <si>
    <t>Très bien renseigné et conseillé de plus,très rapide pour obtenir sa carte verte.
Les documents sont vites reçu et tout est clair, donc heureux rien à dire</t>
  </si>
  <si>
    <t>31/08/2020</t>
  </si>
  <si>
    <t>ohms74-79835</t>
  </si>
  <si>
    <t>Le 8 octobre ,,,Excellente prestation de Sabrina bon accueil téléphonique elle m a envoyé en live ma carte de mutuelle que j avais perdu...</t>
  </si>
  <si>
    <t>jujuflo31290-49390</t>
  </si>
  <si>
    <t xml:space="preserve">Ne respecte pas leurs clients. J'ai besoin de refaire une paire de lunettes car changement d'axe. Harmonie ne veut pas et me sort la dernière loi en date comme quoi, il faut 2 ans avant de refaire des lunettes s'il n'y a pas de changement de vue. C'est un changement d'axe et je ressens la différence quand on me fait essayer les 2 corrections, c'est important pour mon confort visuel et ils devraient en tenir compte et bien non, que dalle ! Par contre, pour se prélever les cotisations, là, il n'y a aucun souci ! Très déçu de cette mutuelle ! </t>
  </si>
  <si>
    <t>20/11/2016</t>
  </si>
  <si>
    <t>william-z-130741</t>
  </si>
  <si>
    <t>le prix pourrait être un peu plus adapté au client possédant plusieurs contrat c'est encore un peu trop chère. le service est correcte mais des efforts sont encore attendus.</t>
  </si>
  <si>
    <t>chapelain-d-113494</t>
  </si>
  <si>
    <t>Je suis satisfait d'avoir trouver un prix compétitif par rapport a ce que mon assurances actuelle me proposait. L'interlocuteur a été d'une efficacité remarquable.</t>
  </si>
  <si>
    <t>12/05/2021</t>
  </si>
  <si>
    <t>polo62-113925</t>
  </si>
  <si>
    <t xml:space="preserve">très professionnels pour vous récupérer comme client, mais pour les remboursements long très, et  même très long faut justifier de tout, même d une simple visite chez le médecin alors qu' ils ont toutes les informations par  ….
je ne recommanderai cette mutuelle a personne </t>
  </si>
  <si>
    <t>prs-97824</t>
  </si>
  <si>
    <t>ayant trois contrats d assurances a ce jour.aucune remise les prix reste tres chere.j ai l attention de transferer ailleurs tous mes contrats tres rapidement.</t>
  </si>
  <si>
    <t>24/09/2020</t>
  </si>
  <si>
    <t>ingrid-b-111798</t>
  </si>
  <si>
    <t xml:space="preserve">Très satisfaite des services de DIRECT ASSURANCE. Grande facilité de souscription et de résiliation. Accueil téléphonique exceptionnel, aucune attente, réponses claires et précises, au top.
</t>
  </si>
  <si>
    <t>ouri-99749</t>
  </si>
  <si>
    <t>Les informations téléphoniques concernant un changement de contrat sont selon moi incohérentes . La compagnie ne semble pas vouloir fidéliser ses assurés. C'est navrant</t>
  </si>
  <si>
    <t>titeuf-gs-59760-132276</t>
  </si>
  <si>
    <t xml:space="preserve">Bonjour, je suis content de ma conseiller clientèle qui ce prénom WIDAD, elle ma bien aidé pour la résiliations de mon ancienne mutuelle, elle appris du temps pour m'expliquer la marche a suivre et était a mon écoute parce que Jai des problèmes de compréhension étant une personne Handicapée moteur...Merci WIDAD cordialement Mr Verron Christophe.    </t>
  </si>
  <si>
    <t>patrick-t-124112</t>
  </si>
  <si>
    <t xml:space="preserve">Je suis satisfait . Pas cher assurance complète . A voir à l’usage  . Personnel compétent  . J’attends donc par mail la carte verte du fait que je viens de faire le règlement . Merci </t>
  </si>
  <si>
    <t>chris66000-122858</t>
  </si>
  <si>
    <t>Ils ne manquent pas de vous soustraire financièrement a chaque fois qu ils le peuvent.... en tout risque et sans franchise en bris de glace ils m ont annoncé  telephoniquement un remboursement total au maximum de 1190 euros d après leurs logiciel ( c est lui qui décide d après eux) la facture de réparations à été de 1070 euros avancé par mes soins... apres réception de ma dite facture ils m ont envoyé un mail m annonçant qu il ne remboursait que 890 euros et le meilleurs c est qu ils ont trouvé l excuse qu ils ne payais pas la colle du par-brise!!!!  non mais ho ils fallait faire tenir le nouveau par-brise avec quoi alors? Des élastiques ? Des punaises ? Du Scotch? Donc expert nommé et toujours dans l attente de leurs décisions après demande de papiers genre combien de km avais la voiture lors de la casse du par brise avec une mention attention en cas d erreur ont risque de pas payer.... comme si j avais noté le km exacte lors de l incident.... franchise ou pas ils vous la compté quand même bref j en ai marre et vais changer de compagnie dès que possible pour mes 2 véhicules... Le comble quoi bref je les déconseillés fortement. Un assuré mécontent !!!</t>
  </si>
  <si>
    <t>nado-100231</t>
  </si>
  <si>
    <t xml:space="preserve">J ai eu le malheur d être contactée par une conseillère en ligne qui aurait vendu son âme pour que j adhère à la mutuelle qu elle représentait. Il y avait un refus systématique et rédhibitoire pour être adhérente, l absence de tiers payant dentaire et optique. On m a assuré que je avais cette carte blanche comme il l appelle. Et bien non mensonge Neoliane ne le pratique. Je dois tout avancer, les lunettes et les prothèses dentaires. Folle de rage. Au tél le répondeur est muet, boîte vocale pleine. Les dossiers ne suivent pas . Il faut tel à x, y sans cesse. Nouvelle conseillère qui n est pas au courant etc... la honte . Pendant le confiNe ment, ils sont bien en télétravail et soit disant, ne peuvent se consulter entre-eux !!!!!! NE PRENEZ PAS Cette MUTUELLE.  Rien de plus agréable que de se rendre dans une agence et on ne peut vous mentir ?? et on retrouve contact , sourire, et dialogue physique !!!! </t>
  </si>
  <si>
    <t>18/11/2020</t>
  </si>
  <si>
    <t>audrey-b-128918</t>
  </si>
  <si>
    <t>Le prix est quasi équivalent à mon ancien assureur, j'ai juste modifier le montant de l'assistance et des niveaux de garantie.
Le parrainage (qui n'a pas encore été pris en compte), me permettra de gagner au total 70€ sur ma précédente assurance.</t>
  </si>
  <si>
    <t>21/08/2021</t>
  </si>
  <si>
    <t>mohamed-09-91694</t>
  </si>
  <si>
    <t xml:space="preserve">Je suis satisfait du service le prix me convient merci de votre choix de proposition et de prix j’espère que vous rester les meilleur dans ce Domaine </t>
  </si>
  <si>
    <t>fifi38-77573</t>
  </si>
  <si>
    <t>Je demande depuis plusieurs semaines des duplicatas de mes contrats d'assurance vie, j'ai écrit 3 fois 
retour du 1er courrier : envoi d'un duplicata d'un contrat à mon nom mais que je n'ai pas souscrit ;
2ème courrier : pas de réponse; 3ème courrier duplicata du contrat non souscrit + le duplicata d'un assuré , je lui ai renvoyé par courrier son contrat il sera ravi de voir que Génerali envoie des renseignements le concernant à des inconnus.
Quand aux appels téléphoniques, on me met en attende de très longues minutes le conseiller auprès duquel j'avais souscrit mes contrats (à mon domicile) a démissionné.Bref, que des galères , pas de réponse ou des réponses inadéquates et compétences zéro. a déconseiller</t>
  </si>
  <si>
    <t>12/07/2019</t>
  </si>
  <si>
    <t>yann-b-123803</t>
  </si>
  <si>
    <t>Je suis satisfait de la qualité prix de mes assurances...
J'ai toujours eu la GMF depuis ma 1ère assurance et ils m'ont toujours accompagnés dans mes démarches.</t>
  </si>
  <si>
    <t>jpphh-80687</t>
  </si>
  <si>
    <t>J'ai eu besoin d'unervice, Nadège a été très sympathique et performante pour me fournir un duplicata de ma carte aini que pour répondre à certaines questions sur des remboursements. Encore merci.</t>
  </si>
  <si>
    <t>04/11/2019</t>
  </si>
  <si>
    <t>brigitte-w-130810</t>
  </si>
  <si>
    <t>J'ai fait  une souscription en ligne aujourd'hui pour ma moto 125 cc avec facilité, les tarifs et garanties  sont biens. je suis contente d'être aller sur le site AMV</t>
  </si>
  <si>
    <t>mangousta21-79892</t>
  </si>
  <si>
    <t>Mon expérience avec Sabrina, c'est TRES BIEN ! Identification du problème et solution en 2 secondes chrono, simplement et avec le sourire... Je trouve que le Service Client chez Santiane est de qualité. A suivre...</t>
  </si>
  <si>
    <t>10/10/2019</t>
  </si>
  <si>
    <t>atica92-80572</t>
  </si>
  <si>
    <t>A fuir. Impossible de sortir du contrat mutuelle souscrit. La date de souscription varie en fonction de  l'interlocuteur. Les garanties sont limitées et soumises à conditions. A fuir absolument. C est indécent de jouer avec la santé, et de retenir les gens.</t>
  </si>
  <si>
    <t>aurelie-l-124354</t>
  </si>
  <si>
    <t>Je suis satisfait du service et des prix obtenus. Transaction rapide et réponse des conseillers très satisfaisantes. Je recommande cette assurance. Bien à vous</t>
  </si>
  <si>
    <t>23/07/2021</t>
  </si>
  <si>
    <t>lebio-81653</t>
  </si>
  <si>
    <t xml:space="preserve">Contact facile,grande réactivité.compétitive au niveau cotisations.grande disponibilité,à chaque sinistre aucun problème,il y a toujours possibilité de joindre quelqu.un qui puisse répondre à votre demande et capable de vous apporter une solution </t>
  </si>
  <si>
    <t>05/12/2019</t>
  </si>
  <si>
    <t>sophil-87267</t>
  </si>
  <si>
    <t>Très satisfaite de notre assurance habitation. Service client joignable et à l'écoute. Nous avons du demander un rapatriement suite à un accident de mon conjoint et tout a été très bien géré de A à Z, la MAAF a très bien pris en charge le dossier avec efficacité et nous rappelés à plusieurs reprises sans que nous ayons à relancer. Je recommande la MAAF.</t>
  </si>
  <si>
    <t>inke-70-134966</t>
  </si>
  <si>
    <t>FUYEZ FUYEZ FUYEZ, NE FAITES PAS LA MEME ERREUR QUE MOI! 
Deuxième arrêt de travail en 20 ans 1 mois préconisé par le chirurgien, je ne prends que 12 jours dont 3 de carence, en profession libérale, ils ne veulent pas me payer un centimes et pour le premier arrêt, pareil il a fallu se battre 8 mois pour toucher l'ensemble des sous alors que tous les papiers étaient correctement remplis de ma part!
Je viens de tout quitter! Quel soulagement!</t>
  </si>
  <si>
    <t>robin-c-135145</t>
  </si>
  <si>
    <t xml:space="preserve">Satisfait pour le service, rapide, efficace et intuitif.
Très bonne expérience client concernant la réalisation du devis.
Je recommanderai direct assurance à mon entourage </t>
  </si>
  <si>
    <t>laura-v-122270</t>
  </si>
  <si>
    <t>Satisfaite de tout ! Superbe assurance ! Tarif très approprié pour les jeunes en difficulté. Je recommande de a 100%. Merci à vous. Bonne continuation.</t>
  </si>
  <si>
    <t>03/07/2021</t>
  </si>
  <si>
    <t>mimi-98944</t>
  </si>
  <si>
    <t xml:space="preserve">ATTENTION DANGER !!! Jamais SOUSCRIRE à Sogecap. Aucun respect des clients, des délais et de la parole donnée. Traitement des dossier bâclée, mauvaises informations, il manque toujours une information ou un document...
Les résultats des placements un leurre, vraiment pas à la hauteur 
Fermez tout à la Sogecap et société générale parce qu'ils ne tiennent pas leurs engagements en assurance vie vous allez laisser vos proches faire un parcours du combattant avec eux sur plusieurs années... 0 ETOILE C'EST MIEUX </t>
  </si>
  <si>
    <t>20/10/2020</t>
  </si>
  <si>
    <t>glinglin24-57401</t>
  </si>
  <si>
    <t xml:space="preserve">Alors plus jamais GROUPAMA . J ai vécu une année avec eux mais saurait été beaucoup mieux avec le diable . Il y a un an je prends cinq contrats chez eux pour 2 véhicules une santé et une risque de la vie et habitation de quoi se frotter les mains . je fais rentré mon beau frère pour un contrat auto et maison et plouf un sinistre maison qu'il a eu et 6 mois d'attente pour le remboursement ?
Et par moi a force de menaces de téléphoné de me rendre sur place et toujours la même réponse c'est la partie adverse. De colère j’envoie une lettre avec AR pour signalé que j'annule tout mes contrats a dater du 1er MAI 2017, pour mettre la pression, entre temps pour les lunettes chez Afflelou partenaire Dépassement de 175€ en plus alors que tout était pris en charge par l'assurance, 2ème chez Bouchiquet et 87€ de dépassent donc il me font un geste commercial. Deux séances de pédicure mais un seul remboursement car le conjoint n'a pas 55 ans écrit nul part. Accident véhicule 2 mois avant que l'expert passe et pas payé 479€ de franchise inscrite au contrat mais 481€ sorti du garage. Un sinistre maison, casse d'une canne a pêche d'un monsieur, nous sommes assurer tous les deux chez Groupama. Tant mieux mais 2 mois et demi après toujours RIEN. Photos a l'appui lettre sur l'honneur de la personne pour dire qu'il en était bien le propriétaire, une attestation de chez Pacific pêche comme quoi la canne n'est pas réparable et ça ne se fait, de décide d'acheter une canne identique et je la paye 293€ et je donne la facture car RAS LE BOL et donne la facture acquittée et 15 jours après toujours rien il faut nous donner la facture originale ce que j'ai fait 15 jours auparavant et donné en mains propre. Et j'en passe et des meilleurs.
Par contre rejeté la mensualité là vous recevez un courrier 15 jours après, là c’est rapide L’Argent..
Suite au recommandé que j'avais envoyé  d'après la personne au bureau ça avait fait bouger le nid de fourmis, mais il me réponde 2 mois après au courrier avec AR que mes contrats ne peuvent pas être annulé en cours mais à l'échéance principale du 12/09/2017 et titre exceptionnel ils le feront. Mais le sinistre de la canne a pêche toujours pas régler et les 87€ de geste commercial non plus et le 08/09/2017 le sinistre est clos sans remboursement et je n'aurais plus rien et même un contrat santé qui devait courir jusqu'au 01/02/2018 est résilier" quand eux il veule et comme il veule. J'ai vécu un enfer chez eux ils ne sont pas digne de faire de l'assurance des incapables, vulgaire, mépris et toujours en congé ou pas là ?? Tél pas possible, sur place je fais la commission mais aucun retour et dieu sait combien de fois j'y suis allé ! J'en fais une dépression nerveuse inadmissible 
</t>
  </si>
  <si>
    <t>17/09/2017</t>
  </si>
  <si>
    <t>abdelhak-e-116268</t>
  </si>
  <si>
    <t>J'ai un doute sur la fiabilité de cette assurance. Après discussion avec un conseiller sinistre, ce dernier n'se doutait de ma déclaration et que j'ai sollicité l'intervention d'une société de réparation de ma porte fenêtre. Je ne savait pas qu'il fallait prévenir l'assurance avant d'engager les travaux. Je suis en plein droit d'effectuer les travaux en urgence car mon logement est situé au RDC et ce qui est étonnant est que le conseiller m'a dit vous avez des volets. Oui mais les volets sont fabriqués en plastique qu'est ce que vous me racontez? Il a mandaté un expert  que j'attends pour voir la fenêtre remplacée et aussi les dégats causés par manque de ma vigilance. C'est un manque de confiance et je tire la conclusion que pour votre société l'essentiel est la cotisation et lorsqu'il s'agit de sinistre c'est autre chose. J'ai une voiture que j'ai assuré ailleurs jdepuis que je l'ai acheté jamais eu de déclaration de sinistre tout simplement 5 années passées sans sinistre je suis content, mais pour la première fois que j'ai eu ce sinistre sans mon intention Direct Assurance commence à emmerder. Je sais que en réglé général les sociétés d'assurances ne mandatent pas un expert pour un montant de 1300 euros. L'expert vous coûtera plus cher que la réparation,  Je fixerai un RDV avec l'expert et je lui montrerai la porte fenêtre abimée  et les  copies des chèques donnés à la société de réparation. Je résilierai mon contrat le moment venu et vous serez avisé par LR avec AR.</t>
  </si>
  <si>
    <t>ademsarah-91686</t>
  </si>
  <si>
    <t xml:space="preserve">Bonjour Je suis également sociétaire depuis plus de 15 ans et comme vous dites lorsque. Lis n'avez pas de sinistre ou de vol tout va bien mais dans le cas contraire , vous allez Galèrer !!! Et j'écris bien ce terme car c'est le terme exact ! On m'a dérobé ma moto bmw le 27 janvier 2020 ; j'ai transmis tous les Documents nécessaires à la matmut sinistre qui m'a stimulé de le faire en ligne . Les documents étaient les Suivants : dépôt de plainte , questionnaire concernant ma moto et les justificatifs et factures nécessaires . Ce qui est tout à fait normal jusqu'ici . J'ai également envoyé la photocopie du chèque de banque de 21.500 euros et une attestation de 1000 euros que j'ai payé en espèces au vendeur ( collaborateur bmw). Le 12 février 2020, je reçois un mail de la matmut en me demandant la facture de la moto et les raisons pour lesquelles je n'avais pas de double de clefs et d'où provenait les fonds ainsi qu'en copie de mes Relevés de compte et copie de ma Carte d'identité de celle de mon mari aussi et justificatif de domicile . Je leur ai envoyé de suite , la facture d'achat de l'ancien propriétaire , une photo de la clef en plastique qui peut faire office de double de clefs en moto car chez bmw frances(mito) il n'y a ps de doubles de clefs ! Ils peuvent nous en refaire une grâce à cette petite clef plastique .jai également envoyé quittance edf , copie des pièces d'identité de mon mari et moi même et mes Relevés de compte de août Septembre ; date à laquelle j'ai acheté ma moto . Sur le relevé de compte stipulait que j'avais établi un chèque de banque de 21.500 euros pour le vendeur de la moto .la provenance des fonds c'était la vente de mon ancien véhicule classe b qui était assuré chez eux! J'ai rappelé quelques jours après le service indemnisation et ils m'ont dit ne vous inquiétez pas tout va être réglé d'ici quelques jours !!!!jeudi 20 février je reçois un courrier du siège matmut en me Disant que mon dossier a être transféré au siège ( ug52) afin d'en poursuivre la gestion et qu'ils reviendraient vers nous dès qu'ils en auraient pris connaissance . Que désormais tout est exclusivement écrit et plus d'appels . J'ai donc rappelé la dame qui était inscrite sur le dossier afin qu'elle m'explique les raisons de ce transfert .elle m'a répondu que le service sinistre lui avait transféré mon dossier mais ne savait pas pour quelles raisons et qu'il fallait qu'elle l'étudie .je lui ai rappelé que mon dossier était plus que complet et que j'ai joué la Transparence en leur envoyant les relevés de compte qui sont personnels sans rien y cacher !jai ensuite envoyé par courrier une attention sur l Honneur de l'ancien propriétaire avec sa copie de cni. J'ai envoyé un courrier e recommande au service recours de la matmut mais ils m' Ont répondu 2 jours après qu'il fallait qu'elle statut avant de pouvoir avoir le nez sur l'affaire ! Ensuite il y a eu le confinement et coup de massue le 30 avril je reçois un mail de sa part en me disant qu'elle ne peut pas statuer sur le sinistre et qu'elle a besoin de mes 3 dernièrs avis d'imposition et une attention de provenance des fonds de mon véhicule actuel !!! C'est une blague .... j'ai des amis haut placé chez Allianz, AXA et maif et au service sinistre et ils m'ont stipulé qu'elle n'a pas le Droit de me demander ce genre de document, c'est strictement personnelle et confidentiel !!! Qu'ils n'ont jamais vu ça et surtout ce genre de pratique ! J'ai même appelle mon avocat qui m'a dit de le mettre en copie . On a également contacté service des consommateurs qui m'ont clairement dit que c'était illégal de demander ce genre de documents et que c'était pour gagner du temps afin de me faire galèrer !!! Ce sont des tactiques d'assurance mais malheureusement ce n'est pas légal !!!! Je lui ai renvoyé un mail en stipulant qu'il n'y avait aucun rapport avec mon sinistre d'envoyer 3 dernièrs avis d'imposition et provenance de fonds de mon véhicule actuel !! Et je suis toujours dans l'attente d'une réponse .... nous sommes le 20 Juin . Mon sinistre s'est déroulé il y a plus de 5 mois . Mon dossier est complet et non bancal comme certains ! J'ai toutes les Preuves en ma Possession et le siège à toutes les preuves également . J'ai rénvoye un courrier en AR il y. A 3 semaines et toujours pas de réponse à un responsable ! J'ai même vu avec ma mère , mon père , ma belle mère , mon beau frère : ils sont prêts à quitter la matmut car ils sont très déçus ! Et c'est de l'injustice ! On nous fait galèrer !! On doit nous indemniser c'est notre droit !!! On ne peut pas se racheter un autre véhicule car c'étaient nos économies !!! Nous sommes laisés. Franchement la matmut aujourd'hui nous sommes blasés ! De plus , ils m'ont bloqués mon application matmut et ne savent pas pourquoi !!! Rien ne va plus Franchement ne vous assurez pas là-bas ...ce n'est plus ce que c'était Merci à vous tous de m'avoir lu . Sarah kheche </t>
  </si>
  <si>
    <t>22/06/2020</t>
  </si>
  <si>
    <t>hanama-63490</t>
  </si>
  <si>
    <t>Je suis très satisfaite des garanties ................................</t>
  </si>
  <si>
    <t>23/04/2018</t>
  </si>
  <si>
    <t>stephane-91172</t>
  </si>
  <si>
    <t>Je pensais avoir un prix plu attractif. Je n'ai pas de remise alors que c'est le 2ème contrat chez direct assurance. Pouvez-vous étudier mon dossier svp</t>
  </si>
  <si>
    <t>17/06/2020</t>
  </si>
  <si>
    <t>jo-50774</t>
  </si>
  <si>
    <t>Je vous la déconseille, le prix est correcte mais très mauvais service client.</t>
  </si>
  <si>
    <t>29/12/2016</t>
  </si>
  <si>
    <t>fred65-111760</t>
  </si>
  <si>
    <t xml:space="preserve">bonjour , je suis a la mutuelle cegema depuis le 01 Janvier 2021 et à ce jour cette mutuelle ne rembourse pas mes avances de frais , deux fois le dentiste , le 15 février et le 01 mars et le podologue  le 05 février , malgré des relances par mon courtier et directement auprès de leurs services , rien ne bouge , j'ai déja signé avec d'une nouvelle mutuelle pour l'année 2022 , je vais plus passé par le courtier , l'explication fournie c'est du retard à cause du covid mais pourquoi il rembourse la pharmacie sous 5 jours ? ils sont de mauvaises fois et les documents sont bien transmis par la CPAM en temps et en heure , A fuir absolument! </t>
  </si>
  <si>
    <t>kamehameha-108221</t>
  </si>
  <si>
    <t>Contrat Serenis.....Contrat de prévoyance à fuir. Le principe est de vous ponctionner mensuellement et ad vitam æternam une somme définitivement fixe pour un capital définitivement fixe aussi. J'ai ainsi versé plus de 22.000€ de cotisations  pour ne toucher à mon DC que 7700E  et impossible de faire baisser les mensualités .....ni de faire réactualiser le capital.</t>
  </si>
  <si>
    <t>Malakoff Humanis</t>
  </si>
  <si>
    <t>arnaud49--135195</t>
  </si>
  <si>
    <t xml:space="preserve">Parfait !
Relation clientèle toujours disponible et agréable !
Délais de paiement acceptable pour le temps de traitement et le versement.
A recommander </t>
  </si>
  <si>
    <t>gwen-77740</t>
  </si>
  <si>
    <t>Incroyable ces gens de cette assurance. 30 ans d'assurance et 3 sinistres au total dont 1 déclaré il y a 2 ans. J'ai eu le malheur d'annoncer un problème pour une rayure causé par une tige de ferraille chez Castorama. J'étais certain que Casto était en tort car ils avaient laissé des tiges de fers devant ma voiture et casto m'avait confirmer qu'ils en porteraient la responsabilité. J'ai pas fait réparé ce petit problème et Eurofil l'a considéré comme un sinistre. Et pourtant l'expert s'est déplacé qu'une fois pour un sinistre et vérifier la rayure causé chez Catorama pour un montant de 200 euros de réparation ! Le conseiller nous a prit de haut comme si nous étions des délinquants !!! Plus jamais de ma vie chez Aviva ni Eurofil (même groupe). J'en parlerai pas de façon positive autour de moi. A fuir absolument ! 1 an pour régler le seul sinistre prit en charge par eux (portière rayée).</t>
  </si>
  <si>
    <t>18/07/2019</t>
  </si>
  <si>
    <t>isabelle-k-115976</t>
  </si>
  <si>
    <t>Satisfaite du service, toujours disponibles et rapide en cas de sinistre.
 Par contre depuis le temps que je suis chez vous, j'aurais aimer avoir d'autres gestes commerciaux que 40€ en 15 ans.</t>
  </si>
  <si>
    <t>ninine-103961</t>
  </si>
  <si>
    <t xml:space="preserve">Une semaine après son décès, le véhicule de mon beau-père a été volé dans son garage, c était au mois de septembre 2020. Le dossier n a toujours pas été traité par Allianz. Nous étions dans une période de deuil, donc difficile, nous devions et devons depuis nous battre pour être indemnisés. Il n y a aucune prise en charge aucune compréhension et aucune qualité de service.  Si vous devez souscrire un contrat automobile allez ailleurs et si vous êtes chez Allianz  : partez ...    heureusement que nous sommes assurés ailleurs et que mon beau-père n est plus là pour voir ça </t>
  </si>
  <si>
    <t>10/02/2021</t>
  </si>
  <si>
    <t>chris-58197</t>
  </si>
  <si>
    <t>Axa: service catastrophique. Axa se moque éperdument de ses clients, joue toujours la montre, et espère que ses assurés abandonnent les contentieux.</t>
  </si>
  <si>
    <t>julia--100071</t>
  </si>
  <si>
    <t>je ne conseille pas cette assurance notamment pour moi annexer au contrats du crédit mutuel de bretagne ....je les ai prévenu de ma décision définitive de ne plus renouveler aucun emprunt : si on désire être assuré c'est obligatoire par suravenir donc j'irai emprunter ailleurs  ....mes propres enfants sont en procès contre eux pour une affaire de succession ; pour ma part suite à un arrêt de travail, tout est problématique , fastidieux , prise de tête : à chaque envoi de prise en  charge, les informations changent ....on ne s'y retrouve plus et je suis définitivement  fâchée rouge contre eux .....surtout ne faites pas la même erreur et ne faites aucune adhésion auprès d'eux : c'est vraiment un conseil d'ami .</t>
  </si>
  <si>
    <t>13/11/2020</t>
  </si>
  <si>
    <t>nath-77484</t>
  </si>
  <si>
    <t>lors de ma souscription à axa internet, axa agence à Nice m'a immédiatement appelée pour me faire annuler le contrat internet car meilleurs suivis en agence. axa internet m'a prélevé 2 mois de cotisations, et m'ont expliqué que seul le conseiller axa agence pouvait annuler ce contrat mais soit disant le conseiller ne savait pas comment faire et ne pouvait pas l'annuler. en contactant la direction j'ai reussi à lui faire faire un mail pour annuler. ça commencait très mal,...suite à un sinistre les conseillers de l'agence ont refusé de me parler et m'on communiqué des numéros de plates-formes où mon dossier de sinistre a été annulé 3 fois chez l'expert. personne ne savait d'où venait l'erreur. j'ai attendu 3 semaines pour que mon dossier soit traité. axa devait me préter une voiture car j'avais souscrit cette option mais je n'ai eu aucune voiture de prêt! je téléphonais à l'agence, ils refusaient de me parler !</t>
  </si>
  <si>
    <t>09/07/2019</t>
  </si>
  <si>
    <t>bvdpat-82204</t>
  </si>
  <si>
    <t>Asuré depuis 30 ans à Matmut,jamais avoir de probleme sur assurance d'habitation.Le 15/11/2019 ,il neigeait fortement à LYON,sous le poids de neige mes cheneaux ont été endommagés.J'ai déclaré le sinistre le lendemain 16/11/2019 à agence Matmut de DECINES.La déclararion géré par service sinistre .l'expert m'a donné RDV le 6/12/2019,elle est venu avec 45' de retard puis elle a mesuré ma maison ,demande date de construction et m'a dit elle va désigner une entreprise  pour la réparation.
Depuis ,je n'ai ples de nouvelle ,je contacté service sinistre le 20/12 car les cheneaux commencent de dévisser les supports  qui les fixent,et cela peut causer dégât avec cheneaux de 10 m de longue,et sur 5 m de hauteur sur mes voitures et celle de mon voisin , et pire encore si ça tombe sur les personnes en bas mes voisins et mes proches .J'ai acheté des batons de bois pour soutenir provisoirement mais pas sur que ça tient avec la pluie et le vent. La situation devient dangereux .Encore une fois j'ai signalé à MATMUT le samedi 21/12/2019et j'attens MM va m'envoyer le dépanneur pour éviter le pire car les supports dévissent 1 par 1 et je ne sais pas qu'ils tombent quand??je vais recontacter ce matin 23/12/2019.comme MAMut prends en charge de désigner 1 entreprise ,je ne peux rien faire sous peine de ne pas etre rembourser</t>
  </si>
  <si>
    <t>23/12/2019</t>
  </si>
  <si>
    <t>jojo-116264</t>
  </si>
  <si>
    <t xml:space="preserve">Une honte cette assurance. Vous êtes malade dans la galère. Vous faite un dossier itt. Expert plus de 6 mois pour une réponse. Un refus. A fuir. Des gens hinumains. Je trouve ça lamentable avec cette crise que nous traversons. Apparalent eux ne connaissent pas de coup dur </t>
  </si>
  <si>
    <t>cedced22-89564</t>
  </si>
  <si>
    <t>N'ayant pas de sinistre, pour l'instant tout va bien. Mais le prix est très élevé. Une comparaison sur Assurland permet de trouver assez vite des offres plus compétitives.</t>
  </si>
  <si>
    <t>29/08/2020</t>
  </si>
  <si>
    <t>agach-m-116152</t>
  </si>
  <si>
    <t>La mise en contact et la validation est facile. Le prix d'appel est attracteur mais les choix d'amélioration du contrat coûtent cher (alors qu'on peut penser de prime abord que ce sont des options incluses).</t>
  </si>
  <si>
    <t>06/06/2021</t>
  </si>
  <si>
    <t>cojo-96200</t>
  </si>
  <si>
    <t xml:space="preserve">Sur un sinistre catastrophe naturelle , plus de 20 ans de procédures judiciaire contre la MACIF pour obtenir réparation... y compris sur des éléments sur lesquels la Macif avait déjà été condamnée à payer dans d'autres affaires. </t>
  </si>
  <si>
    <t>12/08/2020</t>
  </si>
  <si>
    <t>jeremy13420-100101</t>
  </si>
  <si>
    <t>Assurance habitation inutile avec une ribambelle d'exclusion au contrat et des avis divergent en fonction du conseillé que vous avez. 
J'ai subit un dégât des eaux le 20/12/2019 que j'ai signalé immédiatement par téléphone, ma construction neuve oblige j'ai déclenché l'assurance dommage ouvrage. Hors celle-ci prend en charge la cause du sinistre (infiltration par façade/fenêtre) mais pas les 
 conséquences ( peinture à reprendre au rez de chaussée), elle me dit que s'est exclue car je me suis réservé les travaux et que c'est à mon assurance habitation de prendre en charge. Assurance Sogessur qui dans un premier temps me dit oui pas de soucis on prend en charge, puis non car c'est à votre dommage ouvrage, ensuite qui fait un faux et usage de faux en m'indiquant avoir reçu un rapport de l'expert(alors qu'elle ne l'a jamais eu), qui ensuite m'indique on va prendre en charge et se retourner la dommage ouvrage, qui me renvoi vers un expert pour estimation des dégâts et qui me dit sous 72h vous aurez les fonds. Tout ça pour que 24h avant d'avoir les soi-disant fonds, je reçois un courrier m'indiquant que l'infiltration par façade est exclue du contrat! Il va falloir m'expliquer à quoi sert une assurance qui se vante d'être "les meilleurs" et qui ne prend rien en charge. Je compte saisir le médiateur si une solution n'est pas trouvé à mon litige, et notamment déposer plainte pour faux et usage de faux de la part de l'assurance Sogessur.</t>
  </si>
  <si>
    <t>14/11/2020</t>
  </si>
  <si>
    <t>fcordier-138311</t>
  </si>
  <si>
    <t xml:space="preserve">Convocation pour résiliation 30 ans de boutique ? 
Conseillère peu recommandable au téléphone, à qui on demande 6 fois pour qu'elle fixe un rendez vous et qui ne comprends rien dans le fait que si on envoi une convocation c'est pas au client de prendre rendez vous mais a eux de fixer une date.
Et bien sur raccroche sans donner la moindre informations donc un rendez vous mais on ne sait ou et avec qui. 
Donc encore une qui ne devrait pas être en contact avec des clients.
</t>
  </si>
  <si>
    <t>26/10/2021</t>
  </si>
  <si>
    <t>ryan75-50274</t>
  </si>
  <si>
    <t>Prix correct, cela combiné à des remboursements rapides, cest ok pour moi  ! Il y a beaucoup de choix sur le marché donc fait pas hésiter à comparer ca permet sur une année des économies considérables  !</t>
  </si>
  <si>
    <t>14/12/2016</t>
  </si>
  <si>
    <t>enndy-p-131639</t>
  </si>
  <si>
    <t xml:space="preserve">Le montant du dossier est légèrement élevé par rapport au prix de l’assurance néanmoins tout est précis mais je trouve cela légèrement excessif 
Cordialement </t>
  </si>
  <si>
    <t>gwennael-60114</t>
  </si>
  <si>
    <t>Trop de propositions commerciales des gros assureurs pour un dépôt de facture vous êtes pris dans un questionnement sur votre vie , très maladroit limite invasif  A FUIR</t>
  </si>
  <si>
    <t>26/01/2018</t>
  </si>
  <si>
    <t>chris19-86686</t>
  </si>
  <si>
    <t>J'ai mis une étoile à "Service Client" parce que je ne peux pas en mettre zéro ..? Service yéméphonique de la plate-forme (il n-y a que ça) en dessous de tout, régulièrement injoignable, inefficace et incompétent !</t>
  </si>
  <si>
    <t>03/02/2020</t>
  </si>
  <si>
    <t>alainm40-50411</t>
  </si>
  <si>
    <t xml:space="preserve">Je demande 5 mois avant la date anniversaire de mon contrat à être mesurais, je signe un avenant avec un surcoût de 60€et on me prélève ma prime en une seule fois, totalement anormal </t>
  </si>
  <si>
    <t>flo-52207</t>
  </si>
  <si>
    <t xml:space="preserve">Scandale dans le traitement d'une liquidation de PERP Ma mère est décédée depuis mi Août 2016, et ça fait donc 6 mois que nous nous battons pour récupérer les sommes dues. ( courriers , nombreux appels téléphoniques à la plate forme, échange mails, lettre recommandé ...D'abord ils perdent les courriers et demandent de les renvoyer (chose faites par courrier  mais ils le perdent encore),  Cela fait maintenant  bientôt 4 mois qu'on nous promets de bientot nous payer les sommes dues, mais j'attends toujours. Bref un scandale, je n'ai jamais vu un tel manque de respect dans le traitement du client. Je suis a deux doigt de faire un recours juridique.
</t>
  </si>
  <si>
    <t>08/02/2017</t>
  </si>
  <si>
    <t>sylvain-u-110219</t>
  </si>
  <si>
    <t xml:space="preserve">Je suis toujours aussi satisfait, étant assuré à la GMF depuis de nombreuses années pour l' habitation et les automobiles. Je recommande vos assurances. Cordialement
</t>
  </si>
  <si>
    <t>brigitte-b-110861</t>
  </si>
  <si>
    <t>je ne suis pas satisfaite, car j'ai renvoyé les documents nécessaires pour le remboursement de mon assurance, et  je n'ai toujours pas de nouvelle. , Bien cordialement</t>
  </si>
  <si>
    <t>19/04/2021</t>
  </si>
  <si>
    <t>christine-c-107527</t>
  </si>
  <si>
    <t xml:space="preserve">je ne suis pas satisfaite du service car vous refusez de prendre en considération mon bonus acquis en Belgique durant ces dernières années, où je vous ai fourni, de surcroît, 2 attestations de sinistres vierges de 2014 à ce jour.
</t>
  </si>
  <si>
    <t>enidan-97512</t>
  </si>
  <si>
    <t>bonjour suite a 2 actes de vandalisme dont j'ai ete victime dans une maison que je possede et qui est mise en vente et vide de meubles
mon assurance habitation qui a refuse de m'indemniser( alors que les coupables ont ete arretes et ont avoue ,ils passent en jugement en novembre) vient, cerise sur le gateau de me signifier par lettre recommandee qu'ils mettent fin a mon contrat car je n'ai pas assez de chance a leur gout!!
pour info j'etais assuree chez eux depuis plus de 30ans!! et n'ai jamais declarer de sinistre avant ça</t>
  </si>
  <si>
    <t>17/09/2020</t>
  </si>
  <si>
    <t>jenny-135089</t>
  </si>
  <si>
    <t xml:space="preserve">Merci à Fall pour m avoir aidé à lui transmettre les documents manquants.
Ella a été très patiente
Maintenant j'espère que mon dossier sera traité au plus vite.
Merci
</t>
  </si>
  <si>
    <t>chris-92190</t>
  </si>
  <si>
    <t>Bonjour, 
J'ai choisi le produit "Automobile" MAIF, car il en fallait un! Mais j'ai aussi "Habitation", Prévoyance" et "Assurance-Vie".
Le renseignement est toujours pertinent, et au besoin, les agents s'y mettent à plusieurs pour donner satisfaction et surtout LA bonne réponse. 
Depuis 1985, jamais déçu, toujours soutenu dans les moments difficiles (et il y en a eu), en gardant présent l'esprit mutualiste, c'est-à-dire commencer par se débrouiller soi-même.
Exemple: la tempête de 99 a détruit 2 ou 3 tuiles du toit de la maison; conscient du peu de gravité pour mon bien par le résultat de ce passage, et de celle des autres citoyens, j'ai acheté les tuiles de remplacement et ai effectué moi-même le travail. Ce n'est qu'un exemple, tout le monde ne peut pas monter sur le toit de sa maison, bien entendu.
A partir de là, l'aide de la MAIF dans les moments cruciaux s'avère essentielle et efficace (panne de voiture (pompe à gaz-oil HS) à l'aéroport Charles De Gaulle, à un embranchement en Y circulatoire au Termina 3, en compagnie de mon plus jeune fils, lourdement handicapé mental par le port d'autisme de bas niveau: tout pris en charge, taxi qui est allé chercher aussi mon fils ainé et son amie qui arrivaient de l'étranger, rapatriement au domicile de tout le monde et parfaitement guidé pour les réparations, au mieux des possibilités! 
Même une proposition de transport pris en charge en train puis taxi jusque chez le garagiste-réparateur! Mais j'ai pu opter pour un transport par mon fils aîné lors de la récupération du véhicule.
Une femme n'aurait eu aucun problème avec les intervenants, tant leur choix est fait avec rigueur et sans concession de la part de la MAIF.</t>
  </si>
  <si>
    <t>25/06/2020</t>
  </si>
  <si>
    <t>jma-91792</t>
  </si>
  <si>
    <t>en plus de quarante ans que je suis sociétaire à la MGP j'ai remarqué une nette amélioration du contact et de l'éficacité pour les remboursements.</t>
  </si>
  <si>
    <t>mbenz-75527</t>
  </si>
  <si>
    <t>Chez eux depuis plus de 3 ans, jamais aucun sinistre. Le jour où j'ai eu un bris de glace, et que j'ai réparé dans un garage a côté, on m'a envoyé le chèque de remboursement qui n'est jamais arrivé. 
Après avoir appelé à plusieurs reprises, et envoyé des mails depuis plus de 3 mois, on n'hésite pas à m'envoyer balader.
DEUX FOIS DE SUITE J'APPELLE LE SERVICE CLIENT, ET ILS ME DISENT QUE "LA PROCÉDURE VA PRENDRE 10MIN, JE VOUS PROPOSE DE VOUS RAPPELER DANS 10 MIN" EHH BIN ILS NE RAPPELLENT PAS !!!!
LAMENTABLE !! 
FUIIIRE !!</t>
  </si>
  <si>
    <t>30/04/2019</t>
  </si>
  <si>
    <t>totototo-110399</t>
  </si>
  <si>
    <t>D'une nullité sans nom !
Le pare-choc arrière de mon véhicule a été endommagé dans un accident pour lequel je suis à 0% en tord. Le pare-choc arrière a été changé avec un pare choc d'occasion défectueux. Résultat : le pare choc arrière dépasse du véhicule
Un scandale !!!!!!
Aucun dédommagement de la part de cet assureur d'une nullité sans nom !</t>
  </si>
  <si>
    <t>turbie06-82150</t>
  </si>
  <si>
    <t xml:space="preserve">échange ce jour avec deux personnes. Certainement avec une très haute opinion de leur personne et de leur maitrise des procédures. La seconde avec une rhétorique bien rodée autour d'une variation de l'assureur militant, solidaire et responsable.
Ce que je constate c'est que je me retrouve dans une impasse suite à un incident causé par un tiers qui refuse de faire intervenir son assurance. La solution de la MAIF : présentez lui la facture... Pertinent , intelligent , compétent. 
Je constate enfin avec quelle célérité les responsables de l'e-reputation de la MAIF interviennent  au fil des posts de mécontentement pour dire qu'ils sont soucieux de la qualité de la relation client/sociétaire. 
Si tel était le cas pourquoi ces posts ? Et surtout ces promesses d'intervention ? 
Avant dernier litige en date , à la fin de l'été. Mon mécontentement avait été tel et ma demande manifestant d'une légitimité, que je devais être contacté par un sociétaire médiateur ou quelque chose dans le style d'autorité morale garante des principes de l'assureur militant... J'attends toujours. 
Des paroles des paroles des paroles. Amateurs de Dalida c'est le bon endroit. 
</t>
  </si>
  <si>
    <t>20/12/2019</t>
  </si>
  <si>
    <t>sylvain-g-128549</t>
  </si>
  <si>
    <t xml:space="preserve">Très satisfait, véhicule assuré très rapidement. Les tarifs sont très bons. J'assure mes 3 véhicules chez direct assurance. Je n'ai jamais eu d'accidents ou autres problemes alors je ne peux pas noter le reste. </t>
  </si>
  <si>
    <t>jacquesc-137938</t>
  </si>
  <si>
    <t xml:space="preserve">MALAKOFF HUMANIS est à éviter, je souhaitais leur attribuer 0 étoile mais le site ne le permet pas.
Mes parents ont contracté en 1999 une prévoyance dépendance ainsi qu'une allocation obsèques. Voici mes nombreuses remarques :
Le contrat prévoyance-dépendance :
Ma mère a été dans une situation de forte dépendance en septembre 2020 et pour bénéficier de la garantie, Malakoff Humanis nous envoyé un formulaire d'une telle complexité qu'aucun médecin n'a voulu le remplir.
Le contrat allocation obsèques :
Ma mère est décédée en mai 2021 et depuis cette date, l'allocation obsèques n'a toujours pas été versée. La technique DE MALAKOFF HUMANIS pour ralentir le versement des prestations est toujours la même :
1 – informer par mail  après plusieurs semaines de sollicitions par mails et téléphoniques que le dossier est incomplet, il manque des pièces justificatives.
2 – demander énormément de pièces justificatives, le certificat de décès que nous lui avons fourni n'était pas suffisant, j'ai été extrêmement surpris que cet acte, signé par un officier de l'état civil, ne soit pas suffisant pour prouver l'identité de ma mère :  un acte de naissance a été exigé par MALAKOFF HUMANIS! J'ai rappelé à cette société que c'est à l'officier d'état civil de procéder à la vérification de l'identité de la personne défunte et non pas à Humanis.
3- Les appels téléphoniques sont complétement inutiles, les opérateurs ne délivrent jamais les mêmes informations et aucun suivi de dossier ne semble opérant.
La gestion des contrats
Compte tenu des piètres prestations proposées par MALAKOFF HUMANIS, j'ai demandé à recevoir une copie des contrats signés par mes parents. Encore une fois MALAKOFF HUMANIS a été à la hauteur : j'ai reçu les conditions générales valant notice d'informations mais émis par une société différente que celle qui a fait signer le contrat d'adhésion à mes parents (à l'époque CRI PREVOYANCE rachetée depuis par MALAKOFF HUMANIS)
Lors de la souscription des contrats, un tableau des cotisations mensuelles a été remis à mes parents. Ce tableau indique que les cotisations et prestations mensuelles ainsi que les allocations obsèques sont indexées sur la valeur du point AGIRC.
Depuis la signature de leur contrat le point le point AGIRC a augmenté d'environ de 23 %
Pour le contrat obsèques, les cotisations ont été revalorisées à hauteur de 38,66 % alors que l'allocation a bénéficié de 22,22 % d'augmentation !
medias.sociaux@malakoffhumanis.com
N'attendez rien de medias.sociaux@malakoffhumanis.com, cela fait plusieurs semaines que je les ai contactés avec toutes les informations nécessaires  avant de rédiger cet avis : le dossier n'a pas avancé d'un iota.
</t>
  </si>
  <si>
    <t>mah-98382</t>
  </si>
  <si>
    <t>A fuir.
J'ai subi un accident en décembre 2019, pour lequel je n'étais pas responsable (2 témoins avec déposition écrite). 
Bilan: fractures/hématomes et un séjour à l'hôpital suite à une intervention chirugicale. 
Moto épave.
Je n'ai jamais eu de nouvelles de leur part. Aucune indemnité, rien.Le dossier est au point mort.J'ai même été prélevé pendant plus de 4 mois à tort, c'est dire.
Demeurent injoignables, une chargée de dossier des plus hautaines, arrogantes.
Ne défendent même pas leurs assurés non-responsables, je n'ose imaginer votre traitement en cas de responsabilité....
Je réitère: à fuir.</t>
  </si>
  <si>
    <t>06/10/2020</t>
  </si>
  <si>
    <t>christophe1234-67144</t>
  </si>
  <si>
    <t>Tout va bien jusuq'au jour où vous avez un sinistre. Ils jouent sur les termes du contrat pour vous faire payer un maximum de franchise et quand vous demander une explication, on vous raccroche au nez. A fuir à tout prix !!!</t>
  </si>
  <si>
    <t>27/09/2018</t>
  </si>
  <si>
    <t>mostefa-f-131953</t>
  </si>
  <si>
    <t>Je suis satisfait des services niveau des prix assurances sérieuses en tant que client avis général meilleur mon père en tant que conducteur secondaire sur mon assurance et assuré chez vous c'est lui qui m'a conseillé votre assurance..</t>
  </si>
  <si>
    <t>gregory-a-124909</t>
  </si>
  <si>
    <t xml:space="preserve">Je suis satisfait de service. 
Chez Direct assurance c'est simple et pratiques. 
En plus les prix assez confortable surtout pour les jeunes conducteur 
</t>
  </si>
  <si>
    <t>ma22-60328</t>
  </si>
  <si>
    <t>Bonjour, 
AXA ... quelle histoire.
J'ai souscris en février 2018 chez eux suite à un différend avec mon ancien assureur (MAIF), qui lors d'une simple demande d'information sur mes garanties m'a imputé l'existence d'un sinistre alors qu'il n'en a jamais existé. 
A ce moment là, je recevais des appels quotidiens du commercial d'AXA ! Très efficace de ce côte là !
Ainsi, lors de ma souscription chez AXA, sur mon relevé d'informations figurait un "sinistre imaginaire". AXA, m'a donc fait régler une somme correspondant à 3 mois environ d'assurance, lors de la souscription.
Ultérieurement, j'ai réussi à obtenir de la MAIF que le "sinistre imaginaire" soit ôté de mon relevé d'informations. Cela a eu pour conséquence de diminuer le montant de ma cotisation chez AXA.
AXA M'EST DONC REDEVABLE D'UN TROP PERÇU !
Le conseiller que j'ai eu en ligne à ce sujet, en février, m'a indiqué être dans l'impossibilité de procéder au changement du nombre de sinistres sur mon contrat et a crée un second, en M'ASSURANT QUE LES FONDS PAYÉS LORS DE MA SOUSCRIPTION SERAIENT TRANSFÉRÉS SUR CE NOUVEAU CONTRAT ET QU'UN CHÈQUE DE RESTITUTION DE TROP PERÇU ME SERAIT ADRESSÉ PAR VOIE POSTALE !
Or, après 5 mois et des appels quasi-quotidiens, je continue de recevoir des mises en demeure, des appels automatisés me demandant de régler ces cotisations que j'ai déjà réglées. 
Je me heurte à un mur et à des gestionnaires qui ne savent que répéter comme des moutons que cela est géré par un service qu'on ne peut pas contacter, que ce service a accumulé beaucoup de retard et qu'il est sans cesse relancé par chaque gestionnaire que j'ai en ligne.
Plus édifiant encore, un gestionnaire m'a dit qu'il était normal que je sois relancé par le service contentieux car le transfert de fonds n'est toujours pas effectué et qu'il fallait que je règle en attendant pour éviter des poursuites.
AXA m'adresse encore un courrier ce jour indiquant que "la remise en vigueur de votre contrat (sous réserve que celui-ci ne soit pas résilié) ne sera effective qu'après paiement de la totalité de vos cotisations et des frais de poursuites et recouvrement ".
AXA ME SUSPEND MES GARANTIES, AJOUTE DES FRAIS DE RECOUVREMENT ET ME MENACE DE POURSUITES ALORS QUE J'AI RÉGLÉ CES COTISATIONS ET QU'AXA ME DOIT DE L'ARGENT !
JE REGLERAIS MES COTISATIONS A VENIR LORSQUE JE SERAI ASSUREE QUE MES GARANTIES SONT EFFECTIVES, ET LORSQUE JE SAURAI CE QU’ON ME DEMANDE DE RÉGLER ! 
En attendant, je séquestrerai les cotisations ultérieures sur un autre compte ... 
Pour ne pas me soustraire à mes obligations !
Bien évidemment, pour souscrire le contrat, cela a été d'une facilité déconcertante. 
Cependant, lorsqu’il s'agit de prendre ses responsabilités et de gérer correctement le dossier, AXA se défausse, viole ses obligations et jusqu'à me menacer de poursuites ! 
J'admets que ma demande n'ait pas été traitée dans les semaines suivant ma souscription. 
Mais, 5 mois d'attente pour un simple transfert de fonds et des menaces de poursuites, il s'agit simplement d'un abus.
Je suis certaine que les encaissements de cotisation  sont réglés beaucoup plus rapidement ... étrangement ! 
Etant juriste (huissier de justice), je me désole chaque fois du fait que les assureurs abusent des petits gens et oublient qu'ils sont soumis à l'application de dispositions légales.
Tout est bon pour s’en mettre plein les poches sur le dos des assurés ! 
C’est bien triste ! 
Je vous rappelle que l'assureur également a des obligations ! Les assurés vous règlent des cotisations pour s'offrir une prestation de service qui n'est pas au rendez-vous.
Il ne suffit donc pas de prononcer des phrases toutes faites, en espérant que cela nous satisfasse. 
A défaut d'un prompt règlement de cette situation (cette semaine), j'envisage de VOUS METTRE EN DEMEURE afin d'obtenir ultérieurement votre condamnation judiciaire à la résiliation du présent contrat !
J'envisage d'obtenir cette résiliation de contrat, nonobstant la durée inférieure d'un an de celui-ci !
Quant à mes autres contrats d'assurance, je ne les souscrirais certainement pas auprès de votre compagnie.
J'espère n'avoir jamais à subir un sinistre en étant assuré par vos services, car lorsque je constate que je suis dans l'obligation de vous relancer sans cesse pour une simple question de transfert de fonds, je n'ose pas imaginer la gestion d'un sinistre. 
Osant espérer que vous ne me contraindrez pas à en arriver à de telles mesures …</t>
  </si>
  <si>
    <t>12/06/2018</t>
  </si>
  <si>
    <t>laurencep94-107575</t>
  </si>
  <si>
    <t xml:space="preserve">La vente de mon contrat s’est faite de façon très correcte  avec un conseiller très professionnel. J’ai souscrit le fait de gamme des garanties : la formule OPTIMALE. Depuis, c’est la CATASTROPHE ! 
- les garanties mises en place informatiquement ne sont pas celles qui étaient prévues
- je ne suis pas remboursée comme prévu .....quand je suis remboursée !
- j’envoie des réclamations ou je téléphone personne ne règle le problème 
- je ne suis toujours pas remboursée pour des soins depuis janvier 
- j’ai fini par recontacter  le conseiller qui m’a vendu le contrat et qui de se son côté signale sans cesse le problème à sa hiérarchie et personne ne le rappelle. Cela fait des mois ! Il me dit avoir régulièrement des réunions où les dossiers à problème sont discutés mais je n’aucun retour depuis des mois.
- le personnel au service des remboursements est totalement incompétent 
Bref,c’est une mutuelle tout à fait irrespectueuse de ses clients que je déconseille fortement ! 
- </t>
  </si>
  <si>
    <t>vale-m-122520</t>
  </si>
  <si>
    <t>Les prix sont défiants toutes concurrence. J’ai réussi à trouver une assurance qui me conviens pour mon véhicule. Les services proposés sont simples et efficaces !</t>
  </si>
  <si>
    <t>remi-68167</t>
  </si>
  <si>
    <t xml:space="preserve">Bonjour, suite à notre conversation du jeudi 7 février à 15h38, vous avez justifié l'augmentation de ma cotisation annuelle car toutes les assurances le font. Or comparativement le FGAO a estime l'augmentation 2018-2019 a 2 points. Mon augmentation représente 15 points ce qui est totalement injustifié. Merci de revenir à un tarif raisonnable c'est à dire de l'ordre 3 points au maximum. 
Y a-t-il un juriste parmi les lecteurs afin d'évaluer les possibilités d'action, groupé ou non ?
</t>
  </si>
  <si>
    <t>rihane--r-124466</t>
  </si>
  <si>
    <t xml:space="preserve">Bonjour je conseille vivement cette assurance les conseillers sont super serviables les démarches sont très faciles à réaliser Mercii pour l’accueil merci </t>
  </si>
  <si>
    <t>pascontent--99223</t>
  </si>
  <si>
    <t xml:space="preserve">Voila je Vien vous raconter mon aventure avec cette sois disent mutuelle (Harmonie) hein !! Alors voila je me suis fait ressèment opéré tout les document on était envoyé a cette mutuelle rien que de cité leur nom me donne envie de vomir on vous répond 1 fois toute les 15 jours, on vous dit que le remboursement a était acceptée et envoyé mais sur un compte qui excite plus je tien a dire que je leur et envoyé mon nouveau RIB mais comme il Save pas ouvrir une page de mail alors comment voir qui il y a un nouveau Rib de disponible le mieux pour les future adhèrent a cette mutuelle fuyer fuyer fuyer car il prenne l'argent en pensent pas au client  c'est des champion du prélèvement mais zéro niveau remboursement car cette mutuelle et fait que dans le but de pas être malade comme ca il sont content de l'argent et ce gavé  </t>
  </si>
  <si>
    <t>26/10/2020</t>
  </si>
  <si>
    <t>blot-c-117060</t>
  </si>
  <si>
    <t>Je suis satisfait du service et les options proposés par l'assurance. La rapidité d'exécution également. C'est tout en simplicité, et l'ergonomie du site est superbe</t>
  </si>
  <si>
    <t>philippe-c-105769</t>
  </si>
  <si>
    <t>Je me renseigne sur les prix de vos concurrents et je viens de trouver pour des prestations équivalentes, un tarif 35 € moins cher. En attente donc de leur devis.</t>
  </si>
  <si>
    <t>07/03/2021</t>
  </si>
  <si>
    <t>tvj-101102</t>
  </si>
  <si>
    <t>Une interface  digitale pas au niveau; impossible de télécharger facilement une feuille de soins.
Un centre d'appels débordé qui vous raccroche au nez
sinon, point positif : rapidité des remboursements</t>
  </si>
  <si>
    <t>08/12/2020</t>
  </si>
  <si>
    <t>ghaima68-71922</t>
  </si>
  <si>
    <t xml:space="preserve">La MAIF est la compagnie qui a assuré mon premier véhicule voilà plus de 28 ans et j'y suis restée fidèle
J'y ai assuré tous les véhicules depuis mes différentes habitations et au fil des années j'ai complété les formules PACS PRAXiS  
La notion de fidélité n'est pas la même côté assurance
Après 28 ans je découvre que je ne suis plus assuré 2 véhicules 1 maison et 1 appartement depuis plus de 2 mois
La résiliation a l'initiative de l'assurance a été envoyée par recommandé et je n'ai pas reçu ce recommandé
J'ai réussi en insistant à avoir le motif altération du lien commercial sans aucune explication
Personne pour vous renseigner 
Une adresse mail générique réclamation@maif.fr et attendre qu'on vous rappelle
En attendant de par l'obligation d'être assuré je passe mes journées avec les devis et en plus la résiliation unilatérale de la maif m'empêche de prospecter auprès de nombreuses assurances 
Je me retrouve donc à devoir accepter des tarifs très élevés auprès de courtiers alors que 28 ans durant je suis resté fidèle à une seule assurance
</t>
  </si>
  <si>
    <t>06/03/2019</t>
  </si>
  <si>
    <t>gilles-f-133218</t>
  </si>
  <si>
    <t>Rapport prix / garantie cohérent. Globalement satisfait même si je pense que direct Assurance pourrait mieux faire. Lorsque toutes les options sont choisis la différence de prix avec une autre assurance n’est plus forcément aussi avantageuse.</t>
  </si>
  <si>
    <t>boukabous-r-126790</t>
  </si>
  <si>
    <t xml:space="preserve">Simple et pratique. Toujours est-il qu'il serait judicieux de demander un avis après quelques mois d'expérience.
Pour l'instant, les prestations proposées semblent correctes.
Salutations </t>
  </si>
  <si>
    <t>vbarberger-80022</t>
  </si>
  <si>
    <t>Service à la clientèle déplorable, ligne téléphonique saturée, soit disant refonte informatique pour expliquer les retards pour verser les sommes dues dans le cadre d'une succession. Sachant qu'AFER a été condamnée à payer en 2019 une amende de plusieurs millions d'euros pour une fraude commise il y a 20 ans, la question se pose: font-ils tout pour retarder les paiements? Quels recours avons-nous en tant qu'épargnants?</t>
  </si>
  <si>
    <t>Afer</t>
  </si>
  <si>
    <t>14/10/2019</t>
  </si>
  <si>
    <t>christophec-75687</t>
  </si>
  <si>
    <t>Je suis d'accord avec STEP. Le SAV est une catastrophe ! Pour te pousser à souscrire un devis, pas de soucis, tu as des relances chaque jour d'une plateforme à l'étranger mais pour satisfaire le client en place c'est une catastrophe.</t>
  </si>
  <si>
    <t>07/05/2019</t>
  </si>
  <si>
    <t>gege-86810</t>
  </si>
  <si>
    <t>Gwendal : très concis, très efficace.
J'avais deux types de questions à lui poser : 
- sur l'activation de mon espace adhérent
- sur la hauteur d'une prise en charge en rapport avec une prochaine hospitalisation
Les réponses à mes questions ont toutes été satisfaites en un temps record et je le remercie.</t>
  </si>
  <si>
    <t>coucou-99390</t>
  </si>
  <si>
    <t>Au niveau prix c'est les moins chers du marche
En ce qui concerne les sinistres pour le moment je n'en sais rien vu que je n'ai pas eu de sinistre encore</t>
  </si>
  <si>
    <t>florian-48909</t>
  </si>
  <si>
    <t>Assureur incompétent 
A fuir absolument. Payez vous un vrai assureur digne  de ce nom. Contrat souscrit le 03/07. Mail annonçant la validation définitive du contrat et des pièces justificatives fournies (permis, carte grise etc.) + envoi de la carte verte définitive le 16/08. Toujours rien recu le 11/09. Relance de ma part : April répond et réclame la carte grise du véhicule pour émettre une nouvelle carte verte provisoire...Je suis donc sans assurance à ce jour par la faute de ces tocards....</t>
  </si>
  <si>
    <t>luzzi-j-110600</t>
  </si>
  <si>
    <t xml:space="preserve">Je suis satisfaite de l'olivier assurance, c'est la seule assurance qui a pu m'assurer à ce tarif en étant jeune conducteur. 
je recommande fortement </t>
  </si>
  <si>
    <t>nonerous-53240</t>
  </si>
  <si>
    <t>Je viens d être victime d un cambriolage avec effraction,l expert d assurance passe à la maison constate l effraction,les cambrioleurs on essayer de fracturé la porte avant de me détruire une fenêtre,j ai donc des marque sur la porte (minime serte mais de marque,du jeu dans la porte et dès coup de tournevis sur le haut de la porte ) et la l expert me dis que la porte est réparable.....j ai bien compris de quelle côté allais son avis. Mais comment réparer des marques sur la porte (chocs sur moulures et marque de tournevis sur porte pvc) dossier en cours d attente de devis de réparation de porte (bricolage selon mon artisans)1 mois et rien est fait par l assurance</t>
  </si>
  <si>
    <t>14/03/2017</t>
  </si>
  <si>
    <t>ap-60982</t>
  </si>
  <si>
    <t>Je viens d'être résilié abusivement sans motif après avoir été assuré chez DA depuis plus de 10 ans et bénéficiant donc à vie de 50% de bonus. Aucun sinistre responsable depuis 10 ans. Je suis très en colère</t>
  </si>
  <si>
    <t>30/01/2018</t>
  </si>
  <si>
    <t>chantal-m-105772</t>
  </si>
  <si>
    <t>RAS satisfaite du prix et garanties, je ne peux dire pour le traitement d'un sinistre n'ayant pas rencontré ce cas de figure...je pense que DA est bien placé.</t>
  </si>
  <si>
    <t>michel-105591</t>
  </si>
  <si>
    <t>LA MACIF mutuelle une assurance tres organisée pour supprimer des remboursements a sa clientele, ma maman assurée chez eux toute sa vie je me suis vu refuser le remboursement de la derniere facture de l hopital au motif qu il fallait que j avance l argent de cette facture ce qui m etait impossible financierement,ils m ont dit que  j vais 3 ans pour me faire rembourser sans l ecrire bien sur,  apres le reglement de la successsion deux ans était passé , réponse désolé monsieur c est trop tard merci la macif fuyez.</t>
  </si>
  <si>
    <t>jean-c-129517</t>
  </si>
  <si>
    <t>POUR LE MOMENT RAS MERCI
C4EST LA PREMIERE FOIS QUE JE SOUSCRIS UN CONTRAT EN LIGNE C'est une premiere; je verrais a la longue pour ajouter plusieurs vehicules si je suis satisfait</t>
  </si>
  <si>
    <t>nicolas-d-134068</t>
  </si>
  <si>
    <t xml:space="preserve">POUR  l'INSTANT CONTENT DANS L ENSEMBLE A VOIR PAR LA SUITE
LE SUIVI DE LA TRANSACTION 
ET L4ENVOI DE LA VIGNETTE ET LE CONTRAT 
MERCI DE VOTRE RAPIDITE
</t>
  </si>
  <si>
    <t>jean-baptiste-b-127999</t>
  </si>
  <si>
    <t xml:space="preserve">Je suis satisfait du service .
Site bien détaillé les tarifs sont très abordables les choix proposés sont variés et cela reste très intéressant. 
En vous remerciant. 
Cordialement </t>
  </si>
  <si>
    <t>alain-y-129507</t>
  </si>
  <si>
    <t>Hormis le bug informatique de quelques heures avec mon établissement bancaire, le suivi est efficace au niveau du service technique au téléphone. Merci à l'opérateur qui a fait preuve d'une écoute qualitative.</t>
  </si>
  <si>
    <t>bisson-g-114680</t>
  </si>
  <si>
    <t>Les conseillers au téléphone sont toujours clairs et précis.
Les tarifs sont très compétitifs et les conditions et autres frais sont clairement expliqués.</t>
  </si>
  <si>
    <t>24/05/2021</t>
  </si>
  <si>
    <t>jaks45-71557</t>
  </si>
  <si>
    <t>Service client pour le complément  de salaire nul interlocuteur pas aimable aucune info sur les Montants et dates des versements qui est la moindre des chose une honte de ne pas avoir accès à ces info</t>
  </si>
  <si>
    <t>22/02/2019</t>
  </si>
  <si>
    <t>filipe-c-108736</t>
  </si>
  <si>
    <t>Je suis trés satisfait avec le prix pour l'assurece de ma nouvelle voiture. Trés facile a faire lassurence sur le site. je espere que tous se passe bien :)</t>
  </si>
  <si>
    <t>hugon-l-126291</t>
  </si>
  <si>
    <t>je suis assez content du service et de la rapidité de l'exécution pour l établissement du devis et de la rédaction du contrat d assurance. Cordialement</t>
  </si>
  <si>
    <t>shudelist-55549</t>
  </si>
  <si>
    <t>Très mauvais service client. Aucune écoute. Impossible d'avoir un responsable malgré des erreurs répétées de la part de la compagnie.</t>
  </si>
  <si>
    <t>21/06/2017</t>
  </si>
  <si>
    <t>hatchiko-116975</t>
  </si>
  <si>
    <t>April moto ou April mytho c'est du pareil au même y a aucune différence... J'avais souscrit à une option dépannage 0km + et en plus une option de mon option qui me permettait d'avoir un véhicule de remplacement si jamais mon véhicule était immobilisé. Véhicule accidenté le 25/05 je l'ai amené au garage par mes propres soin car je pouvais le faire le 01/06 et pendant plus de 2 semaines je le dis fait baladé par les opérateurs de mondiale Assistance et les gens de chez April moto afin d'essayer d'avoir un véhicule de remplacement soit disant mon contrat ne bénéficié pas de cette option alors que pour prélever mon argent le 05/06 il n'y pas eu de soucis avec l'option compris dans le prix de l'assurance bien sûr.... Donc toujours RIEN lassé de la situation j'ai abandonné  je ne vous recommande clairement pas cet assureur car au moindres soucis ils feront tous pour ne pas remplir leurs parts du marché je préfère payer 50 euros plus chère ailleurs et avoir de vraies actes concrets qu'une assurance qui vous vend la qualité à moindre prix mais qui ne remplissent même pas la moitié de leurs part du travail quand un sinistre arrive....</t>
  </si>
  <si>
    <t>edouardo-g-124069</t>
  </si>
  <si>
    <t>Je suis satisfait de vos services.. Les tarifs sont corrects et il y a un suivi très détaillés. 
Un maximum de garanties au même tarifs serait juste parfait.</t>
  </si>
  <si>
    <t>jacky--137813</t>
  </si>
  <si>
    <t xml:space="preserve">Les prix sont attractifs mais les prestations sur le remboursement de certains produits sont de un peu juste j’ai très bien été renseigné par Balde mais j’at Toujours mes identifiants </t>
  </si>
  <si>
    <t>ericmave12-88576</t>
  </si>
  <si>
    <t>Cotisant depuis plus de 40 ans à la GMF, victimes en août 2018 d'un sinistre majeur sur notre habitation, nous avons subi depuis cette date une incurie et un manque de considération de nature à constituer un second sinistre.
Nous avons donc quitté cet assureur et mandaté un avocat. Plus d'information ici : https://assurementhumain.blogspot.com/2020/02/GMFassurementdepassee.html</t>
  </si>
  <si>
    <t>30/03/2020</t>
  </si>
  <si>
    <t>emeline-f-112674</t>
  </si>
  <si>
    <t>Impossible de changer simplement un changement d'adresse de domicile ou de travail. ou de faire un changement de contrat (passer de mini à tous risques.)</t>
  </si>
  <si>
    <t>sylvain-v-106205</t>
  </si>
  <si>
    <t>Mon tarif annuel augmente alors que mon bonus augmente aussi. Difficile de joindre un conseiller pour me l'expliquer. Mon autre assureur GMF n'a fait aucune augmentation de son coté donc qui peut me l'expliquer ?</t>
  </si>
  <si>
    <t>yojuan-61127</t>
  </si>
  <si>
    <t>Bonjour, j'ai contracté un prêt le 27/09/2015. Le 6/04/2016 la CPAM me notifie rétroactivement mon ALD, soit à la date du 17/09/2015 (date de visite chez mon angiologue) donc avant la signature du contrat. Sogecap me refuse la prise en charge de mes mensualités pour 360 jrs pour ne pas avoir déclaré une maladie dont je ne connaissais pas le caractère et pour laquelle je n'étais pas en traitement puisque hospitalisé en avril 2016. Ils annulent donc mon adhésion, refusent de m'indemniser et refusent de me rembourser les cotisations soit 1266.19€ versées depuis la date de début du contrat. Les questions que je me pose sont alors les suivantes :
1 - Sachant que je vais engager une procédure, pourquoi est-ce que Sogecap résisterait pour une somme en jeu de 4369.92 € alors que mandater un avocat est bien plus cher ?
2 - Pourquoi refusent-ils de me restituer mes cotisations si l'adhésion est annulée de leur propre chef ?
3 - Le médiateur est-il écouté ?
4 - Une fois l'Utopie dissipée, comment croire en un monde meilleur quand après que l'on t'ait notifié ton invalidité et ton handicap on te fasse passer pour un tricheur qui mérite d'être laissé sur la paille ?
Cordialement</t>
  </si>
  <si>
    <t>05/02/2018</t>
  </si>
  <si>
    <t>nathalie--l-114632</t>
  </si>
  <si>
    <t>Bon rapport qualité/prix. Facilité d'assurance ace le site, simple, pratique et net.
Nous verrons à l'usage si le bon choux est fait mais cela semble raisonnable.</t>
  </si>
  <si>
    <t>23/05/2021</t>
  </si>
  <si>
    <t>watisse-a-129690</t>
  </si>
  <si>
    <t xml:space="preserve">Les prix me conviennent par rapport à mon assureur précédent AXA
Honnêteté quand à la valeur assurée 
Service internet impeccable et facile à remplir
Rapidité et conforme a mon attente
</t>
  </si>
  <si>
    <t>colette-138905</t>
  </si>
  <si>
    <t>Notre mère est décédée en Novembre 2018, nous avons été contactés par la CARAC en Juin 2021 pour solde de tout compte.Tous les papiers demandés ont été retournés en Septembre 2021, nous sommes toujours en attente du règlement et après 2 appels téléphoniques ( pour information le montant à régler est d'environ 45 euros )
FAITES VOTRE TRAVAIL !!!!!</t>
  </si>
  <si>
    <t>04/11/2021</t>
  </si>
  <si>
    <t>guzyaka-33898</t>
  </si>
  <si>
    <t>Sinistre 5593901907
Malgré des nombreux des avis négatifs - je suis très satisfait de son intervention (sauf le numéro de service client absolument injoignable).
Que des facts:
Date de sinistre tempête : 13/02/2020
Date de l'indemnisation principale : 25/05/2020
Date de l'indemnisation différée : 30/10/2020
Vraiment pas mal.</t>
  </si>
  <si>
    <t>19/11/2020</t>
  </si>
  <si>
    <t>do-s-123657</t>
  </si>
  <si>
    <t xml:space="preserve">La demande de devis est simple. Le contenu du devis est clair. La facilité à la souscription est au rendez-vous. Bref Rapidité, Simplicité, Clarté, Compétitivité... </t>
  </si>
  <si>
    <t>17/07/2021</t>
  </si>
  <si>
    <t>maillot-g-139267</t>
  </si>
  <si>
    <t>Je suis satisfait de l'accueil, facile à obtenir une personne au téléphone
Service très rapide, efficace et joignable le samedi
Tarifs intéressants, en espérant que la suite soit tout aussi positive</t>
  </si>
  <si>
    <t>gael-wilfran-z-128933</t>
  </si>
  <si>
    <t xml:space="preserve">Plutôt satisfait de la célérité du service et du tarif. Cordialement. J'attends les documents officieux avec impatience. A part cela, je n'ai plus rien à rajouter. </t>
  </si>
  <si>
    <t>didier-76561</t>
  </si>
  <si>
    <t>Merci à Yassine pour ses conseils pour l'annulation d'un contrat non signé.</t>
  </si>
  <si>
    <t>07/06/2019</t>
  </si>
  <si>
    <t>ndia-78588</t>
  </si>
  <si>
    <t xml:space="preserve">bonjour j'etais avec april pendant 5ans avec des augmentation chaque année aussi des franchise de 2e sur chaque utisation de la carte. un conseillé néoliane m'a appelé.il m'a proposer le contrat depuis je suis tranquille </t>
  </si>
  <si>
    <t>21/08/2019</t>
  </si>
  <si>
    <t>benamar-m-132529</t>
  </si>
  <si>
    <t>Je suis satisfait du service mais je trouve que sais quand même un peu cher.
Un petit effort de votre part au niveau tarif changerait complètement la donne</t>
  </si>
  <si>
    <t>12/09/2021</t>
  </si>
  <si>
    <t>bachelart-s-131320</t>
  </si>
  <si>
    <t>Le prix est très intéressant, il y a une réel différence a ce niveau parmis de nombreuses compagnie d'assurance. C'est ce qui me fait souscrire chez vous .</t>
  </si>
  <si>
    <t>denis54300-67117</t>
  </si>
  <si>
    <t>Entiérement satisfait  de notre entretien avec votre conseillère, tant au niveau des prestations de couverture de la compagnie que du professionnalisme de mon  interlocutrice ,tout à été clairement définie.</t>
  </si>
  <si>
    <t>26/09/2018</t>
  </si>
  <si>
    <t>patrick--116956</t>
  </si>
  <si>
    <t xml:space="preserve">Encore un peu cher on est obligé de faire jouer la concurrence pour faire baisser les prix c’est bien dommage 
De plus quand on est assuré à la Maaf on a l impression de faire partie des murs on ne nous propose plus aucun avantage !!!
Attention </t>
  </si>
  <si>
    <t>veronice-112872</t>
  </si>
  <si>
    <t>je me bats depuis plus de 5 semaines avec eux pour un dégât des eaux, c'est scandaleux ils font tout pour faire trainer et ne pas rembourser, des incompétents qui ne connaissent pas leur métier et injoignables.
Partez vite ou n'y venez jamais</t>
  </si>
  <si>
    <t>jadu-59155</t>
  </si>
  <si>
    <t>bonjour
augmentation de 8% en 2017 et 6% en 2018 
alors que sinistralité nulle. faire des devis pour changer d'assurance me parait désormais nécessaire
je possède le bonus maxi et a vie mais a quel prix dans les années a venir ?</t>
  </si>
  <si>
    <t>27/11/2017</t>
  </si>
  <si>
    <t>christine-f-136470</t>
  </si>
  <si>
    <t xml:space="preserve">Bonjour je suis ravie de vos service et le prix en espérant être très satisfait car je n'es pas de mutuelle actuellement et je suis  très ravie d'être parmi vous  </t>
  </si>
  <si>
    <t>07/10/2021</t>
  </si>
  <si>
    <t>brunop-85255</t>
  </si>
  <si>
    <t>Dommage que l'on ne puisse mettre un 0 !!!
Je suis client BNP depuis près de 30 ans et bien sûr ils m'ont recommandé Cardif pour l'assurance vie. Outre des frais outranciers à la souscription (4,5 % !!!) renégociés après maintes relances, j'apprends que pour un rachat il faut compter 10 à 15 jours pour la date de valeur. Etant sur des UC sur des marchés dynamiques je voulais bénéficier de la remontée des marchés pour effectuer un rachat partiel, il m'est annoncé entre 10 et 15 jours pour la date de valeur, donc s'il y a une baisse significative je serai pénalisé, mais je suis sûr que s'il y a une hausse ils sauront choisir la date qui leur conviendra le mieux !!!
De plus les infos ne sont pas concordantes entre mon conseiller, le service téléphonique et une autre conseillère. J'ai donc regardé sur leur site, impossible d'avoir la notice d'adhésion où il devrait y avoir les CG.
En résumé, fuyez Cardif... sauf si vous avez une boule de cristal qui vous permettra de prévoir les fluctuations du marché</t>
  </si>
  <si>
    <t>26/12/2019</t>
  </si>
  <si>
    <t>luisacedo-58973</t>
  </si>
  <si>
    <t xml:space="preserve">assuré depuis plus de 10 ans sans aucun probleme et un accident ou je ne suis pas en tort et la le neant plus personne ne repond au telephone quand on se presente ou on vous rappel dans la journée et rien ! une catastrophe alors soyez vigilant </t>
  </si>
  <si>
    <t>20/11/2017</t>
  </si>
  <si>
    <t>pironnec-c-129415</t>
  </si>
  <si>
    <t>Très satisfait pour l'instant de cette assurance. Les Prix sont très compétitifs.
Le Personnel très agréable et compétent au téléphone.
Je recommande.</t>
  </si>
  <si>
    <t>alain-c-105273</t>
  </si>
  <si>
    <t>pas chère et service au top et rapide, je recommande direct assurance, j'y ai mis mon contrat habitation et quand j'aurai une moto, une assurance moto</t>
  </si>
  <si>
    <t>guylene-v-126776</t>
  </si>
  <si>
    <t>Je suis satisfait des prix et du service rapide, paiement rapide et sécurisé., j’espère juste que les prix conducteurs vont vites changer car un peu chère quand tu commences</t>
  </si>
  <si>
    <t>jeff38-76104</t>
  </si>
  <si>
    <t>Je suis plus que deçu de cette assurance et vais vite en changer  en 24 h deux avis completement opposés sur le fait de rajouter un conducteur sur une assurance voiture pro.....je reessaye demain pour le troisieme</t>
  </si>
  <si>
    <t>nicolasgoujon-85515</t>
  </si>
  <si>
    <t xml:space="preserve">Cambriolé le 30/08/19 je contacte la Matmut le lendemain soit le 31/08/19 afin d'ouvrir un dossier rapidement.
En effet il a fallu remplacer la serrure + poignet de la  porte et déclarer les objets volés.
On m'a dérobé une chevalière en or 18 kt (avec facture à l'appuie de 765e, des boucles or 9kt avec facture de 225e ainsi qu'une gourmette en argent 925 + collier en argent 925. Soit presque plus de 1000e de bijoux.
J'ai finalement été "indemnisé" le 19/12/19 soit presque 4 mois après les faits de 305e de bijoux. A la Matmut on parle de la VETUSTE de l'or et de l'argent ! Oui ce n'est pas une blague! L'or et l'argent se dévaluent selon cette assurance.
On vous explique gentiment que l'on rembourse au prix de l'occasion mais que les bijoux deviennent vétustes au fil du temps. Or tout le monde sait que le cours de l'or augmente d'années en années.
C'est tout juste incroyable! 
Je ne recommande absolument pas la Matmut ! 
A ce titre je vais changer d'assurance très rapidement.
A FUIR ! </t>
  </si>
  <si>
    <t>laurentp-67568</t>
  </si>
  <si>
    <t>Je recommande vivement la MAIF. C'est tellement agréable d'avoir une personne compétente et professionelle. Je souhaite les avoir le moins souvent possible mais à chaque fois, j'ai été rappelé par une personne qui avait la connaissance de mon dossier, de ma situation, avec une vraie capacité d'écoute et de compréhension. 
Je me suis bien retrouvé dans leur pub insistant sur la coté mutualiste.</t>
  </si>
  <si>
    <t>11/10/2018</t>
  </si>
  <si>
    <t>loos-a-133898</t>
  </si>
  <si>
    <t>Communication très agréable et explications claire
Dossier réalise rapidement par téléphone  avec des propositions logigue
Je recommande cette assurance dans mon entourage</t>
  </si>
  <si>
    <t>plg1-77941</t>
  </si>
  <si>
    <t>Je profite de la loi Hamon pour changer d'assurance auto. Direct assurance me dit qu'ils se chargent de résilier mon contrat actuel, 2 mois plus tard, rien n'a été fait. Direct assurance est un assureur comme les autres, efficace et rapide pour prélever la prime, pour le reste, on ne peut pas compter dessus.</t>
  </si>
  <si>
    <t>25/02/2020</t>
  </si>
  <si>
    <t>pas-de-pseudo-110621</t>
  </si>
  <si>
    <t xml:space="preserve">jamais eu d'accident donc pas d'avis sur le remboursement, par contre assurance très chère, franchise acceptable. Assuré via ma banque très difficile d'avoir directement l'assureur. &gt; </t>
  </si>
  <si>
    <t>bdeb-71353</t>
  </si>
  <si>
    <t>Nul, surtout en passsng par un courtier</t>
  </si>
  <si>
    <t>15/02/2019</t>
  </si>
  <si>
    <t>hisland-66169</t>
  </si>
  <si>
    <t>eurofil a été très réactif pour traiter ma demande de remboursement, il a fallu seulement un appel téléphonique et un mail pour obtenir le remboursement en 3 semaines. J'ai eu à faire à des gens compétents, efficaces et très professionnels.
J'ai un contrat assurance-auto depuis 2011 avec le même véhicule et les mêmes prestations j'ai eu une augmentation de 135 euros ce qui me paraît raisonnable</t>
  </si>
  <si>
    <t>13/08/2018</t>
  </si>
  <si>
    <t>coubris-s-138543</t>
  </si>
  <si>
    <t xml:space="preserve">je suis ravi de la rapidité de vos services puisque je récupérais mon véhicule un samedi après midi elle ete assurance en 10 minute cest super
le prix est correct </t>
  </si>
  <si>
    <t>antoine-d-105662</t>
  </si>
  <si>
    <t xml:space="preserve">J'attend de rouler avec You Drive pour voir si s'est réellement avantageux pour une personne n'ayant pas une conduite a risques (aucun sinistres sur 5 ans de permis en ayant 3 
motos et 1 voitures) </t>
  </si>
  <si>
    <t>06/03/2021</t>
  </si>
  <si>
    <t>isabelle-86163</t>
  </si>
  <si>
    <t xml:space="preserve">Suite à la tempête de juillet 2019, nous avons eu un dégât des eaux, nous avons fait faire un devis par un artisan de notre commune et il a été refusé car trop cher.j'ai tenté de les joindre mainte et mainte fois, on tombe sur des plateformes pour le service chiffrage, qui regroupe plusieurs compagnie d'assurance et ils n'arrivent même pas à retrouver votre dossier. et là on me rappelle pour me dire que si je refuse un artisan agrée Matmut et que d'ici 15 jours je ne fais pas parvenir un nouveau devis "réduit" ils clôturent mon dossier. Dite moi combien vous voulez me donner ça évitera de refaire déplacer l'artisan ! et bien non! 
Quand nous allons à l'agence nous avons des personnes qui ne peuvent plus vous répondre directement  ils obligés de correspondent par Mail.
Les services se sont dégradés.
 </t>
  </si>
  <si>
    <t>21/01/2020</t>
  </si>
  <si>
    <t>fb84-68854</t>
  </si>
  <si>
    <t>ayant voulu résilier la mutuelle de ma mère de 89 ans je lis sur le document, mon  contrat est renouvelable par tacite reconduction à chaque échéance annuelle OU au 31 décembre de chaque année. le contrat ayant été signé le 9 mars, en toute bonne foi je demande la résiliation le 23 novembre, donc largement avant les 2 mois requis. mais oh surprise !!!!!!!!!!! manifestement, la date échéance n'est pas la date anniversaire, c'est ce que je viens d'apprendre !!!!!! jolie façon de jouer sur les mots !!!!! pourquoi mettre deux options de dates puisque manifestement les deux dates sont les mêmes si ce n'est pour induire en erreur. la réponse du berger à la bergère sera que je résilierai mon contrat prévoyance et ce, dans LES DELAIS PREVUS !!!!!! ras le bol de ces pratiques !!!!</t>
  </si>
  <si>
    <t>16/04/2019</t>
  </si>
  <si>
    <t>ricky-81365</t>
  </si>
  <si>
    <t>J'ai eu téléphoniquement Gwendal pour divers renseignements et modification sur mon dossier afin de compléter les certificats "papier" que je désire obtenir dès que possible.</t>
  </si>
  <si>
    <t>26/11/2019</t>
  </si>
  <si>
    <t>cathie13-62551</t>
  </si>
  <si>
    <t>Bon suivi client. Interlocuteur à l'écoute et de bon conseil.</t>
  </si>
  <si>
    <t>21/03/2018</t>
  </si>
  <si>
    <t>jenemelaissepasfaire-113324</t>
  </si>
  <si>
    <t xml:space="preserve">Je ne suis absolument pas satisfaite de cette compagnie qu'il s'agisse de la partie mutuelle santé ou garantie dépendance.
le service clientèle est particulièrement inefficace  et ne répond aux réclamations que par des courriers type qui ne n'ont ni queue ni tête. 
les pièces justificatives ne sont pas reçues et on vous les réclame plusieurs fois 
les dossiers trainent en longueur sans réponse : c'est le cas de ma demande de garantie dépendance déposée il y a plus d'un an. c'est lamentable....
</t>
  </si>
  <si>
    <t>laetis1204-81651</t>
  </si>
  <si>
    <t xml:space="preserve">Je suis assurée pour ma voiture avec l'assistance 0km, 0 franchise. Je fais appel à l'assistance pour une crevaison, une conseillère me donne l'information de contacter le dépanneur, et les recontacter lorsque nous sommes au garage avec la voiture.... donc dès notre arrivée au garage, je les rappelle... et là un autre conseiller me dit que ce n'était pas la bonne marche à suivre et que je ne serai pas remboursée !!!! Certainement une nouvelle technique pour ne plus rembourser, on conseille mal, je pense même volontairement... et après pas de remboursement !!!! Mes sincères félicitations !!! </t>
  </si>
  <si>
    <t>alexis-g-127320</t>
  </si>
  <si>
    <t xml:space="preserve">Satisfaisant, temps de contact par téléphone un peu long.
Prix correct et prend les personnes ayant eu des sinistres aupparevent. J'ai comparer recèment je ne trouve pas moins cher. </t>
  </si>
  <si>
    <t>10/08/2021</t>
  </si>
  <si>
    <t>corentin-d-127041</t>
  </si>
  <si>
    <t>Bien et bon prix.
J'ai beaucoup cherché, mais vous avez les meilleurs tarif pour mon véhicule.
Je suis très satisfait de vos services, merci beaucoup et passez une bonne soirée.</t>
  </si>
  <si>
    <t>07/08/2021</t>
  </si>
  <si>
    <t>m-m-133567</t>
  </si>
  <si>
    <t>disponibilté téléphonique
je suis très satisfaite de Mariama qui a su m'écouter et répondre à mes questions 
Service client de qualité , je vais pouvoir accéder à mon dossier en toute tranquilité</t>
  </si>
  <si>
    <t>zazazzz-103977</t>
  </si>
  <si>
    <t>Du grand n'importe quoi ! Deux mois après résiliation de mon contrat pour cause de vente du véhicule, ils continuent de me prélever ! Je les appelle et soit disant "ce sont les frais de résiliation" ! 60€ de frais de résiliation ???  Il est stipulé sur leur site qu'il n'y a pas de frais de résiliation en cas de vente ! Assurance a fuir ! !!!! Passez votre chemin et vite !!!!!!!</t>
  </si>
  <si>
    <t>emilie-55514</t>
  </si>
  <si>
    <t>Je suis en train d'essayer de souscrire une délégation d'assurance pour mon prêt immobilier chez April qui m'a été recommandé par mon courtier. Je ne vais peut être pas obtenir mon prêt immobilier dans les temps à cause des délais de traitement chez April. Et avec toutes les conséquences annexes qui en découlent à savoir que nous avons donné notre préavis et notre propriétaire a déjà retrouvé un nouveau locataire à notre départ. La date de signature est fixé ainsi que la date de déménagement. Si la date de signature est reporté nous sommes sans domicile avec notre bébé âgé de 1 an ce qui est inconcevable. Nous avons commencé les démarches il y a 3 semaines, j'ai obtenu une réponse par téléphone concernant mon dossier semaine dernière. J'ai été obligé de signer électroniquement ainsi que mon mari au motif que je recevrai sur mon espace client l'accord du service médical et les conditions tarifaires. Depuis impossible de se connecter à mon espace client. Pour mon mari c'est encore pire il n'a toujours pas été contacté par le service médical alors que l'étude de mon dossier est faite. Depuis 1 semaine j'appelle presque tous les jours ! les conseillers me disent qu'ils vont envoyer un mail à mon mari pour lui demander des informations complémentaires sur son dossier médical, et tous les jours j'ai la même explication : "le mail va vous être envoyé sous 48h". J'aimerai que ma démarche puisse faire avancer mon dossier car aujourd'hui la banque attend le contrat d'assurance emprunteur pour enclencher la demande de prêt. Comment sortir de cette situation ?</t>
  </si>
  <si>
    <t>20/06/2017</t>
  </si>
  <si>
    <t>guy3166-98802</t>
  </si>
  <si>
    <t>Sociétaire GMF depuis 50 ans, j'ai eu 3 contrats chez eux.Auto Habitation et Protection Juridique.
A ce jour, je n'ai plus que l'Assurance Habitation.Car je n'ai plus de voiture depuis 2002, mais jusqu'à cette date, j'ai bien évidemment eu quelques sinistres mais je n'ai jamais rencontré de problème pour les remboursements.Par contre, j'ai résilier la PJ car j'ai été mécontent de leur gestion d'un dossier.
Mais venons en à l'Assurance Habitation puisque c'est d'elle dont il s'agit.
J'ai été victime d'une tentative de vol le 16 Octobre 2017.Ma serrure à été forcée, mais comme j'étais présent, ils sont repartis sans rien prendre.Je dormais et n'ai rien entendu.Mais eux par contre ont dû m'entendre ronfler et ont vite déguerpis.( Comme quoi, ronfler peux avoir du positif)....C'était dans la nuit du samedi au dimanche et je ne me suis rendu compte de cette tentative d'effraction que le dimanche vers 17H00 en sortant la poubelle.En effet, lorsque j'ai voulu ouvrir la porte, la serrure tournait dans le vide.Et à ce moment que j'ai constaté cette tentative d'effraction.J'ai appelé la Police, et j'ai été très surpris de voir arrivée la Police Scientifique.Ils ont constatés les dégâts et relever les empreintes.Pour info, dans l'immeuble il y avait eu 6 cambriolages et tous les habitants étaient absents.Sauf moi.Afin, qu'ils puissent pénétrer dans les appartements cambriolés, ils m'ont demandé de les accompagner , car ils n'ont pas le droit d'entrer dans un appartement sans témoin.Le temps de faire le tour de tous les appartements, il était plus de 21H00 lorsque les policiers sont partis.Comme c'était un dimanche, j'ai attendu le lendemain pour appeler la GMF.J'ai expliqué la situation et ils m'ont envoyés un serrurier pour réparer les dégâts.Il à changé la serrure  ainsi que la poignée qui avait été cassée, et lorsqu'il à eu terminer, je lui ai demandé le montant de la facture pour le payer.Il m'à dit que je n'avais rien à régler qu'il envoyait la facture à la GMF.Et tout à été réglé en moins de 02H00 entre le moment de mon appel et le départ du serrurier.
Donc, j'ai été très satisfait.C'était le premier sinistre Habitation depuis 40 ans.
Je suis assuré sans franchise.Je paie bien entendu un peu plus cher, 30€ de plus par an qu'avec une franchise, mais en ce qui concerne les assurances, je préfère payer un peu plus cher mais en étant bien garanti.
Après ce sinistre, j'ai déménagé et l'appartement dans lequel je suis maintenant, n'à pas de poignée, juste la serrure.Et je me suis par deux fois retrouvé enfermé sur le palier.J'ai donc contacté la GMF et ils m'ont envoyer un serrurier.Et là encore rien à payer car ils prennent en charge ce type d'incident jusqu'à 150€ par évènement.Et ce, à concurrence de deux interventions par an.
Les plus :
Rapidité dans le traitement des sinistres.
Bonnes Garanties notamment en cas de problème de serrurerie.
Perte du contenu du congélateur ( 166 € )
Les moins :
La mensualisation ( 3 €) par échéance.Evidemment, pour tous les contrats.Mais pour moi qui n'en est plus qu'un chez eux, ça me ferait un coût annuel de 36€, alors, je paie à l'année.C'est ce que je viens de faire le 1er Octobre.
Je considère que le rapport Qualité / Prix est correct.Surtout sans franchise et la prise en charge des petits soucis comme une porte qui claque.
Pour toutes mes assurances, je ne regarde pas à payer un peu plus cher si le rapport Qualité /Prix est au RDV.
Il faut savoir ce que l'on veux.Payer moins cher au risque de ne pas être remboursé ou un peu plus cher avec de bonnes Garanties.Mon choix s'est donc porté sur la dernière solution.
Comme disait le slogan d'une assurance dans ma jeunesse et dont je ne me souvient plus du nom : "L'Assurance est chère si l'on à pas d'Accident".
Voilà, ce que je pouvais dire de mon expérience avec la GMF.</t>
  </si>
  <si>
    <t>15/10/2020</t>
  </si>
  <si>
    <t>laurent-66830</t>
  </si>
  <si>
    <t>Ayant demandé la portabilité d'un contrat entreprise par l'interm du mandataire et après avoir été licencié économique, je tombe gravement malade. Je décide de faire valoir mes droits avec cette complémentaire. Or AXA me répond donc 9 mois plus tard qu'ils ne peuvent pas répondre à ma demande ! Merci de bien m'avoir prévenu de la non validité de ce contrat ! Le minimum pour un assureur ce serait d'être pour le moins honnête et surtout dire tous changements sur un contrat. Au moins ils savent gérer des portefeuilles....après l'humain !
C'est sur ils savent "réinventer leur métier"</t>
  </si>
  <si>
    <t>27/02/2019</t>
  </si>
  <si>
    <t>florence-m-113182</t>
  </si>
  <si>
    <t>pas possible de faire le devis par telephone au meme prix et la resiliation non faisable en ligne
les coptisations augmentent énormément chaque année.</t>
  </si>
  <si>
    <t>kro-99196</t>
  </si>
  <si>
    <t>Impossible à joindre et lorsque vous contacter une personne incapable de vous aider, vraiment des incompétents fuyez.....
Je ne recommande même pas à mon pire ennemi!!!!!</t>
  </si>
  <si>
    <t>25/10/2020</t>
  </si>
  <si>
    <t>cristal210-78635</t>
  </si>
  <si>
    <t>SERVICE APRES VENTE NUL</t>
  </si>
  <si>
    <t>23/08/2019</t>
  </si>
  <si>
    <t>carine-v-131106</t>
  </si>
  <si>
    <t>Nous sommes très satisfait des tarifs et de l’accueil téléphonique très important pour nous.
Rapidité de prise ne charge pour n’importe quels problème, que ce soit sur nos v&amp;véhicule ou l'habitation.</t>
  </si>
  <si>
    <t>anthony-kevin-s-111490</t>
  </si>
  <si>
    <t xml:space="preserve">La personne en charge de mon dossier fut très professionnel, rapide et efficace. elle a su répondre a toutes mes attentes, je suis  ravis d'avoir eu cette conseillère.
</t>
  </si>
  <si>
    <t>23/04/2021</t>
  </si>
  <si>
    <t>damien-b-132535</t>
  </si>
  <si>
    <t xml:space="preserve">Facile d’utilisation, devis correct au niveau des tarifs et des couvertures automobile et conducteur. J’ai entière satisfaction du service client. Je recommande </t>
  </si>
  <si>
    <t>aspi-rine-60418</t>
  </si>
  <si>
    <t>très difficile à joindre. Ne répondent pas aux mails . Service communication proche du zéro</t>
  </si>
  <si>
    <t>doromag-101201</t>
  </si>
  <si>
    <t xml:space="preserve">adhérente depuis une vingtaine d'années à la maif, aucun accident responsable, aucun sinistre responsable; je viens d'être victime d'un chauffard, mon véhicule est déclaré irréparable, le dédommagement proposé par l'expert est ridicule, la valeur du véhicule sous-évaluée; l'expert "indépendant" ne défend absolument pas mes intérêts, il établi une expertise sans avoir pris la peine de consulter la carte grise du véhicule ni les pièces qu'il a pourtant demandé et que je lui ai fait parvenir par mail : factures + pv de contrôle technique datant d'il y a 2 mois, avec zéro défaut; la maif me propose une contre-expertise dont les frais seront en partie à ma charge (!) premièrement on m'indique le prix de cette expertise à 200€, au second coup de fil le prix monte à 300€ ; j'envoie le dossier à la maif , j'y joins les photos du véhicule, en espérant que l'expert désigné par la maif établira une expertise en tenant compte des éléments autres que l'expertise du premier expert; très déçue à ce stade de la gestion de ce sinistre; </t>
  </si>
  <si>
    <t>09/12/2020</t>
  </si>
  <si>
    <t>godard-delumeau-f-113272</t>
  </si>
  <si>
    <t>Je suis plutôt satisfait du service malgré la difficulté à trouver mon véhicule et les erreurs faites par le conseiller en ligne lors de la souscription.</t>
  </si>
  <si>
    <t>arnaud-h-121971</t>
  </si>
  <si>
    <t>J'aurai aimé une baisse du tarif au vu de l"année de mon véhicule. Les années passent mais le tarif de baisse pas , même avec un bonus confortable, c'est bien dommage.</t>
  </si>
  <si>
    <t>clive-t-106406</t>
  </si>
  <si>
    <t xml:space="preserve">J'ai eu un accident qui était de ma part pas ma faut mais vous avez décidé qu'il était 50/50.. Donc le coût pour les réparations sont très lourd pour moi </t>
  </si>
  <si>
    <t>cyril-pruvot-124067</t>
  </si>
  <si>
    <t xml:space="preserve">L assurance fait tout pour ne pas payer en cas de sinistre je suis chez eu avec 5 contra cela depuis 20 ans et compte bien vite les quitter il ne reçoive pas les papier envoyer et ne lise pas vos mail je suis plus que déçu et ne vous recommande pas cette assurance  à bonne entendeur  </t>
  </si>
  <si>
    <t>chanchan-79002</t>
  </si>
  <si>
    <t xml:space="preserve"> je n'ai jamais eu de probleme</t>
  </si>
  <si>
    <t>06/09/2019</t>
  </si>
  <si>
    <t>sabineg-58960</t>
  </si>
  <si>
    <t>Quand on veut quitter cette assurance pour cause de l'envol des tarifs de 200 €  tarifs en hausse normale pour eux alors qu'il n'y a eu aucun accrochages et a 50% de bonus et bien c'est un festival d'incompetances ... courriers perdus . règlements perdus . Axa des tarifs qui augmentent sans raisons et un sav déplorable .</t>
  </si>
  <si>
    <t>chabane--a-129469</t>
  </si>
  <si>
    <t>C'est pas professionnel des tous il reselie le contrat sans avoir même des informations je suis reselie en 2 fois je sais même pas ci quoi le problème même pas un apelle pour expliquer le problème</t>
  </si>
  <si>
    <t>guellec-c-127814</t>
  </si>
  <si>
    <t>Je suis satisfaite du service (qualité d'écoute et de conseil de la téléconseillère, facilité de contractualisation) Le positionnement tarifaire pour un jeune conducteur est également attractif</t>
  </si>
  <si>
    <t>laurence-102443</t>
  </si>
  <si>
    <t xml:space="preserve">Je trouve ma mutuelle très chère car calculée sur l'indice du salaire
Il est retenu un forfait en plus sur chaque paiement ça fait double peine.. 
Dans mon entourage, des amis pour une même configuration familiale paient entre 35 et 50 %en moins ??? 
</t>
  </si>
  <si>
    <t>11/01/2021</t>
  </si>
  <si>
    <t>thibault-d-135100</t>
  </si>
  <si>
    <t>Je suis satisfait du service qui de plus a un site très bien conçu au niveau UI/UX.
Prix défiant toute concurrence mais toujours un peu cher pour un nouveau conducteur.</t>
  </si>
  <si>
    <t>aube-122983</t>
  </si>
  <si>
    <t xml:space="preserve">Bonjour, 
la GMF couvre mon dommage catastrophe naturelle (sècheresse), j'en suis très heureux.
Merci la GMF j'encourage de s'assurer chez eux à 100%.
Un interlocuteur est toujours présent!
</t>
  </si>
  <si>
    <t>popol-94872</t>
  </si>
  <si>
    <t>Rapport qualité prix je suis satisfait, j'ai pu adapter ma couverture en fonction de mes besoins et j'ai surtout été bien conseiller . J'espère que les tarifs ne vont pas augmenter de façon exagérée .</t>
  </si>
  <si>
    <t>fabienne--t-105568</t>
  </si>
  <si>
    <t>on ne peut jamais vous laisser de mail parce que les dossiers proposés dans les choix de sélections sont les anciens contrats ou devis qui restent toujours mentionnés dans les dossiers alors qu'ils sont périmés depuis plus d'un an. Il serait bien de pouvoir les supprimer 
merci</t>
  </si>
  <si>
    <t>alexandre-l-131279</t>
  </si>
  <si>
    <t xml:space="preserve">Très satisfait de votre sercice super réactif je recommande vivement ce service d'assurance très bonne qualité du service je suis très contente de cette assurance </t>
  </si>
  <si>
    <t>karamoko-96646</t>
  </si>
  <si>
    <t xml:space="preserve">SI je pouvais donner zéro j l'aurai fait. entre la majoration, les avenants, suit à  un changement d'adresse les calculs erronés pour te rembourser le trop perçu. 
il n'existe pas pire. ah si il te facture aussi un assemblé factices qui te sert a rien bref ca ma degouter de voir cette machine faire du fric sur le dos des passionné de la moto et plus jamais ca. </t>
  </si>
  <si>
    <t>25/08/2020</t>
  </si>
  <si>
    <t>constance-96867</t>
  </si>
  <si>
    <t xml:space="preserve">Une assurance comme toutes les autres qui favorisent les 50 50 pour les sinistres pour mettre un maximum de Malus. 
Avec un délais de traitement de dossier long sans avoir 2 personnes au bout du fil qui vous disent la même choses </t>
  </si>
  <si>
    <t>cocureau-s-131858</t>
  </si>
  <si>
    <t xml:space="preserve">Toutes mes questions ont trouvées une réponse.
Très bien, satisfaisant
Excellent accueil et tout à été très clair et bien expliqué.
Aussi je renouvelle ma confiance </t>
  </si>
  <si>
    <t>raymondo642-75789</t>
  </si>
  <si>
    <t>échange fait ce jour avec Nadège  personne trés à l'écoute aimable donne toutes les explications</t>
  </si>
  <si>
    <t>10/05/2019</t>
  </si>
  <si>
    <t>pommeapi92-51699</t>
  </si>
  <si>
    <t>nous avons eut un dégât des eaux dans une résidence inoccupée ( rupture d'une canalisation dans la rue ) en janvier 2016 et la Macif nous refuse toute aide , nous sommes client chez eux depuis plus de 30 ans avec des cotisations d'environ 200€ / an !
les réparations s'élevant à 13000€</t>
  </si>
  <si>
    <t>26/01/2017</t>
  </si>
  <si>
    <t>verres-l-114530</t>
  </si>
  <si>
    <t xml:space="preserve">LA CLAUSE SUR LES JEUNES CONDUCTEURS EST ASSEZ ABUSIVE ET PAS MENTIONNEE DANS LE DEVIS.
ELLE POURRA POUR CERTAINS ETRE CONSIDEREE COMME ETANT DOLOSIVE. </t>
  </si>
  <si>
    <t>b1719-67948</t>
  </si>
  <si>
    <t>le 22/07/2018 mon véhicule a était incendié ( acte de vandalisme) aujourdhui le 22/10/2018 ( 3 mois après ) toujours aucune propositions quand jappel la personne qui s'occupe de moi elle me raccroche au nez plus de 10 fois en 1 semaine sans même répondre, quand je l'appel avec un autre téléphone elle répond du premier coup puis me dit que en 3 mois elle n'a pas eu le temps de lire mon dossier il sont tout simplement incapable ça veut jouer les grande assurance mais ce n'est qu'une vitrine .</t>
  </si>
  <si>
    <t>22/10/2018</t>
  </si>
  <si>
    <t>caro85-102650</t>
  </si>
  <si>
    <t xml:space="preserve">Parce qu'il faut mettre 1 étoile sinon je mettrai 0!!!!
En 16 ans que je suis à mon compte et que j'ai dû me faire hospitalier pour la 1ère fois que j'ai dû avoir 1 mois d'arrêt. Cela fait 1mois et demi que je n'ai toujours pas touché a mes indemnités journalières . Ils sont injoignables au téléphone et en plus ça coûte une blinde de les appeller! 3 semaines pour avoir une réponse par un médecin conseil pour vous redemander un papier qu'ils ont eu déjà auparavant ! Bref, des branquignolles!!!NUL, A FUIR ! !!je ne sais même pas si je vais toucher qqchse et si oui quand. Ils se renvoient la balle tout le temps quand vous réussissez à les avoir ou ils ne savent pas c'est pas eux qui décident!en gros faut pas tomber malade ou être en arrêt de travail avec eux!!!
</t>
  </si>
  <si>
    <t>14/01/2021</t>
  </si>
  <si>
    <t>dalia-137505</t>
  </si>
  <si>
    <t>Une assurance a éviter ! Un service commercial qui vous vend monts et merveilles mais la réalité est tout autre.
Une équipe non professionnelle, qui change de discours à chaque échange téléphonique. 
Un sinistre dont je n'étais pas responsable : voiture cédée,  on me confirme le remboursement de ma carte grise et on me confirme une semaine après (après les avoir relancer 4 fois pour être indemnisée pour ma voiture et carte grise) que finalement ca ne serait pas remboursé.
Sans parler des longues attentes, et d'être avec un(e) interlocuteur(rice) différents à chaque échange ! Vous n'aurez rien si vous ne dépensez pas du temps, de l'argent et de l'énergie !
Elle ne vous facilitera pas la vie</t>
  </si>
  <si>
    <t>15/10/2021</t>
  </si>
  <si>
    <t>michel-a-121928</t>
  </si>
  <si>
    <t>j'ai trouvé cette procédure extrêmement simple et pratique pour la souscription d'un contrat et pour recevoir les justificatifs.
Rien de plus à ajouter</t>
  </si>
  <si>
    <t>rosa-milhazes--133592</t>
  </si>
  <si>
    <t>Bonjour,après quelques mails relances j étais finalement remboursé,peut-être coencidence avec les vacances d été donc service moins réactif mais j étais remboursé dans l intégralité en septembre pour les soins de mon animal opéré d urgence en juillet .</t>
  </si>
  <si>
    <t>eloise-89129</t>
  </si>
  <si>
    <t xml:space="preserve">A fuir. Suivi médiocre des dossiers. AXA cherche toujours une raison pour ne pas mettre en oeuvre une garantie. Exige une quantité déraisonnable de documents pour ouvrir un dossier. La plateforme de suivi n'est pas basée en France et la formation des agents est visiblement insuffisante (j'ai du expliquer ce qu'est une VMC par exemple). La garantie 'défense-recours' est encore pire, AXA ne fera aucun effort pour vous défendre, se contentera de faire un mail pour un recours amiable et acceptera sans discuter les arguments de la partie adverse (qui seront évidemment toujours en votre défaveur). </t>
  </si>
  <si>
    <t>24/04/2020</t>
  </si>
  <si>
    <t>claire-c-108724</t>
  </si>
  <si>
    <t>j'ai eu toujours confiance à la GMF .L'accueil dans mon agence de LAON a toujours été professionnel.
J'ai eu plus de difficultés avec le telephone.
Bonne soirée</t>
  </si>
  <si>
    <t>claude-g-117327</t>
  </si>
  <si>
    <t xml:space="preserve">Assez clair dans le descriptif, tarif moins élevé que d'autres. Après comparaison je pense que la proposition que j'ai choisie doit me donner satisfaction. </t>
  </si>
  <si>
    <t>ncc-99163</t>
  </si>
  <si>
    <t>La Maif n'est plus ce qu'elle était!!Plus du tout à la hauteur!!! Des prix exorbitants en comparaison aux autres!
Assurée depuis plus de 30 ans chez eux...jamais de sinistre remboursé
Aujourd'hui, l'assureur préfère payer des pseudos experts, plutôt que d'indemniser ses assurés!
Dans ma résidence principale, dégâts des eaux , réparations prises en compte comme si j'étais l'artisan qui allait remplacer le place peinture et sol!!Nécessité de 2 expertises, impossible de vivre en attendant dans la maison .Dégats en Avril, réglés en Juin!
Par ailleurs, Catastrophe naturelle sur Nice en sérénité indemnisation 0 euro!!</t>
  </si>
  <si>
    <t>sejay-77697</t>
  </si>
  <si>
    <t>Etant actuellement chez axa assurance auto, je tiens a le dire en GROS que ce n'est pas du tout une bonne assurance, j'ai un véhicule actuellement en réparation, malgré que j'ai le pack qui me permet d'avoir un véhicule de prêt en cas de sinistre, axa ne veut pas du tout me donner un véhicule de prêt.
Assurance a EVITER absolument et encore j'en passe mais ce serait trop long a écrire, car ils sont de mauvaise foi.</t>
  </si>
  <si>
    <t>19/07/2019</t>
  </si>
  <si>
    <t>auvergne6363-57724</t>
  </si>
  <si>
    <t>Bénéficiaire d'un contrat d'assurance Vie, j'ai du attaqué la compagnie Swiss-Life en justice pour obtenir mon argent. 4ans après j'ai enfin eu mon argent. C'est scandaleux !!ne vous laissez pas avoir par cette compagnie dont les services internes ne communiquent jamais avec vous.</t>
  </si>
  <si>
    <t>pasdemaaf-55641</t>
  </si>
  <si>
    <t>En trois ans 3 sinistres: une panne de congélateur suite à une tempête 100€ remboursé. une vitre cassée 120€ pris en charge et une demande de prise en charge de facture pour recherche de fuite d'eau et on vous annonce que vous êtes un trop grand sinistré. je leur verse 45€ tous les mois depuis 3 ans ce qui revient à 1700€ : il me rembourse même pas 300€ de dégâts et me dégage.</t>
  </si>
  <si>
    <t>26/06/2017</t>
  </si>
  <si>
    <t>byby-75848</t>
  </si>
  <si>
    <t>A conseiller malgré le disfonctionnement sur la page Web</t>
  </si>
  <si>
    <t>13/05/2019</t>
  </si>
  <si>
    <t>client--138599</t>
  </si>
  <si>
    <t>Je suis assuré chez eux depuis plusieurs dizaines d’années . Je paie plusieurs milliers d’euros d’assurances chez eux .
Mon carrossier déclare un sinistre bris de glace comme il le fait habituellement .
La Macif ne désigne pas d’expert et un mois après , une fois que les réparations ont été faites, ils annoncent vouloir voir le véhicule… avant travaux !!!
Tout cela pour ne pas payer .</t>
  </si>
  <si>
    <t>30/10/2021</t>
  </si>
  <si>
    <t>seb17-79414</t>
  </si>
  <si>
    <t xml:space="preserve">Recherche victimes assurance emprunteur.
Nous signons ces contrats sans réelles visibilités à terme des tenants et aboutissants des prestations.
La supercherie se révèle lors de problèmes de santé.
Il est important de dénoncer le plus largement ces abus qui met énormément de familles en difficulté, ces contrats sont pourtant sélectionnés (avec soin ? Ou pas...) par votre banque 
N'hésitez pas à me contacter.
Il faut dénoncer cela contact@banques-infos-recours.fr
Je suis moi-même en procès avec cnp et crédit agricole.
 </t>
  </si>
  <si>
    <t>ammalice-78251</t>
  </si>
  <si>
    <t>Ne jamais vous assurer chez eux malgré leurs cotisations qui peuvent être attractives.
Leur numéro de tel est surtaxé.
Ils ne répondent JAMAIS aux mails.
J ai du réclamer mon attestation d assurance car ils ne me l'envoyaient pas.
Je n ai jamais pu connaitre la date de mon prélèvement malgré ma demande faite 6 fois par mail.Ils ont fait le prélèvement le 12.07 pour une échéance le 06.08
Impossible de trouver sur mon compte dans leur site le contrat qu'on a souscrit.
Je n ose même pas imaginer un sinistre avec cette compagnie...</t>
  </si>
  <si>
    <t>cristina-93156</t>
  </si>
  <si>
    <t>Dans le cadre de la succession de ma mère, je suis une des bénéficiaires d'une assurance de vie Cardif. Cardif reconnaît avoir reçu, depuis janvier 2020, tous les documents concernent au dossier de succession. Mais presque tous les bénéficiaires n'avons pas encore reçu le versement des capitaux décès. Il m'assure «mettre tout en œuvre afin de solder au plus vite ce dossier» mais ils ne résolvent toujours rien!</t>
  </si>
  <si>
    <t>03/07/2020</t>
  </si>
  <si>
    <t>coco-54850</t>
  </si>
  <si>
    <t>impossible de joindre par telephone ou mail une demande de changement de compte depuis 4 mois sans réponse  de la part de l'olivier incorrect  une foi le contrat signé ils se moque des clients  .
je les quitte a la fin de mon contrat annuelle   ouf</t>
  </si>
  <si>
    <t>22/05/2017</t>
  </si>
  <si>
    <t>olivier7563-85447</t>
  </si>
  <si>
    <t>parfait, assurance très bien excellente.
Contact facile par mail et par téléphone</t>
  </si>
  <si>
    <t>03/01/2020</t>
  </si>
  <si>
    <t>anne-79052</t>
  </si>
  <si>
    <t>Bonjour, Jusqu'à présent j'étais une cliente très satisfaite. Mais actuellement ce n'est plus le cas. Ma fille a eu un accrochage le 03/08/2019 : elle a doublé un vélo pour pouvoir tourner à gauche ; sur la route,  il n'y avait qu'un véhicule derrière elle qui lui est rentré dedans. Tous deux sont assurés à la Maif. Entre le 5 et le 27/08, nous avons contacté à 5 reprises la Maif. On nous dit que l'on allait nous rappeler : il n'en est rien. J'ai toujours rappelé ; on m'a dit que ma fille était en tort ; lorsque j'ai demandé le motif, à chaque fois le motif invoqué était différent, et jamais explicite : les explications sont floues, quand on demande une explication on est systématiquement mis en attente, si bien que la discussion est  très difficile. Le 28/08, ma fille et moi sommes allées en délégation. La conseillère nous a dit se charger de demander à un militant de nous recontacter dans les plus brefs délais. Le 30/08, j'ai envoyé un courrier resté sans réponse. Bref, à ce jour, personne ne nous a contactées que ce soit par téléphone ou par courrier. Je ne comprends pas ; nous,  qui depuis plus de 35 ans avions de bonnes relations, tombons des nues. Je ne sais plus à qui je dois m'adresser ; j'aurais souhaité être reçue avec ma fille pour enfin pouvoir comprendre et surtout être écoutée. On a tout à gagner en se faisant confiance , dit le slogan de la MAIF, je ne demande que ça !</t>
  </si>
  <si>
    <t>08/09/2019</t>
  </si>
  <si>
    <t>luffy67500-75549</t>
  </si>
  <si>
    <t xml:space="preserve">Étant client chez vous depuis 3 ans pour 2 voitures et l'habitation maintenant tout ce passe très bien. Malheureusement premier accrochage cette semaine non responsble ( à l'arret à un cedez le passage et la voiture derrière n'a pas freiné ) Tout c'est très bien passé, contact très rapide, dossier ouvert est expertise photo le même jour dans un garage agrée ( très bon point cela ) très étonné de votre rapidité malgrés les prix agressifs que vous proposez.
Mais, il y a un mais. Après tour les avis que je vois sur ce site j'ai peur d'être résilié à cause de cet accrochage. Et d'etre fiché AGIRA alors que j'ai rien fais de mal. Quand je vois toute les personnes résilié ca me fait un peu peur.
Après je pense aussi que cela ne reflète pas forcement la réalité. Il y a toujours plus de personne insatisfaite qui laisseront des commentaires sur ce site que des personnes qui n'ont rien à vous reprocher. </t>
  </si>
  <si>
    <t>02/05/2019</t>
  </si>
  <si>
    <t>marine-94139</t>
  </si>
  <si>
    <t xml:space="preserve">Vous avez résilié mon contrat auto alors que j'avais demandé à l'un de vos conseillers d'attendre que je trouve une nouvelle voiture pour rester chez vous avant de résilier mon contrat. </t>
  </si>
  <si>
    <t>15/07/2020</t>
  </si>
  <si>
    <t>cricri-93603</t>
  </si>
  <si>
    <t>pourquoi des frais de dossier alors que je suis cliente chez vous depuis quelques années.
ne peuvent il pas être offert .
cordialement 
Madame paprocki</t>
  </si>
  <si>
    <t>09/07/2020</t>
  </si>
  <si>
    <t>marc-david-123517</t>
  </si>
  <si>
    <t>Je suis satisfais du service. Rapide et efficace. Toutes les réponses aux questions posées sont claires et bien expliquées. L'accueil en agence est agréable et rapide.</t>
  </si>
  <si>
    <t>danielle45-53681</t>
  </si>
  <si>
    <t>bonjour depuis  la 05 02 2017 j ai ete contacter pour un remboursement a ce  jour toujours rien etant abonner a que choisir et 60 million de consommateur je vais mettre ca dans leurs mains que des marchand de reves cette assurance</t>
  </si>
  <si>
    <t>29/03/2017</t>
  </si>
  <si>
    <t>maya-96905</t>
  </si>
  <si>
    <t xml:space="preserve">En 25 ans d assurance à la Macif sans aucun accident responsable je me suis fait emboutir ma voiture par le véhicule qui roulait derrière moi. Résultats pare choc cassé et système de fermeture de toit escamotable foutu. Après passage de l'expert qui conclut que le diagnostic fait avec l ordinateur du garage ne révèle pas que le problème vienne du choc, la Macif ne prendra pas en charge cette réparation (2000€) malgré que je ne sois pas responsable et de plus assuré TOUS RISQUES. Je suis dégoûtée et très déçue de cette assureur après 25 ans chez eux. Quand j'ai assuré ma voiture les agentes Macif m ont bien vendue le contrat tout risque en s appuyant sur le fait que c était un cabriolet ( toit en dur) et qu on ne savait pas ce qu'il pouvait arriver il valait mieux l assurer tout risque. Pour mieux les engraisser parce que pour prendre en charge les réparations ?? DÉGOÛTÉ
</t>
  </si>
  <si>
    <t>amandine-l-114227</t>
  </si>
  <si>
    <t>j'étais satisfaite jusqu'à ce que je déclare un sinistre qui pour moi , n'a pas été pris en charge correctement . J'ai conscience qu'il y a des experts et que tout n'es pas la faute de l'assurance mais quand même !!!!</t>
  </si>
  <si>
    <t>assure-101186</t>
  </si>
  <si>
    <t xml:space="preserve">Moi je me suis assuré chez direct assurance pensant être à la bonne adresse mais bon voila experience décevante assuré depuis deux ans maintenant la prime d'assurance a augmenté chaque année alors que aucun changement toujours le meme vehicule et pas de sinistre voila il vous attrape la premiere année mais dès la deuxième il faut se barrer </t>
  </si>
  <si>
    <t>farid-t-105344</t>
  </si>
  <si>
    <t xml:space="preserve">Je trouve que vous faites bien les choses. J'étais agréablement surpris par la qualité de votre service et le degré de professionnalisme et de compétences de vos opérateurs téléphonique. En tout cas moi ils m'ont bien aidé. bonne continuation
</t>
  </si>
  <si>
    <t>geoffroy--d-126748</t>
  </si>
  <si>
    <t>On verra au quotidien! Je viens juste de vous rejoindre!
La souscription est assez simple mais si vous voulez vous améliorer, je vous conseille de travailler encore sur la simplicité de souscription.</t>
  </si>
  <si>
    <t>felejdziak-n-107836</t>
  </si>
  <si>
    <t>Simple et pratique, bien expliqué.
J'ai connu L'olivier assurance par le bouche à oreille et je ne suis vraiment pas déçu, prix abordable pour une assurance voiture étant jeune conducteur</t>
  </si>
  <si>
    <t>wandy89-71528</t>
  </si>
  <si>
    <t>Bonjour a tous je viens ici pour vous informé de mon mécontentement envers l assurance Matmut que je déconseille vivement en cas de sinistre celle ci fera tous pour faire traîner les choses et ne pas vous rembourser pour ma part mon véhicule a prit feu en roulant l expert a conclu à un défaut électrique et le véhicule étant irréparable il a donné sa valeur actuelle sur le marché soit 25000euros à la Matmut cette voiture que j ai acheté 1 ans plus tôt au prix de 29800euro il refuse de m indemniser pour divers justificatifs d achat provenance des fond facture ect quand j ai assuré mon véhicule tout risque  par téléphone car sa fait 10ans que je suis chez eux il m ont juste demandé des infos sur la carte grise et m ont envoyé par la poste ma carte verte avec trois feuilles qui récapitule mes garanties jamais lors de la souscription de contrat un agent assurance vous demande un quelconque document sur les modalités d achat du véhicule relevé de compte facture justificatif de prêt ect je met donc en garde toutes personnes qui ai un véhicule acheter avec des économies personnelles ou autres qui vous poserait problème de justifier lors d un sinistre fuyez la Matmut  AMF</t>
  </si>
  <si>
    <t>21/02/2019</t>
  </si>
  <si>
    <t>liafloralis-103525</t>
  </si>
  <si>
    <t xml:space="preserve">A FUIR !!!!!!
Zéro professionnalisme!!! Nul ils sont mais BI-DONS ?? 
Ils n’ont pas prélevés mes cotisations courant 2020 car souci avec mon RIB
Personne pour m’avertir du problème, même pas un coup de fil RIEN !! Non c’est tellement mieux de faire les choses en douce en derrière ...
GROS MENDONGE :  ils ont SOIS DISANT envoyé 8 courriers pour m’avertir que le dossier partait au contentieux que je n’ai JAMAIS RECUS !! Depuis quand on envoie des courriers aussi importants sans accusés de réception ???!!!!!! 
Étant cliente depuis des années ils n’ont rien fait pour me garder parmi leurs adhérents ! J’ai du débourser une certaine somme pour rattraper  leur mauvais travail . Des ânes !
Pourquoi ne m’ont ils pas appelés pour m’expliquer le problème au lieu de me faire un coup pareil dans le dos !!!
Le pire dans tout ça c’est qu’en plus de la somme à rembourser, ils nous radient sans rien dire !!! Bravo très pro ??
Et alors le pompon c’est lorsque vous tombez sur le service juridique de cette mutuelle , des bouffons ...
Vraiment grosse déception je déconseille vivement !!!!  
</t>
  </si>
  <si>
    <t>gerald-n-107843</t>
  </si>
  <si>
    <t>Extrêmement satisfait de mon interlocuteur pour ses explications, sa disponibilité et sa conscience professionnelle.
Agréablement surpris par les tarifs appliqués.
Je ne peux que recommander cette compagnie d'assurances.</t>
  </si>
  <si>
    <t>celine-l-130983</t>
  </si>
  <si>
    <t xml:space="preserve">Je suis assez satisfaiste. C’est juste dommage que je n’ai pas réussi à avoir un conseiller pour m’accompagner dans la démarche de souscription . Il m’a fallut pas mal de temps avant de voir que je devais changer le paiement en une ou plusieurs fois . Mais niveau tarifs je suis gagnante donc j’espère   que la qualité de service suivra </t>
  </si>
  <si>
    <t>alexandra-h-134114</t>
  </si>
  <si>
    <t>SATISFAIT rapide et efficace, très bonne garanties , rapport qualité prix.
nous sommes 2 a être assurer chez amv ont et très satisfait
tous nos amis sont assurés chez vous et tres satisfaits</t>
  </si>
  <si>
    <t>derbesy-d-136035</t>
  </si>
  <si>
    <t>je suis satisfaite du service cela est simple et pratique , c' est la première fois que j'utilise une assurance cent pour cent  en ligne et j'espère continuer a être satisfaite de vos services.</t>
  </si>
  <si>
    <t>severine--139300</t>
  </si>
  <si>
    <t>La GMF sous-traite ses prestations d’assistance à Fidelia, les opérateurs, difficilement joignables (18 min d’attente en moyenne pour une prise en charge mardi 2 novembre), ne connaissent pas vos options et vous proposent a minima la prise en charge ECO !
Aucune information claire sur les détails de la prise en charge, pas de lien dans le suivi du dossier et quand ils sont face à leur incompétence à répondre, ils menacent de raccrocher. Sur les 8 opérateurs joints le même jour, seule une personne a présenté ses excuses pour la gestion déplorable du dossier.
A fuir !</t>
  </si>
  <si>
    <t>rui-107072</t>
  </si>
  <si>
    <t xml:space="preserve">Parfait. C'est un bonheur de être avec Olivier assurance... J'ai 2 voiture assurer chez eux et ça ce passe très bien. Ils ta 8 mois j'ai eu un accident est toute été résolu facilement. </t>
  </si>
  <si>
    <t>jeremy-a-138335</t>
  </si>
  <si>
    <t>Je suis satisfait par cette mutuelle les prix sont intéressants et le rapport soin/prix l'est également
Je recommande sans hésiter à ceux qui cherchent une nouvelle mutuelle</t>
  </si>
  <si>
    <t>clafouti-46088</t>
  </si>
  <si>
    <t xml:space="preserve">Bonjour,
Santiane n a pas respecté le geste commercial qui était prévu dès réception de ma facture acquittée et donc à fuir absolument ( cétait juste pour que je retire mon précédent commentaire)
Cordialement   </t>
  </si>
  <si>
    <t>daniel-t-125880</t>
  </si>
  <si>
    <t>très satisfait du service 
site très pratique  d'utilisation
en plus un prix correct pour une assurance qui couvre ce que souhaitais pour mon véhicule Ford Kuga</t>
  </si>
  <si>
    <t>frederic--a-128989</t>
  </si>
  <si>
    <t xml:space="preserve">Je suis satisfait du tarif et des protections et garanties proposées ainsi que de l’assistance. Votre assurance m’a été fortement conseillé par un ami et j’en suis content. Merci à vous. Cordialement </t>
  </si>
  <si>
    <t>22/08/2021</t>
  </si>
  <si>
    <t>pascals-60112</t>
  </si>
  <si>
    <t xml:space="preserve">Avec cette compagnie, le nom de filou n'est pas usurpé, cette compagnie dégrade complètement ses garanties. Nous avions souscrit un contrat auto par mail puis par téléphone  pour le véhicule de mon épouse une 207. Il vous explique les grandes lignes sur le contrat que vous souscrivez. Ce dernier a subi un incendie, il ne nous rembourse pas alors que sur le contrat il est stipulé incendie, après maintes relances, nous avons enfin LEURS conditions générales et là grande surprise, notre voiture n'est pas remboursé car le vandalisme n'est pas pris en charge. je leur ai demandé de me prouver que l'incendie est dû à un acte de vandalisme comme à l'expert d'ailleurs et pas de réponse des deux parties car la seule chose qui puisse prouvé est une expertise scientifique. Nous n'allons pas en rester là et allons porter l'affaire auprès des autorités compétentes. Assureur a éviter, aller plutôt voir votre courtier local au moins, lui, il est compétent... </t>
  </si>
  <si>
    <t>02/01/2018</t>
  </si>
  <si>
    <t>bern-80005</t>
  </si>
  <si>
    <t>Très mauvaise expérience chez l'Olivier Assurances !!! Je ne les recommanderai pas ! J'ai été résilié du jour au lendemain pour un faux prétexte. Une grosse erreur de la commerciale .</t>
  </si>
  <si>
    <t>lolojen-103361</t>
  </si>
  <si>
    <t>Remboursement rapide
Réactivité en Cas de probleme
Très bon service adherent
Prestation de remboursement satisfaisante et service téléphonique réactif et efficace</t>
  </si>
  <si>
    <t>28/01/2021</t>
  </si>
  <si>
    <t>delrieu-alauzy-115329</t>
  </si>
  <si>
    <t xml:space="preserve">Service très satisfaisant rapide et économique par rapport aux assureurs conventionnels. Je recommanderai l'Olivier assurance sans problème. Reste à voir en cas de sinistre.
</t>
  </si>
  <si>
    <t>viny63-72404</t>
  </si>
  <si>
    <t>En globalité prise en charge rapide en cas d'accident,constat, expert et remboursement ok même dans un garage non affilié.</t>
  </si>
  <si>
    <t>04/04/2019</t>
  </si>
  <si>
    <t>stephanie-f-107147</t>
  </si>
  <si>
    <t xml:space="preserve">Je suis satisfaite des services . Prix très attractifs. Service client impeccable. A quand l'assurance maladie dans vos offres proposées au client??? </t>
  </si>
  <si>
    <t>nino33-36765</t>
  </si>
  <si>
    <t>Encore une expérience catastrophique avec la macif.
Aujourd'hui j'ai reçu 14 courrier sous plis et identique de la part de la macif pour m'indiquer que le mandat était bien mis en place.
Ma cotisation est 147 euros pour tout mes contrats.
Suite à une erreur de leur part ils ont présenté un prélèvement sur mon compte de 265 euros que j'ai évidemment rejeté.
Après les avoir contacté, on m'indique que suite à ce rejet je vais recevoir un courrier me demandant la cotisation annuelle à régler.. plus de 1200 euros.
Pourtant je les ai contacté à plusieurs reprises avant ce rejet pour être sur qu'il n'y aura pas d'erreur sur le montant qui sera prélevé en août... évidemment à chaque appel un conseiller différent et un discours différent pour au final me mettre dans une situation difficile.
Je conseille vraiment aux personnes de ne pas souscrire des contrats à la Macif qui met en en avant des valeurs humaines et bla bla bla pour se différencier des concurrents.
Ils sont pires que les autres, ils ne sont pas à l'écoute de leur sociétaire et ils se moquent de nous.
Le dernier conseiller que j'ai eu au téléphone m'a pris de haut, il ne disait plus rien au téléphone, il attendait simplement que je mette moi-même fin à la communication.
Suite à la crise sanitaire pareil, ils n'ont même pas pris la peine de rembourser une partie des cotisations prélevées pendant les 3 mois de confinement, aucun geste en faveur de leur sociétaire c'est honteux avec l'argent qu'ils brassent sur notre dos.
Bref Macif à bannir je vous le conseille.</t>
  </si>
  <si>
    <t>benjamin-l-106079</t>
  </si>
  <si>
    <t xml:space="preserve">le service à baissé 
on m'envoi un mail concernant une assurance résilié je ne comprend plus 
je pense meme résilier le dernier contrat chez direct assurance au vu du manque de service 
</t>
  </si>
  <si>
    <t>ricobnl-87883</t>
  </si>
  <si>
    <t>Service client mediocre, portail internet peu attractif... Toutes les démarches sont longues et fastidieuses.</t>
  </si>
  <si>
    <t>03/03/2020</t>
  </si>
  <si>
    <t>jack-90283</t>
  </si>
  <si>
    <t>Premiere annee de contrat avec cette compagnie.l'accueuil y est tres chaleureux et mon interlocutricetres proffessionnelle et surtout a l'ecoute de ma demande Je conseille MACIF a tous</t>
  </si>
  <si>
    <t>didier--93222</t>
  </si>
  <si>
    <t xml:space="preserve">je suis satisfait des Tarifs et service étan déjà client chez Direct Assurance 
,le cite est simple et bien detaille. facile de faire des devis. Reponce rapide </t>
  </si>
  <si>
    <t>06/07/2020</t>
  </si>
  <si>
    <t>roland-yves-81622</t>
  </si>
  <si>
    <t>Attention, n'ayez surtout pas d'accident avec cette compagnie : exemple : 20 ans sans le moindre accident, bonus 50%, puis en 2 ans 2 bris de glace et peinture éraflée. Cette charmante compagnie m'a virée. On vous garde tant que vous n'avez pas "d'accident" même insignifiant !!</t>
  </si>
  <si>
    <t>isabelle-f-125795</t>
  </si>
  <si>
    <t>Je suis satisfait du service. Cela nous évite de devoir prendre rendez-vous et venir chercher des documents dans l'agence GMF. C'est plus pratique et plus rapide.</t>
  </si>
  <si>
    <t>c13m3n7-94061</t>
  </si>
  <si>
    <t>Assureur à fuir absolument. 
Les tarifs peuvent paraître attractifs tant que vous n'avez pas besoin de les solliciter mais pour la qualité du service rendu on ne devrait même pas avoir à payer...
Le service client est déplorable, incapable de vous répondre correctement et de suivre votre dossier convenablement. N'attendez aucun effort de leur part pour exercer la moindre démarche. De plus, vous n'aurez jamais le même interlocuteur et en cas de requête on vous répondra toujours que ce n'est pas possible.
Malgré votre Bonus qui augmente, le tarif vas lui aussi augmenter chaque année sans raison
Les franchises sont à un niveau exorbitant et suffisent dans la plupart des cas à payer les réparations</t>
  </si>
  <si>
    <t>14/07/2020</t>
  </si>
  <si>
    <t>jpr-51384</t>
  </si>
  <si>
    <t xml:space="preserve">Malgré ma demande de radiation faite en bonne et due forme  il m'est impossible d'obtenir un certificat de radiation de la part de Cégéma, 
ils ont prélevé ma cotisation de janvier et après 10 coups de fils j'ai pu obtenir un courrier indiquant qu'ils allaient me rembourser en février.
</t>
  </si>
  <si>
    <t>jc2-89849</t>
  </si>
  <si>
    <t xml:space="preserve">les faits rien que les faits:
Devant les augmentations successives de mes cotisations j'ai exprimé mon fort mécontentement (appel téléphonique le 29 avril 2020) avec les arguments suivants :
Rappel pour BMW:
- 2018/2018: cotisation de base fixée à 619.25€
- 2018/2019: 699.76€ soit 80.51€ d'augmentation (+11%)
- 2019/2020: 776.62 soit 76.86€ d'augmentation (+9.9%)
- 2020/2021: 846.81 soit 70.19€ d'augmentation (+ 8.3%)
ce qui donne au total 227.56€ d'augmentation depuis l'origine (+26.8%).
Questions :
-	Comment expliquez-vous cela ? :
La réponse obtenue : cela serait dû à un coefficient sur le nombre d'accidents dans le département ou je réside…
Cette explication me semble hasardeuse et bien loin des statistiques officielles sur le sujet
Merci à la personne au bout du fil le 29 avril dernier qui a consenti à un geste commercial de 50€ (on ne ferait à moins..) pour la BMW en raison de la situation sanitaire de notre pays.
pour le reste n'ayant toujours pas de raisons à cet état de fait je laisse à chacun le soin de juger.
extrait du courrier envoyer à Direct Assurance 
personnellement depuis j'ai choisi un autre assureur et j'ai économisé un peu plus de 200€.
</t>
  </si>
  <si>
    <t>22/05/2020</t>
  </si>
  <si>
    <t>bob-89899</t>
  </si>
  <si>
    <t>Assurer depuis plusieurs annéés à la MACIF, je viens de tomber en panne avec mon scooter, et j'ai eu la bonne surprise qu'il ne pourrait aps me dépanner car je suis à moins de 50km de cmon domicile...  Biensur le jour ou j'ai pris l'assurance personne ne ma proposer l'option ou même une proposition autres... donc je paye 130 € par mois pour rien!! et je doit trouver une remoruqe à mes propores frais... sachez que ttes me sassurances vont etre changer dans les jours qui viennent!!! je déconseille fortement la MACIF qui est juste une entreprise à voler votre agrent!!!!</t>
  </si>
  <si>
    <t>25/05/2020</t>
  </si>
  <si>
    <t>phil-20609</t>
  </si>
  <si>
    <t xml:space="preserve">Très satisfait par Emeline, dont l'écoute, la disponibilité, la gentillesse et la compétence m'ont bien aidé pour le problème  que je rencontrais. Elle m'a apporté des éclaircissements qui se sont avéré correcte </t>
  </si>
  <si>
    <t>william95-54781</t>
  </si>
  <si>
    <t>La fidélité ça ne paie pas chez les assureurs, il faut           
changer chaque année car l'année suivante c'est plus cher que chez certains concurrents qui eux mêmes étaient plus cher que DA.
Si vous n'avez besoin de rien, tout va bien, dans le cas contraire.....
Heureusement, je n'ai besoin de rien, 20 ans sans accidents, je prends les tarifs les moins cher, je pays pour rien donc et je n'attends rien......
PAr contre le service client au Bled (Maroc) est déplorable, nullissime, ils ne comprennent rien mais savent tout mieux que les autres, c'est formidable....
Promis, je reviendrai quand l'autre sera plus cher lol sans rien attendre bien sur que foutre mon fric en l'air</t>
  </si>
  <si>
    <t>24/06/2018</t>
  </si>
  <si>
    <t>elisechloe10-67854</t>
  </si>
  <si>
    <t>Le service client est incompétent et ne parle quasiment pas français.</t>
  </si>
  <si>
    <t>morin-s-108276</t>
  </si>
  <si>
    <t>Satisfait du service pour la mise en place du contrat, prix compétitifs, accueil de qualité et rapidité de mise en œuvre. espérons que le service sera là en cas de besoin</t>
  </si>
  <si>
    <t>paul-100519</t>
  </si>
  <si>
    <t>Cela fait plus d'1 mois que j'attends un remboursement de la mutuelle MERCER. Ils sont injoignable et ne répondent à aucun courrier. Je n'ai jamais eu pire mutuelle. Dès qu'il s'agit de payer il n'y a plus personne.</t>
  </si>
  <si>
    <t>maria-isabel-s-105217</t>
  </si>
  <si>
    <t>Je suis tres satisfait de le servic et de le pris de notre asurance voiture , pour les deux voitures actuelement.
Aucune sinestre pour le moment, mais cest mieux.</t>
  </si>
  <si>
    <t>frangat13-110450</t>
  </si>
  <si>
    <t>Après avoir succombé à l'offre alléchante j'ai pu me rendre compte qu'il s'agit d'une assurance absolument inqualifiable en terme de compétence, d'abus, j'ai voulu résilié après mes premières impression, ils m'a été facturé des frais de résiliation également à la moitié de la cautisation annuelle. 
Le service client est déplorable, aucun retour, ni personne qui vous conseille, assurance à fuir</t>
  </si>
  <si>
    <t>15/04/2021</t>
  </si>
  <si>
    <t>laurent-r-134392</t>
  </si>
  <si>
    <t>PRIX COMPETITIFS
FACILITE A DEMANDER UN DEVIS
FACILITE A S ASSURER
RAPIDE
EFFICACE
ASSURE DANS L INSTANT
VRIAMENT RAVI D OU MA PRESENCE DEPUIS 11 ANS</t>
  </si>
  <si>
    <t>nathalie-c-105270</t>
  </si>
  <si>
    <t xml:space="preserve">Rapide, simple et intuitif. Prix le plus attractif du marché mais pour une meilleur protection il faut prendre des options. Maintenant reste à voir si ma cotisation ne montera pas exagérément tous les ans sans raison..... </t>
  </si>
  <si>
    <t>andre-54691</t>
  </si>
  <si>
    <t>CARDIF ass vie apparemment en liquidation ...repris par BNP / HELLO BANK ...tous irresponsables lettre rec mail  fax et mediateur n y font rien depuis 6 mois impossible de gerer 80 000 euro plus acces internet ...des veritables nuisances pour l epargnant...Cardif se defosse et  renvoi vers le service client hello bank une Emilie Ta... toujours injoignable et qui ne me rappelle jamais !!!</t>
  </si>
  <si>
    <t>15/05/2017</t>
  </si>
  <si>
    <t>ktb-71089</t>
  </si>
  <si>
    <t>Conseillère clientèle très agréable et qui a su me donner des réponses aux questions que j'avais quant au suivi de mon contrat et résoudre les problèmes que je rencontrais. merci de son professionnalisme et de son écoute attentive.c'est agréable d'etre comprise et rapidement renseigner.</t>
  </si>
  <si>
    <t>thomas-89814</t>
  </si>
  <si>
    <t xml:space="preserve">Injoignable et pas seulement en cette période de confinement 6 mois pour traiter un dossier dont je suis pas responsable 
6 moi a courir derrier eux pour savoir l'avancement du dossier on vous raccroche au nez on m'a limite insulte les interlocuteurs n'hésite pas à vous couper la parole ou à couper court cest inadmissible a éviter </t>
  </si>
  <si>
    <t>21/05/2020</t>
  </si>
  <si>
    <t>mme-fofana--101836</t>
  </si>
  <si>
    <t xml:space="preserve">J'ai envoyé 2 courriers, 2 mails, appelé 3 fois et on m'a raccroché au nez à chaque fois, on ne m'a jamais répondu et la seule fois où j'ai eu des conseillers au téléphone ils m'ont très mal parlé pour finir par me raccrocher au nez avant la fin de la conversation. </t>
  </si>
  <si>
    <t>24/12/2020</t>
  </si>
  <si>
    <t>oiseau7883-104294</t>
  </si>
  <si>
    <t xml:space="preserve">Je quitte Axa à cause du prix de leur cotisation mais je veux faire part de ma satisfaction quant à la qualité de service de cette Societé. Effectivement, j'ai eu malheureusement 2 sinistres et j'ai pu apprécier la rapidité d'exécution d'Axa tant au niveau réparation, qu'au niveau démarches en ligne, qu'au niveau entretien téléphonique. Je n'ai donc rien à redire au niveau de la prise en compte des sinistres, de la prise en charge des réparations, du remboursement. Je les quitte à regret mais cela tient uniquement à leur tarif. </t>
  </si>
  <si>
    <t>16/02/2021</t>
  </si>
  <si>
    <t>depend-52749</t>
  </si>
  <si>
    <t>Ma mère a cotisé toute sa vie pour une assurance dépendance et maintenant qu'elle en a besoin elle ne parvient pas à la percevoir de par l'incompétence de ce service totalement ignorant et je m'en foutiste</t>
  </si>
  <si>
    <t>spitz-98711</t>
  </si>
  <si>
    <t>On sait bien que la hantise des assureurs ce sont les contrats prévoyance et en particulier en cas de décès de parent, les rentes éducations des enfants jusqu'à leur 25 ans. AXA remporte la coupe pour l'incompétence de son service de gestion des rentes et pour le mépris du client. Chaque années ce sont les mêmes retards de réglement des rentes alors que l'on a transmis par courrier en temps voulu les pièces justificatives de scolarité : documents papiers perdus systématiquement de leur côté, réponses incohérentes sur le traitement du dossier - une semaine le dossier est soit disant traité, la semaine suivante la pièce n'a pas été reçue, il faut la retransmettre en urgence par mail et à chaque fois on vous ajoute 10 jours de délai pour le versement....Si "Know you can" est le nouveau slogan d'AXA, côté client c'est "Know they can't"...faire leur travail correctement. Pour le patron d'AXA ce slogan  "symbolise parfaitement l'ambition que nous avons de faire d'Axa un partenaire en mesure d'aider ses clients à atteindre leurs rêves." pour ma part mon rêve de parent seul est limité a gérer correctement mon budget familial contraint...et AXA ne m'y aide pas.</t>
  </si>
  <si>
    <t>priem-c-117454</t>
  </si>
  <si>
    <t>Le service clientèle est excellent, les conseillères sont toutes très réactives, gentilles et de bons conseils, Bravo et merci pour la qualité de l'accueil !</t>
  </si>
  <si>
    <t>lucky-0106-90491</t>
  </si>
  <si>
    <t>Parfait très rapide et très simple je recommande fortement direct assurance. Merci à vous d’être aussi rapide et courtois. Vraiment les yeux fermer. Merci.</t>
  </si>
  <si>
    <t>11/06/2020</t>
  </si>
  <si>
    <t>mathieu-m-91242</t>
  </si>
  <si>
    <t xml:space="preserve"> Simple  et  rapide.  Le  site  est  accueillant  et  bien  pensé.  Il est facile d'obtenir un devis. J'espère juste que le contrat que l'on me proposera sera conforme au devis </t>
  </si>
  <si>
    <t>yvesdep-135426</t>
  </si>
  <si>
    <t>Je suis adhérent MGEN depuis 23 ans. Atteint d’un cancer et en CLM depuis août 2020, je suis à demi-traitement depuis le 20/08/2021. J’attends depuis le complément de revenus que doit me verser la MGEN. Malgré de multiples coups de fil, d’avis contradictoires, de papiers demandés, envoyés, redemandés, renvoyés… Rien!
Vous dire que je suis dégoûté par cette « mutuelle » serait un doux euphémisme…</t>
  </si>
  <si>
    <t>henri-d-111989</t>
  </si>
  <si>
    <t>déjà client par le passé, je reviens avec joie car vous n'aviez pas pu assurer mon vehicule precedent.
c'etais une voiture electrique et j'ai bien regrété de ne pas pouvoir continuer avec vous</t>
  </si>
  <si>
    <t>david69-96312</t>
  </si>
  <si>
    <t>Assuré chez L’olivier, cet assureur m’a dissimulé le montant de la franchise qui de zéro euro est passé à 922€
De plus il est très difficile de les joindre au téléphone. Il ne répond pas par mail, ou du moins de façon automatique, les délais sont très long. 
Après 1an et demi d’assurance chez Olivier j’ai vendu mon véhicule le 30 juin 2020 et ce jour le 14 août 2020 il ne m’ont toujours pas remboursé ma cotisation au prorata. Cet assureur évoque  toujours de bonnes excuses pour ne pas payer.
Je déconseille fortement cet assureur !
Il vaut mieux aller chez des assureurs qui ont des agences ou tout simplement la Matmut.</t>
  </si>
  <si>
    <t>14/08/2020</t>
  </si>
  <si>
    <t>renaud-f-111638</t>
  </si>
  <si>
    <t>Satisfaction générale pour mes assurances automobiles chez Direct Assurance, tarifs compétitifs, prestations satisfaisante, et contact téléphonique toujours courtois et efficace.</t>
  </si>
  <si>
    <t>non-129817</t>
  </si>
  <si>
    <t>bonjour j adresse  ce message à neoliane pour les feliciter d avoir comme conseillere mutualiste remboursement etc ...une jeune femme denommee EMELINE !! nous etions perdus car chez vous depuis 2015 nous avons eu des mesaventures avec vos services !!et arriva EMELINE nous nous sommes permis de lui demander son prenom car nous etions fiers de l avoir eu comme interlocutrice EFFICACE ,DISPONIBLE ,REACTIVE avec beaucoup de professionnalisme que c est agreable car si elle n avait pas été là nous partions de chez vous! trop de negligences !!! nous restons à votre disposition pour vous les signifier.
SINCERES SALUTATIONS .MONSIEUR ET MADAME CHARLETTE</t>
  </si>
  <si>
    <t>gimenez-e-122686</t>
  </si>
  <si>
    <t xml:space="preserve">Merci de vos services satisfaits d’être votre cliente je vous ferais parvenir à l’aven Des clients potentiels pour avoir une protection d’assuré chez vous </t>
  </si>
  <si>
    <t>07/07/2021</t>
  </si>
  <si>
    <t>polo-91002</t>
  </si>
  <si>
    <t>Service simple et rapide.  prix legerement bas par rapport a la concurrence pour un meme niveau de garantie service clientele  joignable rapidement application correct</t>
  </si>
  <si>
    <t>16/06/2020</t>
  </si>
  <si>
    <t>armelle-65830</t>
  </si>
  <si>
    <t>Bonjour je suis déçu par le service et le contact après signature du contrat</t>
  </si>
  <si>
    <t>07/08/2018</t>
  </si>
  <si>
    <t>soleilkiri-99662</t>
  </si>
  <si>
    <t>La Maif était une super assurance, mais depuis quelques temps, ça devient insupportable ! Impossible d'avoir un même interlocuteur (donc on repasse du temps à tout expliquer), mélange des dossiers sinistres, incompréhensions des mails (ils ne savent pas lire), sociétés agrées mauvaises et délais très longs ... et surtout, il faut faire le boulot à leur place, en relançant vous même les sociétés de BTP. J'ai demandé un RDV en délégation, il y a 2 semaines ... personne ne m'a contacté depuis ... même si nous sommes reconfinés depuis, au vu de la galère que je vis depuis des mois, un coup de fil aurait été pertinent. Bref, je déconseille maintenant cette assurance.</t>
  </si>
  <si>
    <t>05/11/2020</t>
  </si>
  <si>
    <t>fasyl-129654</t>
  </si>
  <si>
    <t>Bonjour,
Mon dossier atteindra bientôt son 5ème mois de traitement d'ici la semaine prochaine.
Je suis victime d'un accident de la route à date du 2 mai 2021, déclaré non responsable par l'expert et avec un véhicule de type SUV catégorisé comme VEI 3 mois après malgré de nombreuse relances de ma part aussi.
Ils ont confirmé avoir reçu le 20 juillet dernier l'ensemble des documents provenant de l'expert automobile concernant la cession de mon véhicule.
De plus l'expert a affirmé qu'ils étaient à l'origine du délai d'attente des deux premiers mois car ils ne leur ont donnés un accord uniquement à partir du lundi 5 juillet, en réponse à un mail de rappel des faits du 2 juillet. 
J'ai depuis le 2 mai dernier dernier collectés plusieurs mails restés sans réponses de leur part malgré les accusés de réception et plusieurs appels enregistrés qui ont finalement était interrompu de manière incompréhensible.L'ensemble de leur services téléphoniques sont bizarrement injoignable depuis l'été.  
Pour rappel il s'agit d'un sinistre causé par un tiers dont je suis déclaré non responsable et qui me pénalise jusqu'à aujourd'hui dans mon quotidien de femme enceinte avec les complications qui en suivent.
A date ils ont réceptionné l'ensemble des documents pour vérifier mon dossier dans sa globalité.
Jusqu'à aujourd'hui, ils ont effectué une indemnisation partielle à hauteur de 1391€ (montant de l'épave) sur la somme totale de 10 700€.
Cela fait plus d'un mois que le dossier est complet mais toujours aucun signe d'eux.
Je me sens obligé de devoir étaler sur la place publique mon mécontentement afin d'espérer un retour avant de peut-être devoir entamer des démarches plus sérieuses.
Si j'ai un conseil à donner à une personne qui hésite à souscrire auprès d'eux.
NE LE FAITES PAS FUYEZ,ON RECONNAIS UNE BONNE ASSURANCE A SA GESTION. 
LA LEUR EST CATASTROPHIQUE,C'EST HONTEUX NON PROFESSIONNELLE ET IRRESPECTEUX</t>
  </si>
  <si>
    <t>ange-r-111704</t>
  </si>
  <si>
    <t xml:space="preserve">Personne gentille sérieuse et agréable au téléphone. Je pense certainement mettre par la suite mes autres contrats moto et Habitation chez Olivier assurance </t>
  </si>
  <si>
    <t>danielle-79115</t>
  </si>
  <si>
    <t>J'ai toujours été bien conseillée chaque fois que j'ai eu une personne au téléphone, notamment hier avec Allison. Ma demande a été traitée dans l'instant et avec amabilité.</t>
  </si>
  <si>
    <t>11/09/2019</t>
  </si>
  <si>
    <t>lotfire-101526</t>
  </si>
  <si>
    <t xml:space="preserve">Incompétence total du sercice assistance ... 
Que l'on doit nous meme assister a chaque étape
Pas fichu de valider une demande téléphonique sur leur logiciel (sous pretexte quil y a 2 logiciels... mais c'est pas mon problème ca... faut faire une formation les gars)
Suite a un accident Mon scooter est resté 5 jours en fourriere au lieu d'1 jours et a mes frais alors que les 4 jours supplémentaire sont de leur faute
Tout ca parce qu'une personne d amv assistance ne m a pas rappeler comme promis apres son appel a ma fourriere. 
Pour la reclamation, On vous fais tourner en bourique de service en service mais rien ne bouge et on perd du temps et de l energie... 
Alors qu au debut la victime cest moi et l assurance cest eux
Bref: efficace pour reclamer votre argent beaucoup moins pour vous dépanner en cas de besoin... 
Du coup on paye pour quoi??
</t>
  </si>
  <si>
    <t>16/12/2020</t>
  </si>
  <si>
    <t>grisohm-102694</t>
  </si>
  <si>
    <t>Très satisfait par mon correspondant en ligne, qui as répondu à mes questions sur un problème de remboursement de consultation de médecin généraliste et as réglé un problème de passerelle sur le site AMELI, ou j'étais bloqué;</t>
  </si>
  <si>
    <t>15/01/2021</t>
  </si>
  <si>
    <t>franck-136298</t>
  </si>
  <si>
    <t>J'ai résilié ma mutuelle employeur depuis le 02/05/2021; 34,28 euros ont été prélevéle 10/05/2021. Je téléphone tous les quinze jours à la MGEN pour qu'on me rembourse cette cotisation et on me dit à chaque fois que cela va être fait. C'est une honte de se moquer des gens ainsi.</t>
  </si>
  <si>
    <t>avisaprendre-78087</t>
  </si>
  <si>
    <t>Première assurance ou le conseiller vous raccroche directement au nez... Merveilleux !
Ils ne gèrent absolument pas un dossier où je suis censée me faire rembourser ! Une vrai honte. A éviter à tout prix. Dès qu'un sinistre est là il n'y a plus personne.</t>
  </si>
  <si>
    <t>31/07/2019</t>
  </si>
  <si>
    <t>quentin-d-115933</t>
  </si>
  <si>
    <t>OK prix correct / J'ai eu un accident non responsable, direct assurance a très bien pris en charge le litige. Le seul axe d'amélioration serait d'avoir un conseiller dédié avec un numéro dédié ! Sinon RAS</t>
  </si>
  <si>
    <t>sp89-75038</t>
  </si>
  <si>
    <t xml:space="preserve">En invalidité catégorie 2 et ayant été licencié pour inaptitude je déclare mon sinistre en janvier 2019 (j'attire l'attention sur le fait que j'ai déclaré  à la même date ce sinistre à d'autres assurances concurrentes ayant souscrits des crédits à d'autres organismes).
Nous sommes le 14 avril 2019 et suite à de nombreux appels avec un interlocuteur toujours différent je suis toujours en attente de la réponse de Cardif, (il manque toujours un document qui n'était pas spécifié au préalable dans le dossier initial) alors que les assurances concurrentes pour les autres crédits m'ont déjà indemnisées pour ne pas les citer EDA pour sofinco et assurance Cofidis. 
Si je reçois une réponse négative de la Cardif concernant ma prise en charge pour mon invalidité il faudra m'expliquer pourquoi 2 SERVICES MEDICAUX de 2 ASSURANCES CONCURRENTES ont accepté la prise en charge avec une RAPIDITE DE TRAITEMENT de moins de 3 MOIS.
Aux vues des différents commentaires des autres membres je m'attend à de la mauvaise foi de Cardif. 
Je ne manquerai pas de vous donner des infos sur l'avancée de mon dossier pour permettre aux autres membres de se faire leur propre opinion. </t>
  </si>
  <si>
    <t>13/04/2019</t>
  </si>
  <si>
    <t>anonyme-a-105472</t>
  </si>
  <si>
    <t xml:space="preserve">Application direct assurance : photo de la voiture ne fonctionne pas
Très longue attente lors d'un appel au sav direct assurance en cas de soucis
Très longue = 15 voir 20 minutes d'attente même dans les périodes de moins d'affluence 
Déçu..
</t>
  </si>
  <si>
    <t>04/03/2021</t>
  </si>
  <si>
    <t>akogbeto-a-107330</t>
  </si>
  <si>
    <t xml:space="preserve"> je viens a peine de souscrire a ce contrat doc je donnerais mon avis définitif dans  3 mois mais j'ai apprécier la rapidité  de votre service assureur olivier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</si>
</sst>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IFERROR(__xludf.DUMMYFUNCTION("GOOGLETRANSLATE(C2,""fr"",""en"")"),"The Olivier Assurances gives you a quote and announces a price and then once you have signed you with increases and fees of files not announced and I specify any change between the quote and the documents provided everything was in conformity. There is ju"&amp;"st a completely shameful pricing and hidden cost practice! I see that other customers also say they had this kind of practice. Never again I set foot in their home!")</f>
        <v>The Olivier Assurances gives you a quote and announces a price and then once you have signed you with increases and fees of files not announced and I specify any change between the quote and the documents provided everything was in conformity. There is just a completely shameful pricing and hidden cost practice! I see that other customers also say they had this kind of practice. Never again I set foot in their home!</v>
      </c>
    </row>
    <row r="3">
      <c r="A3" s="2">
        <v>1.0</v>
      </c>
      <c r="B3" s="2" t="s">
        <v>18</v>
      </c>
      <c r="C3" s="2" t="s">
        <v>19</v>
      </c>
      <c r="D3" s="2" t="s">
        <v>20</v>
      </c>
      <c r="E3" s="2" t="s">
        <v>21</v>
      </c>
      <c r="F3" s="2" t="s">
        <v>15</v>
      </c>
      <c r="G3" s="2" t="s">
        <v>22</v>
      </c>
      <c r="H3" s="2" t="s">
        <v>23</v>
      </c>
      <c r="I3" s="2" t="str">
        <f>IFERROR(__xludf.DUMMYFUNCTION("GOOGLETRANSLATE(C3,""fr"",""en"")"),"Axa has big big concerns with their site !!!!!!! It has been several weeks since it is unable to get promised that it will be resolved. We can wonder if AXA is reliable and if they are correct with their customers. We still entrust our money to them ....."&amp;" I think that the CEO of this company must have enough jackpot on its customers to finance and make its site function properly.
")</f>
        <v>Axa has big big concerns with their site !!!!!!! It has been several weeks since it is unable to get promised that it will be resolved. We can wonder if AXA is reliable and if they are correct with their customers. We still entrust our money to them ..... I think that the CEO of this company must have enough jackpot on its customers to finance and make its site function properly.
</v>
      </c>
    </row>
    <row r="4">
      <c r="A4" s="2">
        <v>4.0</v>
      </c>
      <c r="B4" s="2" t="s">
        <v>24</v>
      </c>
      <c r="C4" s="2" t="s">
        <v>25</v>
      </c>
      <c r="D4" s="2" t="s">
        <v>13</v>
      </c>
      <c r="E4" s="2" t="s">
        <v>14</v>
      </c>
      <c r="F4" s="2" t="s">
        <v>15</v>
      </c>
      <c r="G4" s="2" t="s">
        <v>26</v>
      </c>
      <c r="H4" s="2" t="s">
        <v>27</v>
      </c>
      <c r="I4" s="2" t="str">
        <f>IFERROR(__xludf.DUMMYFUNCTION("GOOGLETRANSLATE(C4,""fr"",""en"")"),"I am satisfied with the service
The price is attractive
Warm welcome from the employees of the Insurance Olivier I think recommended it to my friends")</f>
        <v>I am satisfied with the service
The price is attractive
Warm welcome from the employees of the Insurance Olivier I think recommended it to my friends</v>
      </c>
    </row>
    <row r="5">
      <c r="A5" s="2">
        <v>1.0</v>
      </c>
      <c r="B5" s="2" t="s">
        <v>28</v>
      </c>
      <c r="C5" s="2" t="s">
        <v>29</v>
      </c>
      <c r="D5" s="2" t="s">
        <v>30</v>
      </c>
      <c r="E5" s="2" t="s">
        <v>31</v>
      </c>
      <c r="F5" s="2" t="s">
        <v>15</v>
      </c>
      <c r="G5" s="2" t="s">
        <v>32</v>
      </c>
      <c r="H5" s="2" t="s">
        <v>33</v>
      </c>
      <c r="I5" s="2" t="str">
        <f>IFERROR(__xludf.DUMMYFUNCTION("GOOGLETRANSLATE(C5,""fr"",""en"")"),"Painful registration ... They lose the documents, or do not read the (complete) documents that are sent to them, saying that they are not complete. Many inconsistencies in customer service (an email sent would not have been received but 15 days they find "&amp;"it, such a document is not complete but when they visualize it they tell me that it is complete ...). I've been waiting for my paid third party card for 2 months. No monitoring by email or telephone explaining why the file is blocked.")</f>
        <v>Painful registration ... They lose the documents, or do not read the (complete) documents that are sent to them, saying that they are not complete. Many inconsistencies in customer service (an email sent would not have been received but 15 days they find it, such a document is not complete but when they visualize it they tell me that it is complete ...). I've been waiting for my paid third party card for 2 months. No monitoring by email or telephone explaining why the file is blocked.</v>
      </c>
    </row>
    <row r="6">
      <c r="A6" s="2">
        <v>2.0</v>
      </c>
      <c r="B6" s="2" t="s">
        <v>34</v>
      </c>
      <c r="C6" s="2" t="s">
        <v>35</v>
      </c>
      <c r="D6" s="2" t="s">
        <v>36</v>
      </c>
      <c r="E6" s="2" t="s">
        <v>37</v>
      </c>
      <c r="F6" s="2" t="s">
        <v>15</v>
      </c>
      <c r="G6" s="2" t="s">
        <v>38</v>
      </c>
      <c r="H6" s="2" t="s">
        <v>39</v>
      </c>
      <c r="I6" s="2" t="str">
        <f>IFERROR(__xludf.DUMMYFUNCTION("GOOGLETRANSLATE(C6,""fr"",""en"")"),"No response to this day after 1 month for a request for a sinister electric problem suite thunderstorm micro wave HS and suite 2 tiles breaks small waters after craftsmen 300 euros of paint I ask myself questions if the house would squeeze destroyed by A "&amp;"fire !!!")</f>
        <v>No response to this day after 1 month for a request for a sinister electric problem suite thunderstorm micro wave HS and suite 2 tiles breaks small waters after craftsmen 300 euros of paint I ask myself questions if the house would squeeze destroyed by A fire !!!</v>
      </c>
    </row>
    <row r="7">
      <c r="A7" s="2">
        <v>4.0</v>
      </c>
      <c r="B7" s="2" t="s">
        <v>40</v>
      </c>
      <c r="C7" s="2" t="s">
        <v>41</v>
      </c>
      <c r="D7" s="2" t="s">
        <v>13</v>
      </c>
      <c r="E7" s="2" t="s">
        <v>14</v>
      </c>
      <c r="F7" s="2" t="s">
        <v>15</v>
      </c>
      <c r="G7" s="2" t="s">
        <v>42</v>
      </c>
      <c r="H7" s="2" t="s">
        <v>43</v>
      </c>
      <c r="I7" s="2" t="str">
        <f>IFERROR(__xludf.DUMMYFUNCTION("GOOGLETRANSLATE(C7,""fr"",""en"")"),"Very satisfied with all your services, which is why I decide to come back to your home.
In order to be able to continue to benefit from your coverage throughout the year;")</f>
        <v>Very satisfied with all your services, which is why I decide to come back to your home.
In order to be able to continue to benefit from your coverage throughout the year;</v>
      </c>
    </row>
    <row r="8">
      <c r="A8" s="2">
        <v>3.0</v>
      </c>
      <c r="B8" s="2" t="s">
        <v>44</v>
      </c>
      <c r="C8" s="2" t="s">
        <v>45</v>
      </c>
      <c r="D8" s="2" t="s">
        <v>36</v>
      </c>
      <c r="E8" s="2" t="s">
        <v>14</v>
      </c>
      <c r="F8" s="2" t="s">
        <v>15</v>
      </c>
      <c r="G8" s="2" t="s">
        <v>46</v>
      </c>
      <c r="H8" s="2" t="s">
        <v>47</v>
      </c>
      <c r="I8" s="2" t="str">
        <f>IFERROR(__xludf.DUMMYFUNCTION("GOOGLETRANSLATE(C8,""fr"",""en"")"),"I am satisfied with the service, the price suits me, the telephone reception at the top, just see the prices compared to each financial situation of each person")</f>
        <v>I am satisfied with the service, the price suits me, the telephone reception at the top, just see the prices compared to each financial situation of each person</v>
      </c>
    </row>
    <row r="9">
      <c r="A9" s="2">
        <v>4.0</v>
      </c>
      <c r="B9" s="2" t="s">
        <v>48</v>
      </c>
      <c r="C9" s="2" t="s">
        <v>49</v>
      </c>
      <c r="D9" s="2" t="s">
        <v>50</v>
      </c>
      <c r="E9" s="2" t="s">
        <v>51</v>
      </c>
      <c r="F9" s="2" t="s">
        <v>15</v>
      </c>
      <c r="G9" s="2" t="s">
        <v>52</v>
      </c>
      <c r="H9" s="2" t="s">
        <v>27</v>
      </c>
      <c r="I9" s="2" t="str">
        <f>IFERROR(__xludf.DUMMYFUNCTION("GOOGLETRANSLATE(C9,""fr"",""en"")"),"I hope to have a faster answer than when I asked questions about the termination of the previous contract. It had taken 3 stimulus to have an answer.")</f>
        <v>I hope to have a faster answer than when I asked questions about the termination of the previous contract. It had taken 3 stimulus to have an answer.</v>
      </c>
    </row>
    <row r="10">
      <c r="A10" s="2">
        <v>2.0</v>
      </c>
      <c r="B10" s="2" t="s">
        <v>53</v>
      </c>
      <c r="C10" s="2" t="s">
        <v>54</v>
      </c>
      <c r="D10" s="2" t="s">
        <v>55</v>
      </c>
      <c r="E10" s="2" t="s">
        <v>37</v>
      </c>
      <c r="F10" s="2" t="s">
        <v>15</v>
      </c>
      <c r="G10" s="2" t="s">
        <v>56</v>
      </c>
      <c r="H10" s="2" t="s">
        <v>57</v>
      </c>
      <c r="I10" s="2" t="str">
        <f>IFERROR(__xludf.DUMMYFUNCTION("GOOGLETRANSLATE(C10,""fr"",""en"")")," Insured for years, only two claims in 20 years, first time, small claims, responsiveness and reimbursement in accordance with expectations. Then second sinister, an absolutely biased expert firm, who does everything not to reimburse according to the plan"&amp;"ned contract! Is it for lack of knowledge of the contract? By disdain? Still, it is an expert firm can cause any value and deteriorate the image of insurance. Refund not identical to the initial product despite the contract, attempt to intimidate the inte"&amp;"rlocutors (Darty partner electro -manager service) I must manage to set up expertise, legal assistance, fire damage experts to assert my Rights, 6 weeks in a barely habitable house following the claim, and a communication from disastrous insurance and com"&amp;"pletely out of respect! We go from victim to culprit .... Pacifica is no longer what it was, to flee absolutely.
Guillaume
")</f>
        <v> Insured for years, only two claims in 20 years, first time, small claims, responsiveness and reimbursement in accordance with expectations. Then second sinister, an absolutely biased expert firm, who does everything not to reimburse according to the planned contract! Is it for lack of knowledge of the contract? By disdain? Still, it is an expert firm can cause any value and deteriorate the image of insurance. Refund not identical to the initial product despite the contract, attempt to intimidate the interlocutors (Darty partner electro -manager service) I must manage to set up expertise, legal assistance, fire damage experts to assert my Rights, 6 weeks in a barely habitable house following the claim, and a communication from disastrous insurance and completely out of respect! We go from victim to culprit .... Pacifica is no longer what it was, to flee absolutely.
Guillaume
</v>
      </c>
    </row>
    <row r="11">
      <c r="A11" s="2">
        <v>2.0</v>
      </c>
      <c r="B11" s="2" t="s">
        <v>58</v>
      </c>
      <c r="C11" s="2" t="s">
        <v>59</v>
      </c>
      <c r="D11" s="2" t="s">
        <v>60</v>
      </c>
      <c r="E11" s="2" t="s">
        <v>14</v>
      </c>
      <c r="F11" s="2" t="s">
        <v>15</v>
      </c>
      <c r="G11" s="2" t="s">
        <v>61</v>
      </c>
      <c r="H11" s="2" t="s">
        <v>62</v>
      </c>
      <c r="I11" s="2" t="str">
        <f>IFERROR(__xludf.DUMMYFUNCTION("GOOGLETRANSLATE(C11,""fr"",""en"")"),"Our self -listed disaster dates since December 2017 and we have still not been reimbursed. The interlocutors of the Eallianz Auto compensation service do not know their profession, we have as many different speeches as of interlocutors and impossible to j"&amp;"oin the same person for monitoring the file; Very practical when you have called 30 times to be reimbursed!
And obviously, there is always a pretext to block the advancement of the file: a missing quote, a return of the expert not received while sending "&amp;"several weeks earlier, an incorrect RIB, an invalid postal address, an email address Not found and so on. Insurer to be avoided if you don't want to go crazy!")</f>
        <v>Our self -listed disaster dates since December 2017 and we have still not been reimbursed. The interlocutors of the Eallianz Auto compensation service do not know their profession, we have as many different speeches as of interlocutors and impossible to join the same person for monitoring the file; Very practical when you have called 30 times to be reimbursed!
And obviously, there is always a pretext to block the advancement of the file: a missing quote, a return of the expert not received while sending several weeks earlier, an incorrect RIB, an invalid postal address, an email address Not found and so on. Insurer to be avoided if you don't want to go crazy!</v>
      </c>
    </row>
    <row r="12">
      <c r="A12" s="2">
        <v>4.0</v>
      </c>
      <c r="B12" s="2" t="s">
        <v>63</v>
      </c>
      <c r="C12" s="2" t="s">
        <v>64</v>
      </c>
      <c r="D12" s="2" t="s">
        <v>13</v>
      </c>
      <c r="E12" s="2" t="s">
        <v>14</v>
      </c>
      <c r="F12" s="2" t="s">
        <v>15</v>
      </c>
      <c r="G12" s="2" t="s">
        <v>65</v>
      </c>
      <c r="H12" s="2" t="s">
        <v>43</v>
      </c>
      <c r="I12" s="2" t="str">
        <f>IFERROR(__xludf.DUMMYFUNCTION("GOOGLETRANSLATE(C12,""fr"",""en"")"),"The site is very well done
Telephone assistance is qualitative despite the cuts
Very disappointed with the increase of 100 euros compared to the estimate, because my vehicle is 5 doors and not 3, I find it difficult to imagine the difference that it can"&amp;" do")</f>
        <v>The site is very well done
Telephone assistance is qualitative despite the cuts
Very disappointed with the increase of 100 euros compared to the estimate, because my vehicle is 5 doors and not 3, I find it difficult to imagine the difference that it can do</v>
      </c>
    </row>
    <row r="13">
      <c r="A13" s="2">
        <v>2.0</v>
      </c>
      <c r="B13" s="2" t="s">
        <v>66</v>
      </c>
      <c r="C13" s="2" t="s">
        <v>67</v>
      </c>
      <c r="D13" s="2" t="s">
        <v>55</v>
      </c>
      <c r="E13" s="2" t="s">
        <v>14</v>
      </c>
      <c r="F13" s="2" t="s">
        <v>15</v>
      </c>
      <c r="G13" s="2" t="s">
        <v>68</v>
      </c>
      <c r="H13" s="2" t="s">
        <v>69</v>
      </c>
      <c r="I13" s="2" t="str">
        <f>IFERROR(__xludf.DUMMYFUNCTION("GOOGLETRANSLATE(C13,""fr"",""en"")"),"Subscribed a contract for my spouse in my name but when he had an accident impossible to have a loan vehicle because not the same name Pacifica does not want to give an exemption from the garage.")</f>
        <v>Subscribed a contract for my spouse in my name but when he had an accident impossible to have a loan vehicle because not the same name Pacifica does not want to give an exemption from the garage.</v>
      </c>
    </row>
    <row r="14">
      <c r="A14" s="2">
        <v>4.0</v>
      </c>
      <c r="B14" s="2" t="s">
        <v>70</v>
      </c>
      <c r="C14" s="2" t="s">
        <v>71</v>
      </c>
      <c r="D14" s="2" t="s">
        <v>36</v>
      </c>
      <c r="E14" s="2" t="s">
        <v>14</v>
      </c>
      <c r="F14" s="2" t="s">
        <v>15</v>
      </c>
      <c r="G14" s="2" t="s">
        <v>72</v>
      </c>
      <c r="H14" s="2" t="s">
        <v>73</v>
      </c>
      <c r="I14" s="2" t="str">
        <f>IFERROR(__xludf.DUMMYFUNCTION("GOOGLETRANSLATE(C14,""fr"",""en"")"),"I am very satisfied :
Ease of navigation
Site simplicity
Of the answer you gave me
From the price I have received through your quote")</f>
        <v>I am very satisfied :
Ease of navigation
Site simplicity
Of the answer you gave me
From the price I have received through your quote</v>
      </c>
    </row>
    <row r="15">
      <c r="A15" s="2">
        <v>4.0</v>
      </c>
      <c r="B15" s="2" t="s">
        <v>74</v>
      </c>
      <c r="C15" s="2" t="s">
        <v>75</v>
      </c>
      <c r="D15" s="2" t="s">
        <v>76</v>
      </c>
      <c r="E15" s="2" t="s">
        <v>51</v>
      </c>
      <c r="F15" s="2" t="s">
        <v>15</v>
      </c>
      <c r="G15" s="2" t="s">
        <v>77</v>
      </c>
      <c r="H15" s="2" t="s">
        <v>27</v>
      </c>
      <c r="I15" s="2" t="str">
        <f>IFERROR(__xludf.DUMMYFUNCTION("GOOGLETRANSLATE(C15,""fr"",""en"")"),"I am very satisfied, pleasant and very polished person on the phone, value for money, operational and responsive service .................")</f>
        <v>I am very satisfied, pleasant and very polished person on the phone, value for money, operational and responsive service .................</v>
      </c>
    </row>
    <row r="16">
      <c r="A16" s="2">
        <v>2.0</v>
      </c>
      <c r="B16" s="2" t="s">
        <v>78</v>
      </c>
      <c r="C16" s="2" t="s">
        <v>79</v>
      </c>
      <c r="D16" s="2" t="s">
        <v>80</v>
      </c>
      <c r="E16" s="2" t="s">
        <v>14</v>
      </c>
      <c r="F16" s="2" t="s">
        <v>15</v>
      </c>
      <c r="G16" s="2" t="s">
        <v>81</v>
      </c>
      <c r="H16" s="2" t="s">
        <v>81</v>
      </c>
      <c r="I16" s="2" t="str">
        <f>IFERROR(__xludf.DUMMYFUNCTION("GOOGLETRANSLATE(C16,""fr"",""en"")"),"Bjr I am very unhappy with the maaf. Member for more than 15 years at home without a sinister or other broken ice. My wife sees our car in a damaged parking lot and hop expert passes and says that it is my wife who returned to the barrier, I tell him no, "&amp;"he tells me your wife does not tell you the truth. I answer him that we are responsible and honest people unlike him. In addition to no interest in lying because I am assured of any risk 50% of life bonuses and znplus winner 8% (which I think of a good dr"&amp;"iver). We tell the truth but they want me to say that my wife knows it is not a question of lying knowing that I am in all risks and 50% of life bonuses. After several emails with photos and ..... they iron the potato. I find their procedures very limited"&amp;". I think that for the maaf is that a number. I understand that confinement does not help clarify this, on the other hand I sent my brother -in -law to them and a friend strangely the file and the mail arrived quickly. I find mediocre and pathetic the att"&amp;"itude of maaf insurance. What a beautiful word thank you and sorry to be so long but I am disgusted with this insurance thank you for your return")</f>
        <v>Bjr I am very unhappy with the maaf. Member for more than 15 years at home without a sinister or other broken ice. My wife sees our car in a damaged parking lot and hop expert passes and says that it is my wife who returned to the barrier, I tell him no, he tells me your wife does not tell you the truth. I answer him that we are responsible and honest people unlike him. In addition to no interest in lying because I am assured of any risk 50% of life bonuses and znplus winner 8% (which I think of a good driver). We tell the truth but they want me to say that my wife knows it is not a question of lying knowing that I am in all risks and 50% of life bonuses. After several emails with photos and ..... they iron the potato. I find their procedures very limited. I think that for the maaf is that a number. I understand that confinement does not help clarify this, on the other hand I sent my brother -in -law to them and a friend strangely the file and the mail arrived quickly. I find mediocre and pathetic the attitude of maaf insurance. What a beautiful word thank you and sorry to be so long but I am disgusted with this insurance thank you for your return</v>
      </c>
    </row>
    <row r="17">
      <c r="A17" s="2">
        <v>5.0</v>
      </c>
      <c r="B17" s="2" t="s">
        <v>82</v>
      </c>
      <c r="C17" s="2" t="s">
        <v>83</v>
      </c>
      <c r="D17" s="2" t="s">
        <v>36</v>
      </c>
      <c r="E17" s="2" t="s">
        <v>14</v>
      </c>
      <c r="F17" s="2" t="s">
        <v>15</v>
      </c>
      <c r="G17" s="2" t="s">
        <v>84</v>
      </c>
      <c r="H17" s="2" t="s">
        <v>85</v>
      </c>
      <c r="I17" s="2" t="str">
        <f>IFERROR(__xludf.DUMMYFUNCTION("GOOGLETRANSLATE(C17,""fr"",""en"")"),"For the moment I am satisfied but as I have not had a claim I cannot give a detailed opinion except that the only calls and quotes that I could make suited me!")</f>
        <v>For the moment I am satisfied but as I have not had a claim I cannot give a detailed opinion except that the only calls and quotes that I could make suited me!</v>
      </c>
    </row>
    <row r="18">
      <c r="A18" s="2">
        <v>3.0</v>
      </c>
      <c r="B18" s="2" t="s">
        <v>86</v>
      </c>
      <c r="C18" s="2" t="s">
        <v>87</v>
      </c>
      <c r="D18" s="2" t="s">
        <v>88</v>
      </c>
      <c r="E18" s="2" t="s">
        <v>31</v>
      </c>
      <c r="F18" s="2" t="s">
        <v>15</v>
      </c>
      <c r="G18" s="2" t="s">
        <v>89</v>
      </c>
      <c r="H18" s="2" t="s">
        <v>90</v>
      </c>
      <c r="I18" s="2" t="str">
        <f>IFERROR(__xludf.DUMMYFUNCTION("GOOGLETRANSLATE(C18,""fr"",""en"")"),"I had an interview that day with ""Iris"" and the answer to my question was given to me")</f>
        <v>I had an interview that day with "Iris" and the answer to my question was given to me</v>
      </c>
    </row>
    <row r="19">
      <c r="A19" s="2">
        <v>5.0</v>
      </c>
      <c r="B19" s="2" t="s">
        <v>91</v>
      </c>
      <c r="C19" s="2" t="s">
        <v>92</v>
      </c>
      <c r="D19" s="2" t="s">
        <v>93</v>
      </c>
      <c r="E19" s="2" t="s">
        <v>14</v>
      </c>
      <c r="F19" s="2" t="s">
        <v>15</v>
      </c>
      <c r="G19" s="2" t="s">
        <v>94</v>
      </c>
      <c r="H19" s="2" t="s">
        <v>95</v>
      </c>
      <c r="I19" s="2" t="str">
        <f>IFERROR(__xludf.DUMMYFUNCTION("GOOGLETRANSLATE(C19,""fr"",""en"")"),"Very good company and always listening to its customers. Always available to meet expectations. Quick response to various requests")</f>
        <v>Very good company and always listening to its customers. Always available to meet expectations. Quick response to various requests</v>
      </c>
    </row>
    <row r="20">
      <c r="A20" s="2">
        <v>4.0</v>
      </c>
      <c r="B20" s="2" t="s">
        <v>96</v>
      </c>
      <c r="C20" s="2" t="s">
        <v>97</v>
      </c>
      <c r="D20" s="2" t="s">
        <v>13</v>
      </c>
      <c r="E20" s="2" t="s">
        <v>14</v>
      </c>
      <c r="F20" s="2" t="s">
        <v>15</v>
      </c>
      <c r="G20" s="2" t="s">
        <v>98</v>
      </c>
      <c r="H20" s="2" t="s">
        <v>47</v>
      </c>
      <c r="I20" s="2" t="str">
        <f>IFERROR(__xludf.DUMMYFUNCTION("GOOGLETRANSLATE(C20,""fr"",""en"")"),"I am satisfied with the price and service offer with simple access to the site and thus explain so super understandable on the delay in sending my documents following a personal problem thank you.")</f>
        <v>I am satisfied with the price and service offer with simple access to the site and thus explain so super understandable on the delay in sending my documents following a personal problem thank you.</v>
      </c>
    </row>
    <row r="21" ht="15.75" customHeight="1">
      <c r="A21" s="2">
        <v>4.0</v>
      </c>
      <c r="B21" s="2" t="s">
        <v>99</v>
      </c>
      <c r="C21" s="2" t="s">
        <v>100</v>
      </c>
      <c r="D21" s="2" t="s">
        <v>36</v>
      </c>
      <c r="E21" s="2" t="s">
        <v>14</v>
      </c>
      <c r="F21" s="2" t="s">
        <v>15</v>
      </c>
      <c r="G21" s="2" t="s">
        <v>101</v>
      </c>
      <c r="H21" s="2" t="s">
        <v>85</v>
      </c>
      <c r="I21" s="2" t="str">
        <f>IFERROR(__xludf.DUMMYFUNCTION("GOOGLETRANSLATE(C21,""fr"",""en"")"),"Very well.
Value for money service is suitable
Quick telephone support. People on the phone are very courteous and benevolent.
Nothing to say")</f>
        <v>Very well.
Value for money service is suitable
Quick telephone support. People on the phone are very courteous and benevolent.
Nothing to say</v>
      </c>
    </row>
    <row r="22" ht="15.75" customHeight="1">
      <c r="A22" s="2">
        <v>3.0</v>
      </c>
      <c r="B22" s="2" t="s">
        <v>102</v>
      </c>
      <c r="C22" s="2" t="s">
        <v>103</v>
      </c>
      <c r="D22" s="2" t="s">
        <v>104</v>
      </c>
      <c r="E22" s="2" t="s">
        <v>31</v>
      </c>
      <c r="F22" s="2" t="s">
        <v>15</v>
      </c>
      <c r="G22" s="2" t="s">
        <v>105</v>
      </c>
      <c r="H22" s="2" t="s">
        <v>106</v>
      </c>
      <c r="I22" s="2" t="str">
        <f>IFERROR(__xludf.DUMMYFUNCTION("GOOGLETRANSLATE(C22,""fr"",""en"")"),"It is very restrictive to no longer have an office in Toulon. Putting with all active and retired officials it would be desirable to reopen an office. Make my colleague have migrated to the interior! This makes the processing of files are excessively long"&amp;".")</f>
        <v>It is very restrictive to no longer have an office in Toulon. Putting with all active and retired officials it would be desirable to reopen an office. Make my colleague have migrated to the interior! This makes the processing of files are excessively long.</v>
      </c>
    </row>
    <row r="23" ht="15.75" customHeight="1">
      <c r="A23" s="2">
        <v>1.0</v>
      </c>
      <c r="B23" s="2" t="s">
        <v>107</v>
      </c>
      <c r="C23" s="2" t="s">
        <v>108</v>
      </c>
      <c r="D23" s="2" t="s">
        <v>30</v>
      </c>
      <c r="E23" s="2" t="s">
        <v>31</v>
      </c>
      <c r="F23" s="2" t="s">
        <v>15</v>
      </c>
      <c r="G23" s="2" t="s">
        <v>109</v>
      </c>
      <c r="H23" s="2" t="s">
        <v>110</v>
      </c>
      <c r="I23" s="2" t="str">
        <f>IFERROR(__xludf.DUMMYFUNCTION("GOOGLETRANSLATE(C23,""fr"",""en"")"),"Catastrophic mutual! Paid and incompetent customer service. Never answers to my questions, the service in question will come back to me, either no feedback or not the expected answer .. incorrect reimbursements. If you can, flee !!!!")</f>
        <v>Catastrophic mutual! Paid and incompetent customer service. Never answers to my questions, the service in question will come back to me, either no feedback or not the expected answer .. incorrect reimbursements. If you can, flee !!!!</v>
      </c>
    </row>
    <row r="24" ht="15.75" customHeight="1">
      <c r="A24" s="2">
        <v>3.0</v>
      </c>
      <c r="B24" s="2" t="s">
        <v>111</v>
      </c>
      <c r="C24" s="2" t="s">
        <v>112</v>
      </c>
      <c r="D24" s="2" t="s">
        <v>13</v>
      </c>
      <c r="E24" s="2" t="s">
        <v>14</v>
      </c>
      <c r="F24" s="2" t="s">
        <v>15</v>
      </c>
      <c r="G24" s="2" t="s">
        <v>113</v>
      </c>
      <c r="H24" s="2" t="s">
        <v>43</v>
      </c>
      <c r="I24" s="2" t="str">
        <f>IFERROR(__xludf.DUMMYFUNCTION("GOOGLETRANSLATE(C24,""fr"",""en"")"),"Super insurance will help it to drive quietly everything was done very quickly it is great again I would recommend oliver insurance to loved ones")</f>
        <v>Super insurance will help it to drive quietly everything was done very quickly it is great again I would recommend oliver insurance to loved ones</v>
      </c>
    </row>
    <row r="25" ht="15.75" customHeight="1">
      <c r="A25" s="2">
        <v>1.0</v>
      </c>
      <c r="B25" s="2" t="s">
        <v>114</v>
      </c>
      <c r="C25" s="2" t="s">
        <v>115</v>
      </c>
      <c r="D25" s="2" t="s">
        <v>20</v>
      </c>
      <c r="E25" s="2" t="s">
        <v>14</v>
      </c>
      <c r="F25" s="2" t="s">
        <v>15</v>
      </c>
      <c r="G25" s="2" t="s">
        <v>116</v>
      </c>
      <c r="H25" s="2" t="s">
        <v>117</v>
      </c>
      <c r="I25" s="2" t="str">
        <f>IFERROR(__xludf.DUMMYFUNCTION("GOOGLETRANSLATE(C25,""fr"",""en"")"),"Null insurance AXA Reclamma the sum of 102 euros without my I am insured with them I do not send them a gray card or a statement information avoided")</f>
        <v>Null insurance AXA Reclamma the sum of 102 euros without my I am insured with them I do not send them a gray card or a statement information avoided</v>
      </c>
    </row>
    <row r="26" ht="15.75" customHeight="1">
      <c r="A26" s="2">
        <v>1.0</v>
      </c>
      <c r="B26" s="2" t="s">
        <v>118</v>
      </c>
      <c r="C26" s="2" t="s">
        <v>119</v>
      </c>
      <c r="D26" s="2" t="s">
        <v>120</v>
      </c>
      <c r="E26" s="2" t="s">
        <v>121</v>
      </c>
      <c r="F26" s="2" t="s">
        <v>15</v>
      </c>
      <c r="G26" s="2" t="s">
        <v>122</v>
      </c>
      <c r="H26" s="2" t="s">
        <v>90</v>
      </c>
      <c r="I26" s="2" t="str">
        <f>IFERROR(__xludf.DUMMYFUNCTION("GOOGLETRANSLATE(C26,""fr"",""en"")"),"Very expensive insurance related to the services rendered. No service when you need it.
Contract at the limit of lies, we only notice it at the time of a reimbursement or damage to damage.")</f>
        <v>Very expensive insurance related to the services rendered. No service when you need it.
Contract at the limit of lies, we only notice it at the time of a reimbursement or damage to damage.</v>
      </c>
    </row>
    <row r="27" ht="15.75" customHeight="1">
      <c r="A27" s="2">
        <v>1.0</v>
      </c>
      <c r="B27" s="2" t="s">
        <v>123</v>
      </c>
      <c r="C27" s="2" t="s">
        <v>124</v>
      </c>
      <c r="D27" s="2" t="s">
        <v>125</v>
      </c>
      <c r="E27" s="2" t="s">
        <v>14</v>
      </c>
      <c r="F27" s="2" t="s">
        <v>15</v>
      </c>
      <c r="G27" s="2" t="s">
        <v>46</v>
      </c>
      <c r="H27" s="2" t="s">
        <v>47</v>
      </c>
      <c r="I27" s="2" t="str">
        <f>IFERROR(__xludf.DUMMYFUNCTION("GOOGLETRANSLATE(C27,""fr"",""en"")"),"My case is almost the same! Having declared a non -responsible claim (refusal of priority) insurance drags to take care since the opposing person was also assured GMF. The garage calls me, tells me that the care is made and that I can finally deposit my v"&amp;"ehicle for repairs (after 5 months of waiting anyway). 3 days later, the garage tells me that finally GMF canceled the care and that to get the vehicle out I have to pay the repairs (€ 1,200). I call GMF to ask them for explanations, and that's where they"&amp;" tell me that I have no evidence that they called the garage to accept the care. So I find myself without vehicle because blocked in the garage for more than a month. Sinister that has lasted for 6 months then thank you GMF !!! In addition, they contact m"&amp;"e to tell me that an investigation has been opened because they find the circumstances of my disaster.")</f>
        <v>My case is almost the same! Having declared a non -responsible claim (refusal of priority) insurance drags to take care since the opposing person was also assured GMF. The garage calls me, tells me that the care is made and that I can finally deposit my vehicle for repairs (after 5 months of waiting anyway). 3 days later, the garage tells me that finally GMF canceled the care and that to get the vehicle out I have to pay the repairs (€ 1,200). I call GMF to ask them for explanations, and that's where they tell me that I have no evidence that they called the garage to accept the care. So I find myself without vehicle because blocked in the garage for more than a month. Sinister that has lasted for 6 months then thank you GMF !!! In addition, they contact me to tell me that an investigation has been opened because they find the circumstances of my disaster.</v>
      </c>
    </row>
    <row r="28" ht="15.75" customHeight="1">
      <c r="A28" s="2">
        <v>3.0</v>
      </c>
      <c r="B28" s="2" t="s">
        <v>126</v>
      </c>
      <c r="C28" s="2" t="s">
        <v>127</v>
      </c>
      <c r="D28" s="2" t="s">
        <v>128</v>
      </c>
      <c r="E28" s="2" t="s">
        <v>51</v>
      </c>
      <c r="F28" s="2" t="s">
        <v>15</v>
      </c>
      <c r="G28" s="2" t="s">
        <v>129</v>
      </c>
      <c r="H28" s="2" t="s">
        <v>130</v>
      </c>
      <c r="I28" s="2" t="str">
        <f>IFERROR(__xludf.DUMMYFUNCTION("GOOGLETRANSLATE(C28,""fr"",""en"")"),"Super contact with the Romu salesperson for my street, professional price and top conditions
I recommend")</f>
        <v>Super contact with the Romu salesperson for my street, professional price and top conditions
I recommend</v>
      </c>
    </row>
    <row r="29" ht="15.75" customHeight="1">
      <c r="A29" s="2">
        <v>5.0</v>
      </c>
      <c r="B29" s="2" t="s">
        <v>131</v>
      </c>
      <c r="C29" s="2" t="s">
        <v>132</v>
      </c>
      <c r="D29" s="2" t="s">
        <v>13</v>
      </c>
      <c r="E29" s="2" t="s">
        <v>14</v>
      </c>
      <c r="F29" s="2" t="s">
        <v>15</v>
      </c>
      <c r="G29" s="2" t="s">
        <v>133</v>
      </c>
      <c r="H29" s="2" t="s">
        <v>85</v>
      </c>
      <c r="I29" s="2" t="str">
        <f>IFERROR(__xludf.DUMMYFUNCTION("GOOGLETRANSLATE(C29,""fr"",""en"")"),"Customer service is at the top! I was able to guide me for the choice of insurance, the choice of guarantees. I appreciated that I was not paid for the strongest price
")</f>
        <v>Customer service is at the top! I was able to guide me for the choice of insurance, the choice of guarantees. I appreciated that I was not paid for the strongest price
</v>
      </c>
    </row>
    <row r="30" ht="15.75" customHeight="1">
      <c r="A30" s="2">
        <v>1.0</v>
      </c>
      <c r="B30" s="2" t="s">
        <v>134</v>
      </c>
      <c r="C30" s="2" t="s">
        <v>135</v>
      </c>
      <c r="D30" s="2" t="s">
        <v>93</v>
      </c>
      <c r="E30" s="2" t="s">
        <v>14</v>
      </c>
      <c r="F30" s="2" t="s">
        <v>15</v>
      </c>
      <c r="G30" s="2" t="s">
        <v>136</v>
      </c>
      <c r="H30" s="2" t="s">
        <v>137</v>
      </c>
      <c r="I30" s="2" t="str">
        <f>IFERROR(__xludf.DUMMYFUNCTION("GOOGLETRANSLATE(C30,""fr"",""en"")"),"Be very careful with what insurance you entrust your future because you must be aware that in the event of a serious accident everything can change for you and insurance is supposed to soften this and accompany you in this difficult test and to have been "&amp;"confronted with the Matmut N 'is not confidence she simply awaits your contributions without compensation
Be very careful with what insurance you entrust your future, because you must be aware that in the event of a serious accident everything can chan"&amp;"ge for you and insurance is supposed to soften this and accompany you in this difficult test and to have been confronted the Matmut there is not confidence. She simply awaits your contributions without consideration. And I have as proof that even the medi"&amp;"ation of the Matmut did not want to intervene in this file after my request.")</f>
        <v>Be very careful with what insurance you entrust your future because you must be aware that in the event of a serious accident everything can change for you and insurance is supposed to soften this and accompany you in this difficult test and to have been confronted with the Matmut N 'is not confidence she simply awaits your contributions without compensation
Be very careful with what insurance you entrust your future, because you must be aware that in the event of a serious accident everything can change for you and insurance is supposed to soften this and accompany you in this difficult test and to have been confronted the Matmut there is not confidence. She simply awaits your contributions without consideration. And I have as proof that even the mediation of the Matmut did not want to intervene in this file after my request.</v>
      </c>
    </row>
    <row r="31" ht="15.75" customHeight="1">
      <c r="A31" s="2">
        <v>1.0</v>
      </c>
      <c r="B31" s="2" t="s">
        <v>138</v>
      </c>
      <c r="C31" s="2" t="s">
        <v>139</v>
      </c>
      <c r="D31" s="2" t="s">
        <v>93</v>
      </c>
      <c r="E31" s="2" t="s">
        <v>14</v>
      </c>
      <c r="F31" s="2" t="s">
        <v>15</v>
      </c>
      <c r="G31" s="2" t="s">
        <v>140</v>
      </c>
      <c r="H31" s="2" t="s">
        <v>73</v>
      </c>
      <c r="I31" s="2" t="str">
        <f>IFERROR(__xludf.DUMMYFUNCTION("GOOGLETRANSLATE(C31,""fr"",""en"")"),"After a claim that occurred on 16/03 finally a compensation offer on 24/06 (at the discount of course) unreachable, zero listening, see notorious incompetence. When I asked for a commercial gesture no")</f>
        <v>After a claim that occurred on 16/03 finally a compensation offer on 24/06 (at the discount of course) unreachable, zero listening, see notorious incompetence. When I asked for a commercial gesture no</v>
      </c>
    </row>
    <row r="32" ht="15.75" customHeight="1">
      <c r="A32" s="2">
        <v>3.0</v>
      </c>
      <c r="B32" s="2" t="s">
        <v>141</v>
      </c>
      <c r="C32" s="2" t="s">
        <v>142</v>
      </c>
      <c r="D32" s="2" t="s">
        <v>143</v>
      </c>
      <c r="E32" s="2" t="s">
        <v>31</v>
      </c>
      <c r="F32" s="2" t="s">
        <v>15</v>
      </c>
      <c r="G32" s="2" t="s">
        <v>144</v>
      </c>
      <c r="H32" s="2" t="s">
        <v>145</v>
      </c>
      <c r="I32" s="2" t="str">
        <f>IFERROR(__xludf.DUMMYFUNCTION("GOOGLETRANSLATE(C32,""fr"",""en"")"),"Hello the offer looks very well and adapted in particular alternative medicines and bonuses that are obtained after years of loyalty.
I would judge reimbursement efficiency as you go.")</f>
        <v>Hello the offer looks very well and adapted in particular alternative medicines and bonuses that are obtained after years of loyalty.
I would judge reimbursement efficiency as you go.</v>
      </c>
    </row>
    <row r="33" ht="15.75" customHeight="1">
      <c r="A33" s="2">
        <v>2.0</v>
      </c>
      <c r="B33" s="2" t="s">
        <v>146</v>
      </c>
      <c r="C33" s="2" t="s">
        <v>147</v>
      </c>
      <c r="D33" s="2" t="s">
        <v>13</v>
      </c>
      <c r="E33" s="2" t="s">
        <v>14</v>
      </c>
      <c r="F33" s="2" t="s">
        <v>15</v>
      </c>
      <c r="G33" s="2" t="s">
        <v>148</v>
      </c>
      <c r="H33" s="2" t="s">
        <v>149</v>
      </c>
      <c r="I33" s="2" t="str">
        <f>IFERROR(__xludf.DUMMYFUNCTION("GOOGLETRANSLATE(C33,""fr"",""en"")"),"The olive assurance is very good insurance as long as you have no problem. The sales department works well, your regulations are well received, and the Olivier Insurance advertising on television to ensure its growth.
Insured to the third party for more "&amp;"than a year, I was the victim of a non -responsible accident a few months ago. The wrong vehicle remained on the spot and the driver fled leaving no doubt to the police who went there on the materiality of the facts.
The responsible vehicle being insured"&amp;" and not stolen, the police confirms to me that there is not an offense of flight and that the responsible third party is therefore well identified. Despite these circumstances, the Insurance Olivier simply tells me that in the absence of an answer from t"&amp;"he opposing insurance, the file will be classified without follow -up. Too easy ! The € 3,000 in repair would therefore be at my expense. Even the police officer who wrote the handling hand declaration suggests that I change my insurance given this manage"&amp;"ment of my disaster, because he has never seen such a situation.
Think about it before committing to the Olivier Insurance. The sales department is attractive but the service in the event of a claim is deplorable. Following the declaration of a claim, ea"&amp;"ch time I call to take news on the rest of the file, I have people on the phone who give me always slightly different or even contradictory information. An advisor to the Insurance Olivier tells me that in the event of lack of response from the opposing c"&amp;"ompany after 2 months, my version of the facts would be imposed by default and opposing insurance would be forced to pay the damage caused by the responsible vehicle. At the end of the 2 months I receive a letter from the Olivier Insurance telling me that"&amp;" in the absence of an answer from the opposing insurance my file would be classified without follow -up! exactly the opposite. Everything is done to complicate your life, make you waste your time and discourage you from asserting your rights.
I hope that"&amp;" the Olivier Assurance will be able to take responsibility and honor its insurance company commitments.
")</f>
        <v>The olive assurance is very good insurance as long as you have no problem. The sales department works well, your regulations are well received, and the Olivier Insurance advertising on television to ensure its growth.
Insured to the third party for more than a year, I was the victim of a non -responsible accident a few months ago. The wrong vehicle remained on the spot and the driver fled leaving no doubt to the police who went there on the materiality of the facts.
The responsible vehicle being insured and not stolen, the police confirms to me that there is not an offense of flight and that the responsible third party is therefore well identified. Despite these circumstances, the Insurance Olivier simply tells me that in the absence of an answer from the opposing insurance, the file will be classified without follow -up. Too easy ! The € 3,000 in repair would therefore be at my expense. Even the police officer who wrote the handling hand declaration suggests that I change my insurance given this management of my disaster, because he has never seen such a situation.
Think about it before committing to the Olivier Insurance. The sales department is attractive but the service in the event of a claim is deplorable. Following the declaration of a claim, each time I call to take news on the rest of the file, I have people on the phone who give me always slightly different or even contradictory information. An advisor to the Insurance Olivier tells me that in the event of lack of response from the opposing company after 2 months, my version of the facts would be imposed by default and opposing insurance would be forced to pay the damage caused by the responsible vehicle. At the end of the 2 months I receive a letter from the Olivier Insurance telling me that in the absence of an answer from the opposing insurance my file would be classified without follow -up! exactly the opposite. Everything is done to complicate your life, make you waste your time and discourage you from asserting your rights.
I hope that the Olivier Assurance will be able to take responsibility and honor its insurance company commitments.
</v>
      </c>
    </row>
    <row r="34" ht="15.75" customHeight="1">
      <c r="A34" s="2">
        <v>2.0</v>
      </c>
      <c r="B34" s="2" t="s">
        <v>150</v>
      </c>
      <c r="C34" s="2" t="s">
        <v>151</v>
      </c>
      <c r="D34" s="2" t="s">
        <v>55</v>
      </c>
      <c r="E34" s="2" t="s">
        <v>37</v>
      </c>
      <c r="F34" s="2" t="s">
        <v>15</v>
      </c>
      <c r="G34" s="2" t="s">
        <v>152</v>
      </c>
      <c r="H34" s="2" t="s">
        <v>153</v>
      </c>
      <c r="I34" s="2" t="str">
        <f>IFERROR(__xludf.DUMMYFUNCTION("GOOGLETRANSLATE(C34,""fr"",""en"")"),"For my home insurance resilled after a Pacifica sale provides me to an incomplete document which does not reflect the names provided to the contract and transmits an imprecise, not detailed and not valid accounting piece.")</f>
        <v>For my home insurance resilled after a Pacifica sale provides me to an incomplete document which does not reflect the names provided to the contract and transmits an imprecise, not detailed and not valid accounting piece.</v>
      </c>
    </row>
    <row r="35" ht="15.75" customHeight="1">
      <c r="A35" s="2">
        <v>4.0</v>
      </c>
      <c r="B35" s="2" t="s">
        <v>154</v>
      </c>
      <c r="C35" s="2" t="s">
        <v>155</v>
      </c>
      <c r="D35" s="2" t="s">
        <v>125</v>
      </c>
      <c r="E35" s="2" t="s">
        <v>14</v>
      </c>
      <c r="F35" s="2" t="s">
        <v>15</v>
      </c>
      <c r="G35" s="2" t="s">
        <v>156</v>
      </c>
      <c r="H35" s="2" t="s">
        <v>33</v>
      </c>
      <c r="I35" s="2" t="str">
        <f>IFERROR(__xludf.DUMMYFUNCTION("GOOGLETRANSLATE(C35,""fr"",""en"")"),"I have been a customer at GMF for 36 years and I have never had any concern for anything
Even if it is not very easy to go to the site because I have few steps to do")</f>
        <v>I have been a customer at GMF for 36 years and I have never had any concern for anything
Even if it is not very easy to go to the site because I have few steps to do</v>
      </c>
    </row>
    <row r="36" ht="15.75" customHeight="1">
      <c r="A36" s="2">
        <v>2.0</v>
      </c>
      <c r="B36" s="2" t="s">
        <v>157</v>
      </c>
      <c r="C36" s="2" t="s">
        <v>158</v>
      </c>
      <c r="D36" s="2" t="s">
        <v>13</v>
      </c>
      <c r="E36" s="2" t="s">
        <v>14</v>
      </c>
      <c r="F36" s="2" t="s">
        <v>15</v>
      </c>
      <c r="G36" s="2" t="s">
        <v>159</v>
      </c>
      <c r="H36" s="2" t="s">
        <v>160</v>
      </c>
      <c r="I36" s="2" t="str">
        <f>IFERROR(__xludf.DUMMYFUNCTION("GOOGLETRANSLATE(C36,""fr"",""en"")"),"Never the same person on the phone
The findings are interpreted at the good will of the person who read them (according to saying) even if they make a person responsible for a person when they are not all that so as not to lose their franchise.
")</f>
        <v>Never the same person on the phone
The findings are interpreted at the good will of the person who read them (according to saying) even if they make a person responsible for a person when they are not all that so as not to lose their franchise.
</v>
      </c>
    </row>
    <row r="37" ht="15.75" customHeight="1">
      <c r="A37" s="2">
        <v>4.0</v>
      </c>
      <c r="B37" s="2" t="s">
        <v>161</v>
      </c>
      <c r="C37" s="2" t="s">
        <v>162</v>
      </c>
      <c r="D37" s="2" t="s">
        <v>13</v>
      </c>
      <c r="E37" s="2" t="s">
        <v>14</v>
      </c>
      <c r="F37" s="2" t="s">
        <v>15</v>
      </c>
      <c r="G37" s="2" t="s">
        <v>163</v>
      </c>
      <c r="H37" s="2" t="s">
        <v>85</v>
      </c>
      <c r="I37" s="2" t="str">
        <f>IFERROR(__xludf.DUMMYFUNCTION("GOOGLETRANSLATE(C37,""fr"",""en"")"),"Satisfied the prices are quite affordable and the subscription of my insurance contract has been simple and very fast in addition to being easy online.")</f>
        <v>Satisfied the prices are quite affordable and the subscription of my insurance contract has been simple and very fast in addition to being easy online.</v>
      </c>
    </row>
    <row r="38" ht="15.75" customHeight="1">
      <c r="A38" s="2">
        <v>1.0</v>
      </c>
      <c r="B38" s="2" t="s">
        <v>164</v>
      </c>
      <c r="C38" s="2" t="s">
        <v>165</v>
      </c>
      <c r="D38" s="2" t="s">
        <v>125</v>
      </c>
      <c r="E38" s="2" t="s">
        <v>14</v>
      </c>
      <c r="F38" s="2" t="s">
        <v>15</v>
      </c>
      <c r="G38" s="2" t="s">
        <v>166</v>
      </c>
      <c r="H38" s="2" t="s">
        <v>167</v>
      </c>
      <c r="I38" s="2" t="str">
        <f>IFERROR(__xludf.DUMMYFUNCTION("GOOGLETRANSLATE(C38,""fr"",""en"")"),"After 30 years of Aasure at GMF with contract, home, cars (2), legal, max bonus for over 15 years, a simple collision the GMF declares me responsible, despite the well filled observation. Then after explanation with the responsible for the sinister servic"&amp;"e, we recognize following the proofreading of the observation, my non -responsibility. So I must be reimbursed for my damage, and there surprise the GMF refuses to reimburse me. Namely, the third party was also assured at GMF, but its cars was a wreck, th"&amp;"erefore zero compensation and I mine argus more than 10,000 euros, look for the error.")</f>
        <v>After 30 years of Aasure at GMF with contract, home, cars (2), legal, max bonus for over 15 years, a simple collision the GMF declares me responsible, despite the well filled observation. Then after explanation with the responsible for the sinister service, we recognize following the proofreading of the observation, my non -responsibility. So I must be reimbursed for my damage, and there surprise the GMF refuses to reimburse me. Namely, the third party was also assured at GMF, but its cars was a wreck, therefore zero compensation and I mine argus more than 10,000 euros, look for the error.</v>
      </c>
    </row>
    <row r="39" ht="15.75" customHeight="1">
      <c r="A39" s="2">
        <v>5.0</v>
      </c>
      <c r="B39" s="2" t="s">
        <v>168</v>
      </c>
      <c r="C39" s="2" t="s">
        <v>169</v>
      </c>
      <c r="D39" s="2" t="s">
        <v>13</v>
      </c>
      <c r="E39" s="2" t="s">
        <v>14</v>
      </c>
      <c r="F39" s="2" t="s">
        <v>15</v>
      </c>
      <c r="G39" s="2" t="s">
        <v>170</v>
      </c>
      <c r="H39" s="2" t="s">
        <v>171</v>
      </c>
      <c r="I39" s="2" t="str">
        <f>IFERROR(__xludf.DUMMYFUNCTION("GOOGLETRANSLATE(C39,""fr"",""en"")"),"I am a price of the price I expect to discover the quality of the service I was already customers and I regret being left I hope not to regret being returned")</f>
        <v>I am a price of the price I expect to discover the quality of the service I was already customers and I regret being left I hope not to regret being returned</v>
      </c>
    </row>
    <row r="40" ht="15.75" customHeight="1">
      <c r="A40" s="2">
        <v>1.0</v>
      </c>
      <c r="B40" s="2" t="s">
        <v>172</v>
      </c>
      <c r="C40" s="2" t="s">
        <v>173</v>
      </c>
      <c r="D40" s="2" t="s">
        <v>60</v>
      </c>
      <c r="E40" s="2" t="s">
        <v>14</v>
      </c>
      <c r="F40" s="2" t="s">
        <v>15</v>
      </c>
      <c r="G40" s="2" t="s">
        <v>174</v>
      </c>
      <c r="H40" s="2" t="s">
        <v>171</v>
      </c>
      <c r="I40" s="2" t="str">
        <f>IFERROR(__xludf.DUMMYFUNCTION("GOOGLETRANSLATE(C40,""fr"",""en"")"),"This insurance has the method of not giving any signs of life. Our car has been immobilized for 4 months because the garage it imposed on us during the claim has made non -compliant repairs (confirmed by expertise) and now they do not answer any emails a "&amp;"dozen sent and absolutely no answer: it is a ghost insurance")</f>
        <v>This insurance has the method of not giving any signs of life. Our car has been immobilized for 4 months because the garage it imposed on us during the claim has made non -compliant repairs (confirmed by expertise) and now they do not answer any emails a dozen sent and absolutely no answer: it is a ghost insurance</v>
      </c>
    </row>
    <row r="41" ht="15.75" customHeight="1">
      <c r="A41" s="2">
        <v>2.0</v>
      </c>
      <c r="B41" s="2" t="s">
        <v>175</v>
      </c>
      <c r="C41" s="2" t="s">
        <v>176</v>
      </c>
      <c r="D41" s="2" t="s">
        <v>125</v>
      </c>
      <c r="E41" s="2" t="s">
        <v>14</v>
      </c>
      <c r="F41" s="2" t="s">
        <v>15</v>
      </c>
      <c r="G41" s="2" t="s">
        <v>177</v>
      </c>
      <c r="H41" s="2" t="s">
        <v>178</v>
      </c>
      <c r="I41" s="2" t="str">
        <f>IFERROR(__xludf.DUMMYFUNCTION("GOOGLETRANSLATE(C41,""fr"",""en"")"),"After 3 non -responsible accidents in less than 3 years. We thank you kindly for taking the door.
So I followed this advice and did not regret having been fired by these .... (choose the adjective of contempt that will suit you)
Best regards")</f>
        <v>After 3 non -responsible accidents in less than 3 years. We thank you kindly for taking the door.
So I followed this advice and did not regret having been fired by these .... (choose the adjective of contempt that will suit you)
Best regards</v>
      </c>
    </row>
    <row r="42" ht="15.75" customHeight="1">
      <c r="A42" s="2">
        <v>5.0</v>
      </c>
      <c r="B42" s="2" t="s">
        <v>179</v>
      </c>
      <c r="C42" s="2" t="s">
        <v>180</v>
      </c>
      <c r="D42" s="2" t="s">
        <v>13</v>
      </c>
      <c r="E42" s="2" t="s">
        <v>14</v>
      </c>
      <c r="F42" s="2" t="s">
        <v>15</v>
      </c>
      <c r="G42" s="2" t="s">
        <v>181</v>
      </c>
      <c r="H42" s="2" t="s">
        <v>145</v>
      </c>
      <c r="I42" s="2" t="str">
        <f>IFERROR(__xludf.DUMMYFUNCTION("GOOGLETRANSLATE(C42,""fr"",""en"")"),"Very pleasant telephone reception of very good explanation I am satisfied with the conditions of the contract which was offered to me concerning my three vehicles")</f>
        <v>Very pleasant telephone reception of very good explanation I am satisfied with the conditions of the contract which was offered to me concerning my three vehicles</v>
      </c>
    </row>
    <row r="43" ht="15.75" customHeight="1">
      <c r="A43" s="2">
        <v>1.0</v>
      </c>
      <c r="B43" s="2" t="s">
        <v>182</v>
      </c>
      <c r="C43" s="2" t="s">
        <v>183</v>
      </c>
      <c r="D43" s="2" t="s">
        <v>20</v>
      </c>
      <c r="E43" s="2" t="s">
        <v>37</v>
      </c>
      <c r="F43" s="2" t="s">
        <v>15</v>
      </c>
      <c r="G43" s="2" t="s">
        <v>184</v>
      </c>
      <c r="H43" s="2" t="s">
        <v>184</v>
      </c>
      <c r="I43" s="2" t="str">
        <f>IFERROR(__xludf.DUMMYFUNCTION("GOOGLETRANSLATE(C43,""fr"",""en"")"),"""Signed"" contract with a 102 -year -old woman in illegible signatures without a ""before contract"" document which proves the intention of commitment of this deaf and blind woman .... 1 year before her death.
On insurance at an extraordinary price")</f>
        <v>"Signed" contract with a 102 -year -old woman in illegible signatures without a "before contract" document which proves the intention of commitment of this deaf and blind woman .... 1 year before her death.
On insurance at an extraordinary price</v>
      </c>
    </row>
    <row r="44" ht="15.75" customHeight="1">
      <c r="A44" s="2">
        <v>5.0</v>
      </c>
      <c r="B44" s="2" t="s">
        <v>185</v>
      </c>
      <c r="C44" s="2" t="s">
        <v>186</v>
      </c>
      <c r="D44" s="2" t="s">
        <v>13</v>
      </c>
      <c r="E44" s="2" t="s">
        <v>14</v>
      </c>
      <c r="F44" s="2" t="s">
        <v>15</v>
      </c>
      <c r="G44" s="2" t="s">
        <v>187</v>
      </c>
      <c r="H44" s="2" t="s">
        <v>33</v>
      </c>
      <c r="I44" s="2" t="str">
        <f>IFERROR(__xludf.DUMMYFUNCTION("GOOGLETRANSLATE(C44,""fr"",""en"")"),"Hello,
Having made several quotes in certain insurances and received many negative responses for a young driver. The Olivier Assurance was able to support my needs, I recommend this insurance for the moment. To see in the future.")</f>
        <v>Hello,
Having made several quotes in certain insurances and received many negative responses for a young driver. The Olivier Assurance was able to support my needs, I recommend this insurance for the moment. To see in the future.</v>
      </c>
    </row>
    <row r="45" ht="15.75" customHeight="1">
      <c r="A45" s="2">
        <v>5.0</v>
      </c>
      <c r="B45" s="2" t="s">
        <v>188</v>
      </c>
      <c r="C45" s="2" t="s">
        <v>189</v>
      </c>
      <c r="D45" s="2" t="s">
        <v>13</v>
      </c>
      <c r="E45" s="2" t="s">
        <v>14</v>
      </c>
      <c r="F45" s="2" t="s">
        <v>15</v>
      </c>
      <c r="G45" s="2" t="s">
        <v>190</v>
      </c>
      <c r="H45" s="2" t="s">
        <v>85</v>
      </c>
      <c r="I45" s="2" t="str">
        <f>IFERROR(__xludf.DUMMYFUNCTION("GOOGLETRANSLATE(C45,""fr"",""en"")"),"Subscription service based in the North TRSè pleasant and professional. Decreed that the electronic signature is not responsive smartphone and that I have to connect to my computer computer to go to the end of the electronic signature process. I would hav"&amp;"e preferred a French market player like Maileva via Docapost rather than an American company whose solution does not allow opas a fluid customer journey and above all have our data in the United States.")</f>
        <v>Subscription service based in the North TRSè pleasant and professional. Decreed that the electronic signature is not responsive smartphone and that I have to connect to my computer computer to go to the end of the electronic signature process. I would have preferred a French market player like Maileva via Docapost rather than an American company whose solution does not allow opas a fluid customer journey and above all have our data in the United States.</v>
      </c>
    </row>
    <row r="46" ht="15.75" customHeight="1">
      <c r="A46" s="2">
        <v>4.0</v>
      </c>
      <c r="B46" s="2" t="s">
        <v>191</v>
      </c>
      <c r="C46" s="2" t="s">
        <v>192</v>
      </c>
      <c r="D46" s="2" t="s">
        <v>36</v>
      </c>
      <c r="E46" s="2" t="s">
        <v>14</v>
      </c>
      <c r="F46" s="2" t="s">
        <v>15</v>
      </c>
      <c r="G46" s="2" t="s">
        <v>193</v>
      </c>
      <c r="H46" s="2" t="s">
        <v>27</v>
      </c>
      <c r="I46" s="2" t="str">
        <f>IFERROR(__xludf.DUMMYFUNCTION("GOOGLETRANSLATE(C46,""fr"",""en"")"),"The service offered and the price suits me perfectly.
The telephone reception is pleasant and warm
The responsiveness is good, quote received quickly.")</f>
        <v>The service offered and the price suits me perfectly.
The telephone reception is pleasant and warm
The responsiveness is good, quote received quickly.</v>
      </c>
    </row>
    <row r="47" ht="15.75" customHeight="1">
      <c r="A47" s="2">
        <v>4.0</v>
      </c>
      <c r="B47" s="2" t="s">
        <v>194</v>
      </c>
      <c r="C47" s="2" t="s">
        <v>195</v>
      </c>
      <c r="D47" s="2" t="s">
        <v>36</v>
      </c>
      <c r="E47" s="2" t="s">
        <v>14</v>
      </c>
      <c r="F47" s="2" t="s">
        <v>15</v>
      </c>
      <c r="G47" s="2" t="s">
        <v>196</v>
      </c>
      <c r="H47" s="2" t="s">
        <v>171</v>
      </c>
      <c r="I47" s="2" t="str">
        <f>IFERROR(__xludf.DUMMYFUNCTION("GOOGLETRANSLATE(C47,""fr"",""en"")"),"The prices are affordable and very attractive
The Direct Insurance site is very simple, fast and efficient.
 ")</f>
        <v>The prices are affordable and very attractive
The Direct Insurance site is very simple, fast and efficient.
 </v>
      </c>
    </row>
    <row r="48" ht="15.75" customHeight="1">
      <c r="A48" s="2">
        <v>5.0</v>
      </c>
      <c r="B48" s="2" t="s">
        <v>197</v>
      </c>
      <c r="C48" s="2" t="s">
        <v>198</v>
      </c>
      <c r="D48" s="2" t="s">
        <v>199</v>
      </c>
      <c r="E48" s="2" t="s">
        <v>200</v>
      </c>
      <c r="F48" s="2" t="s">
        <v>15</v>
      </c>
      <c r="G48" s="2" t="s">
        <v>201</v>
      </c>
      <c r="H48" s="2" t="s">
        <v>33</v>
      </c>
      <c r="I48" s="2" t="str">
        <f>IFERROR(__xludf.DUMMYFUNCTION("GOOGLETRANSLATE(C48,""fr"",""en"")"),"I am satisfied with my interlocutor who is available and patient
Thank you to Zineb!
The file was well followed properly and she responded to all my requests!")</f>
        <v>I am satisfied with my interlocutor who is available and patient
Thank you to Zineb!
The file was well followed properly and she responded to all my requests!</v>
      </c>
    </row>
    <row r="49" ht="15.75" customHeight="1">
      <c r="A49" s="2">
        <v>4.0</v>
      </c>
      <c r="B49" s="2" t="s">
        <v>202</v>
      </c>
      <c r="C49" s="2" t="s">
        <v>203</v>
      </c>
      <c r="D49" s="2" t="s">
        <v>88</v>
      </c>
      <c r="E49" s="2" t="s">
        <v>31</v>
      </c>
      <c r="F49" s="2" t="s">
        <v>15</v>
      </c>
      <c r="G49" s="2" t="s">
        <v>204</v>
      </c>
      <c r="H49" s="2" t="s">
        <v>205</v>
      </c>
      <c r="I49" s="2" t="str">
        <f>IFERROR(__xludf.DUMMYFUNCTION("GOOGLETRANSLATE(C49,""fr"",""en"")"),"I am generally satisfied with the services offered by Santiane
The explanations are clear and the people available and listened")</f>
        <v>I am generally satisfied with the services offered by Santiane
The explanations are clear and the people available and listened</v>
      </c>
    </row>
    <row r="50" ht="15.75" customHeight="1">
      <c r="A50" s="2">
        <v>5.0</v>
      </c>
      <c r="B50" s="2" t="s">
        <v>206</v>
      </c>
      <c r="C50" s="2" t="s">
        <v>207</v>
      </c>
      <c r="D50" s="2" t="s">
        <v>36</v>
      </c>
      <c r="E50" s="2" t="s">
        <v>14</v>
      </c>
      <c r="F50" s="2" t="s">
        <v>15</v>
      </c>
      <c r="G50" s="2" t="s">
        <v>208</v>
      </c>
      <c r="H50" s="2" t="s">
        <v>43</v>
      </c>
      <c r="I50" s="2" t="str">
        <f>IFERROR(__xludf.DUMMYFUNCTION("GOOGLETRANSLATE(C50,""fr"",""en"")"),"Super easy to make a very good house
Super easy to make a very good house
Super easy to make a very good house")</f>
        <v>Super easy to make a very good house
Super easy to make a very good house
Super easy to make a very good house</v>
      </c>
    </row>
    <row r="51" ht="15.75" customHeight="1">
      <c r="A51" s="2">
        <v>4.0</v>
      </c>
      <c r="B51" s="2" t="s">
        <v>209</v>
      </c>
      <c r="C51" s="2" t="s">
        <v>210</v>
      </c>
      <c r="D51" s="2" t="s">
        <v>211</v>
      </c>
      <c r="E51" s="2" t="s">
        <v>31</v>
      </c>
      <c r="F51" s="2" t="s">
        <v>15</v>
      </c>
      <c r="G51" s="2" t="s">
        <v>212</v>
      </c>
      <c r="H51" s="2" t="s">
        <v>213</v>
      </c>
      <c r="I51" s="2" t="str">
        <f>IFERROR(__xludf.DUMMYFUNCTION("GOOGLETRANSLATE(C51,""fr"",""en"")"),"Nothing special ... Correct insurance in terms of prices. In teletransmission for a few months
This avoids letters. Satisfactory and adapted guarantees. Special ... Correct insurance in terms of prices. In teletransmission for a few months
This avoids l"&amp;"etters. Satisfactory and adapted guarantees.")</f>
        <v>Nothing special ... Correct insurance in terms of prices. In teletransmission for a few months
This avoids letters. Satisfactory and adapted guarantees. Special ... Correct insurance in terms of prices. In teletransmission for a few months
This avoids letters. Satisfactory and adapted guarantees.</v>
      </c>
    </row>
    <row r="52" ht="15.75" customHeight="1">
      <c r="A52" s="2">
        <v>4.0</v>
      </c>
      <c r="B52" s="2" t="s">
        <v>214</v>
      </c>
      <c r="C52" s="2" t="s">
        <v>215</v>
      </c>
      <c r="D52" s="2" t="s">
        <v>36</v>
      </c>
      <c r="E52" s="2" t="s">
        <v>14</v>
      </c>
      <c r="F52" s="2" t="s">
        <v>15</v>
      </c>
      <c r="G52" s="2" t="s">
        <v>216</v>
      </c>
      <c r="H52" s="2" t="s">
        <v>33</v>
      </c>
      <c r="I52" s="2" t="str">
        <f>IFERROR(__xludf.DUMMYFUNCTION("GOOGLETRANSLATE(C52,""fr"",""en"")"),"Interesting price
Listening advisor and perfectly informs
Regarding the quality of services is the first time that I have connected.
To be continued
")</f>
        <v>Interesting price
Listening advisor and perfectly informs
Regarding the quality of services is the first time that I have connected.
To be continued
</v>
      </c>
    </row>
    <row r="53" ht="15.75" customHeight="1">
      <c r="A53" s="2">
        <v>1.0</v>
      </c>
      <c r="B53" s="2" t="s">
        <v>217</v>
      </c>
      <c r="C53" s="2" t="s">
        <v>218</v>
      </c>
      <c r="D53" s="2" t="s">
        <v>36</v>
      </c>
      <c r="E53" s="2" t="s">
        <v>14</v>
      </c>
      <c r="F53" s="2" t="s">
        <v>15</v>
      </c>
      <c r="G53" s="2" t="s">
        <v>219</v>
      </c>
      <c r="H53" s="2" t="s">
        <v>171</v>
      </c>
      <c r="I53" s="2" t="str">
        <f>IFERROR(__xludf.DUMMYFUNCTION("GOOGLETRANSLATE(C53,""fr"",""en"")"),"I regret to point out that despite a recommended registered and emails sent, I am still waiting to terminate my home contract. I currently have a car contract at Direct and I will change because when you have to stop a contract, it is impossible while to "&amp;"subscribe, everything is fast .... I am really disappointed with these inactions.")</f>
        <v>I regret to point out that despite a recommended registered and emails sent, I am still waiting to terminate my home contract. I currently have a car contract at Direct and I will change because when you have to stop a contract, it is impossible while to subscribe, everything is fast .... I am really disappointed with these inactions.</v>
      </c>
    </row>
    <row r="54" ht="15.75" customHeight="1">
      <c r="A54" s="2">
        <v>2.0</v>
      </c>
      <c r="B54" s="2" t="s">
        <v>220</v>
      </c>
      <c r="C54" s="2" t="s">
        <v>221</v>
      </c>
      <c r="D54" s="2" t="s">
        <v>30</v>
      </c>
      <c r="E54" s="2" t="s">
        <v>31</v>
      </c>
      <c r="F54" s="2" t="s">
        <v>15</v>
      </c>
      <c r="G54" s="2" t="s">
        <v>222</v>
      </c>
      <c r="H54" s="2" t="s">
        <v>223</v>
      </c>
      <c r="I54" s="2" t="str">
        <f>IFERROR(__xludf.DUMMYFUNCTION("GOOGLETRANSLATE(C54,""fr"",""en"")"),"Too long reimbursement time - does not respond to the email - difficult to reach the service - attractive price in business mutual unless joint does not have its own mutual and there the price climbs")</f>
        <v>Too long reimbursement time - does not respond to the email - difficult to reach the service - attractive price in business mutual unless joint does not have its own mutual and there the price climbs</v>
      </c>
    </row>
    <row r="55" ht="15.75" customHeight="1">
      <c r="A55" s="2">
        <v>4.0</v>
      </c>
      <c r="B55" s="2" t="s">
        <v>224</v>
      </c>
      <c r="C55" s="2" t="s">
        <v>225</v>
      </c>
      <c r="D55" s="2" t="s">
        <v>36</v>
      </c>
      <c r="E55" s="2" t="s">
        <v>14</v>
      </c>
      <c r="F55" s="2" t="s">
        <v>15</v>
      </c>
      <c r="G55" s="2" t="s">
        <v>226</v>
      </c>
      <c r="H55" s="2" t="s">
        <v>43</v>
      </c>
      <c r="I55" s="2" t="str">
        <f>IFERROR(__xludf.DUMMYFUNCTION("GOOGLETRANSLATE(C55,""fr"",""en"")"),"Hello, I am satisfied with your proposal. I thank you in advance for confirming my membership as well as the termination of my contract with my insurer.")</f>
        <v>Hello, I am satisfied with your proposal. I thank you in advance for confirming my membership as well as the termination of my contract with my insurer.</v>
      </c>
    </row>
    <row r="56" ht="15.75" customHeight="1">
      <c r="A56" s="2">
        <v>4.0</v>
      </c>
      <c r="B56" s="2" t="s">
        <v>227</v>
      </c>
      <c r="C56" s="2" t="s">
        <v>228</v>
      </c>
      <c r="D56" s="2" t="s">
        <v>76</v>
      </c>
      <c r="E56" s="2" t="s">
        <v>51</v>
      </c>
      <c r="F56" s="2" t="s">
        <v>15</v>
      </c>
      <c r="G56" s="2" t="s">
        <v>229</v>
      </c>
      <c r="H56" s="2" t="s">
        <v>230</v>
      </c>
      <c r="I56" s="2" t="str">
        <f>IFERROR(__xludf.DUMMYFUNCTION("GOOGLETRANSLATE(C56,""fr"",""en"")"),"Since my registration with AMV, I have been very satisfied. Sending my annual insurance always in time and completing with the support. I am not harassing by advertising or requests for this for this. It is very pleasant to have an insurer who is not cons"&amp;"tantly trying to nibble. I recommend AMV I am satisfied.")</f>
        <v>Since my registration with AMV, I have been very satisfied. Sending my annual insurance always in time and completing with the support. I am not harassing by advertising or requests for this for this. It is very pleasant to have an insurer who is not constantly trying to nibble. I recommend AMV I am satisfied.</v>
      </c>
    </row>
    <row r="57" ht="15.75" customHeight="1">
      <c r="A57" s="2">
        <v>4.0</v>
      </c>
      <c r="B57" s="2" t="s">
        <v>231</v>
      </c>
      <c r="C57" s="2" t="s">
        <v>232</v>
      </c>
      <c r="D57" s="2" t="s">
        <v>76</v>
      </c>
      <c r="E57" s="2" t="s">
        <v>51</v>
      </c>
      <c r="F57" s="2" t="s">
        <v>15</v>
      </c>
      <c r="G57" s="2" t="s">
        <v>233</v>
      </c>
      <c r="H57" s="2" t="s">
        <v>27</v>
      </c>
      <c r="I57" s="2" t="str">
        <f>IFERROR(__xludf.DUMMYFUNCTION("GOOGLETRANSLATE(C57,""fr"",""en"")"),"Hello,
The prices are very interesting The site is simple no need for a document bcp The subscription was fast online for a Sunday. By cons I will have to contact them for one or two questions.")</f>
        <v>Hello,
The prices are very interesting The site is simple no need for a document bcp The subscription was fast online for a Sunday. By cons I will have to contact them for one or two questions.</v>
      </c>
    </row>
    <row r="58" ht="15.75" customHeight="1">
      <c r="A58" s="2">
        <v>4.0</v>
      </c>
      <c r="B58" s="2" t="s">
        <v>234</v>
      </c>
      <c r="C58" s="2" t="s">
        <v>235</v>
      </c>
      <c r="D58" s="2" t="s">
        <v>76</v>
      </c>
      <c r="E58" s="2" t="s">
        <v>51</v>
      </c>
      <c r="F58" s="2" t="s">
        <v>15</v>
      </c>
      <c r="G58" s="2" t="s">
        <v>52</v>
      </c>
      <c r="H58" s="2" t="s">
        <v>27</v>
      </c>
      <c r="I58" s="2" t="str">
        <f>IFERROR(__xludf.DUMMYFUNCTION("GOOGLETRANSLATE(C58,""fr"",""en"")"),"HELLO
Yes I am overall satisfied, except when a person with several contracts does not have too much discount knowing that if I drive the motorcycle I am not on my car and screw and towards his.
Thank you Best regards .")</f>
        <v>HELLO
Yes I am overall satisfied, except when a person with several contracts does not have too much discount knowing that if I drive the motorcycle I am not on my car and screw and towards his.
Thank you Best regards .</v>
      </c>
    </row>
    <row r="59" ht="15.75" customHeight="1">
      <c r="A59" s="2">
        <v>2.0</v>
      </c>
      <c r="B59" s="2" t="s">
        <v>236</v>
      </c>
      <c r="C59" s="2" t="s">
        <v>237</v>
      </c>
      <c r="D59" s="2" t="s">
        <v>238</v>
      </c>
      <c r="E59" s="2" t="s">
        <v>31</v>
      </c>
      <c r="F59" s="2" t="s">
        <v>15</v>
      </c>
      <c r="G59" s="2" t="s">
        <v>239</v>
      </c>
      <c r="H59" s="2" t="s">
        <v>240</v>
      </c>
      <c r="I59" s="2" t="str">
        <f>IFERROR(__xludf.DUMMYFUNCTION("GOOGLETRANSLATE(C59,""fr"",""en"")"),"Mutual imposed by my employer and quite expensive given the reimbursements.
I sent 7 unanswered messages.
I am waiting for them to reimburse me € 1230 since March 8. I had their quote agreement for costs for a dental bridge and now they are deaf ears.
"&amp;"They are incompetent.
It's scandalous")</f>
        <v>Mutual imposed by my employer and quite expensive given the reimbursements.
I sent 7 unanswered messages.
I am waiting for them to reimburse me € 1230 since March 8. I had their quote agreement for costs for a dental bridge and now they are deaf ears.
They are incompetent.
It's scandalous</v>
      </c>
    </row>
    <row r="60" ht="15.75" customHeight="1">
      <c r="A60" s="2">
        <v>1.0</v>
      </c>
      <c r="B60" s="2" t="s">
        <v>241</v>
      </c>
      <c r="C60" s="2" t="s">
        <v>242</v>
      </c>
      <c r="D60" s="2" t="s">
        <v>13</v>
      </c>
      <c r="E60" s="2" t="s">
        <v>14</v>
      </c>
      <c r="F60" s="2" t="s">
        <v>15</v>
      </c>
      <c r="G60" s="2" t="s">
        <v>243</v>
      </c>
      <c r="H60" s="2" t="s">
        <v>47</v>
      </c>
      <c r="I60" s="2" t="str">
        <f>IFERROR(__xludf.DUMMYFUNCTION("GOOGLETRANSLATE(C60,""fr"",""en"")"),"Quite disappointed with this insurance. At the start it is great, fast, inexpensive, online. Nothing to say. We had two claims in 2019 who were not our fault. Hyper complicated to manage these claims, no contact such as direct, exchanges by endless email."&amp;" And in the process our 2020 subscription tripled, going from 400 to 1200 euros. It's low cost insurance ... and low service too.")</f>
        <v>Quite disappointed with this insurance. At the start it is great, fast, inexpensive, online. Nothing to say. We had two claims in 2019 who were not our fault. Hyper complicated to manage these claims, no contact such as direct, exchanges by endless email. And in the process our 2020 subscription tripled, going from 400 to 1200 euros. It's low cost insurance ... and low service too.</v>
      </c>
    </row>
    <row r="61" ht="15.75" customHeight="1">
      <c r="A61" s="2">
        <v>3.0</v>
      </c>
      <c r="B61" s="2" t="s">
        <v>244</v>
      </c>
      <c r="C61" s="2" t="s">
        <v>245</v>
      </c>
      <c r="D61" s="2" t="s">
        <v>55</v>
      </c>
      <c r="E61" s="2" t="s">
        <v>37</v>
      </c>
      <c r="F61" s="2" t="s">
        <v>15</v>
      </c>
      <c r="G61" s="2" t="s">
        <v>246</v>
      </c>
      <c r="H61" s="2" t="s">
        <v>106</v>
      </c>
      <c r="I61" s="2" t="str">
        <f>IFERROR(__xludf.DUMMYFUNCTION("GOOGLETRANSLATE(C61,""fr"",""en"")"),"I had to contact Pacifica several times, I have always been well received, they are responsive and accommodating. I have not always been reimbursed with claims (broken new touchscreen, freezer food lost because of the storm ......) lately I arrive at home"&amp;", broken double glass windows, I suppose by a Ballon or stone projection, the fact that they have advanced the money for repairs to me. It was my friend who repaired with a friend.
I recommend this insurance")</f>
        <v>I had to contact Pacifica several times, I have always been well received, they are responsive and accommodating. I have not always been reimbursed with claims (broken new touchscreen, freezer food lost because of the storm ......) lately I arrive at home, broken double glass windows, I suppose by a Ballon or stone projection, the fact that they have advanced the money for repairs to me. It was my friend who repaired with a friend.
I recommend this insurance</v>
      </c>
    </row>
    <row r="62" ht="15.75" customHeight="1">
      <c r="A62" s="2">
        <v>4.0</v>
      </c>
      <c r="B62" s="2" t="s">
        <v>247</v>
      </c>
      <c r="C62" s="2" t="s">
        <v>248</v>
      </c>
      <c r="D62" s="2" t="s">
        <v>13</v>
      </c>
      <c r="E62" s="2" t="s">
        <v>14</v>
      </c>
      <c r="F62" s="2" t="s">
        <v>15</v>
      </c>
      <c r="G62" s="2" t="s">
        <v>249</v>
      </c>
      <c r="H62" s="2" t="s">
        <v>149</v>
      </c>
      <c r="I62" s="2" t="str">
        <f>IFERROR(__xludf.DUMMYFUNCTION("GOOGLETRANSLATE(C62,""fr"",""en"")"),"I am sincerely sorry for the inconvenience caused by my Bank tale and had concerns with the taxes leaves a third party who made a bad statement of the coup me in the impossibility of paying you Regis Munoz Regis Munoz")</f>
        <v>I am sincerely sorry for the inconvenience caused by my Bank tale and had concerns with the taxes leaves a third party who made a bad statement of the coup me in the impossibility of paying you Regis Munoz Regis Munoz</v>
      </c>
    </row>
    <row r="63" ht="15.75" customHeight="1">
      <c r="A63" s="2">
        <v>1.0</v>
      </c>
      <c r="B63" s="2" t="s">
        <v>250</v>
      </c>
      <c r="C63" s="2" t="s">
        <v>251</v>
      </c>
      <c r="D63" s="2" t="s">
        <v>252</v>
      </c>
      <c r="E63" s="2" t="s">
        <v>253</v>
      </c>
      <c r="F63" s="2" t="s">
        <v>15</v>
      </c>
      <c r="G63" s="2" t="s">
        <v>254</v>
      </c>
      <c r="H63" s="2" t="s">
        <v>255</v>
      </c>
      <c r="I63" s="2" t="str">
        <f>IFERROR(__xludf.DUMMYFUNCTION("GOOGLETRANSLATE(C63,""fr"",""en"")"),"TO FLEE ! It is worth nothing, the guarantees are 0, the high price and in addition to that to fodder the cam we promise you mountains and wonders, and in the end it is the customer who is insulted by the manager of customer service. ... or go the world ?"&amp;"??? Do not subscribe especially under any pretext !!!")</f>
        <v>TO FLEE ! It is worth nothing, the guarantees are 0, the high price and in addition to that to fodder the cam we promise you mountains and wonders, and in the end it is the customer who is insulted by the manager of customer service. ... or go the world ???? Do not subscribe especially under any pretext !!!</v>
      </c>
    </row>
    <row r="64" ht="15.75" customHeight="1">
      <c r="A64" s="2">
        <v>3.0</v>
      </c>
      <c r="B64" s="2" t="s">
        <v>256</v>
      </c>
      <c r="C64" s="2" t="s">
        <v>257</v>
      </c>
      <c r="D64" s="2" t="s">
        <v>36</v>
      </c>
      <c r="E64" s="2" t="s">
        <v>14</v>
      </c>
      <c r="F64" s="2" t="s">
        <v>15</v>
      </c>
      <c r="G64" s="2" t="s">
        <v>258</v>
      </c>
      <c r="H64" s="2" t="s">
        <v>43</v>
      </c>
      <c r="I64" s="2" t="str">
        <f>IFERROR(__xludf.DUMMYFUNCTION("GOOGLETRANSLATE(C64,""fr"",""en"")"),"Competitive and affordable price.
Hoping that the service corresponds well to the competitiveness of their prices. The serenity pack is higher in terms of cost than in another company.")</f>
        <v>Competitive and affordable price.
Hoping that the service corresponds well to the competitiveness of their prices. The serenity pack is higher in terms of cost than in another company.</v>
      </c>
    </row>
    <row r="65" ht="15.75" customHeight="1">
      <c r="A65" s="2">
        <v>4.0</v>
      </c>
      <c r="B65" s="2" t="s">
        <v>259</v>
      </c>
      <c r="C65" s="2" t="s">
        <v>260</v>
      </c>
      <c r="D65" s="2" t="s">
        <v>13</v>
      </c>
      <c r="E65" s="2" t="s">
        <v>14</v>
      </c>
      <c r="F65" s="2" t="s">
        <v>15</v>
      </c>
      <c r="G65" s="2" t="s">
        <v>261</v>
      </c>
      <c r="H65" s="2" t="s">
        <v>27</v>
      </c>
      <c r="I65" s="2" t="str">
        <f>IFERROR(__xludf.DUMMYFUNCTION("GOOGLETRANSLATE(C65,""fr"",""en"")")," Serious nothing to say. Found that we are not a reduction or something else for the 2nd contract with you. We will see to put our children who passes the permit after")</f>
        <v> Serious nothing to say. Found that we are not a reduction or something else for the 2nd contract with you. We will see to put our children who passes the permit after</v>
      </c>
    </row>
    <row r="66" ht="15.75" customHeight="1">
      <c r="A66" s="2">
        <v>1.0</v>
      </c>
      <c r="B66" s="2" t="s">
        <v>262</v>
      </c>
      <c r="C66" s="2" t="s">
        <v>263</v>
      </c>
      <c r="D66" s="2" t="s">
        <v>264</v>
      </c>
      <c r="E66" s="2" t="s">
        <v>31</v>
      </c>
      <c r="F66" s="2" t="s">
        <v>15</v>
      </c>
      <c r="G66" s="2" t="s">
        <v>265</v>
      </c>
      <c r="H66" s="2" t="s">
        <v>145</v>
      </c>
      <c r="I66" s="2" t="str">
        <f>IFERROR(__xludf.DUMMYFUNCTION("GOOGLETRANSLATE(C66,""fr"",""en"")"),"No one at draw is not even a willingness to do something without you asking (reimbursement. Mutual card)
You contact them from your personal space people do not answer you do two years to receive a refund and a mutual card each time you are obliged to as"&amp;"k even if they already know I really recommend it!")</f>
        <v>No one at draw is not even a willingness to do something without you asking (reimbursement. Mutual card)
You contact them from your personal space people do not answer you do two years to receive a refund and a mutual card each time you are obliged to ask even if they already know I really recommend it!</v>
      </c>
    </row>
    <row r="67" ht="15.75" customHeight="1">
      <c r="A67" s="2">
        <v>3.0</v>
      </c>
      <c r="B67" s="2" t="s">
        <v>266</v>
      </c>
      <c r="C67" s="2" t="s">
        <v>267</v>
      </c>
      <c r="D67" s="2" t="s">
        <v>13</v>
      </c>
      <c r="E67" s="2" t="s">
        <v>14</v>
      </c>
      <c r="F67" s="2" t="s">
        <v>15</v>
      </c>
      <c r="G67" s="2" t="s">
        <v>268</v>
      </c>
      <c r="H67" s="2" t="s">
        <v>269</v>
      </c>
      <c r="I67" s="2" t="str">
        <f>IFERROR(__xludf.DUMMYFUNCTION("GOOGLETRANSLATE(C67,""fr"",""en"")"),"Price increase only because the vehicle was not insured immediately (knowing that it was the weekend) it's really average
Otherwise simple and practical")</f>
        <v>Price increase only because the vehicle was not insured immediately (knowing that it was the weekend) it's really average
Otherwise simple and practical</v>
      </c>
    </row>
    <row r="68" ht="15.75" customHeight="1">
      <c r="A68" s="2">
        <v>5.0</v>
      </c>
      <c r="B68" s="2" t="s">
        <v>270</v>
      </c>
      <c r="C68" s="2" t="s">
        <v>271</v>
      </c>
      <c r="D68" s="2" t="s">
        <v>13</v>
      </c>
      <c r="E68" s="2" t="s">
        <v>14</v>
      </c>
      <c r="F68" s="2" t="s">
        <v>15</v>
      </c>
      <c r="G68" s="2" t="s">
        <v>272</v>
      </c>
      <c r="H68" s="2" t="s">
        <v>47</v>
      </c>
      <c r="I68" s="2" t="str">
        <f>IFERROR(__xludf.DUMMYFUNCTION("GOOGLETRANSLATE(C68,""fr"",""en"")"),"Fast, efficient, the cheapest, I highly recommend the Olivier Insurance. Everything is done online, it's very easy and very fast. Hoping that everything is going well for the future.")</f>
        <v>Fast, efficient, the cheapest, I highly recommend the Olivier Insurance. Everything is done online, it's very easy and very fast. Hoping that everything is going well for the future.</v>
      </c>
    </row>
    <row r="69" ht="15.75" customHeight="1">
      <c r="A69" s="2">
        <v>2.0</v>
      </c>
      <c r="B69" s="2" t="s">
        <v>273</v>
      </c>
      <c r="C69" s="2" t="s">
        <v>274</v>
      </c>
      <c r="D69" s="2" t="s">
        <v>211</v>
      </c>
      <c r="E69" s="2" t="s">
        <v>31</v>
      </c>
      <c r="F69" s="2" t="s">
        <v>15</v>
      </c>
      <c r="G69" s="2" t="s">
        <v>275</v>
      </c>
      <c r="H69" s="2" t="s">
        <v>276</v>
      </c>
      <c r="I69" s="2" t="str">
        <f>IFERROR(__xludf.DUMMYFUNCTION("GOOGLETRANSLATE(C69,""fr"",""en"")"),"Waiting for reimbursement for 2 months !!! INADNSISMABLE Customer Service Inoporational Service Member does not even work n of a member:
369075")</f>
        <v>Waiting for reimbursement for 2 months !!! INADNSISMABLE Customer Service Inoporational Service Member does not even work n of a member:
369075</v>
      </c>
    </row>
    <row r="70" ht="15.75" customHeight="1">
      <c r="A70" s="2">
        <v>4.0</v>
      </c>
      <c r="B70" s="2" t="s">
        <v>277</v>
      </c>
      <c r="C70" s="2" t="s">
        <v>278</v>
      </c>
      <c r="D70" s="2" t="s">
        <v>36</v>
      </c>
      <c r="E70" s="2" t="s">
        <v>14</v>
      </c>
      <c r="F70" s="2" t="s">
        <v>15</v>
      </c>
      <c r="G70" s="2" t="s">
        <v>279</v>
      </c>
      <c r="H70" s="2" t="s">
        <v>43</v>
      </c>
      <c r="I70" s="2" t="str">
        <f>IFERROR(__xludf.DUMMYFUNCTION("GOOGLETRANSLATE(C70,""fr"",""en"")"),"I am satisfied with the proposed price.
And speed to make the quote.
I would recommend direct insurance to but close.
I would also make a quote for home insurance subsequently
")</f>
        <v>I am satisfied with the proposed price.
And speed to make the quote.
I would recommend direct insurance to but close.
I would also make a quote for home insurance subsequently
</v>
      </c>
    </row>
    <row r="71" ht="15.75" customHeight="1">
      <c r="A71" s="2">
        <v>4.0</v>
      </c>
      <c r="B71" s="2" t="s">
        <v>280</v>
      </c>
      <c r="C71" s="2" t="s">
        <v>281</v>
      </c>
      <c r="D71" s="2" t="s">
        <v>36</v>
      </c>
      <c r="E71" s="2" t="s">
        <v>14</v>
      </c>
      <c r="F71" s="2" t="s">
        <v>15</v>
      </c>
      <c r="G71" s="2" t="s">
        <v>282</v>
      </c>
      <c r="H71" s="2" t="s">
        <v>27</v>
      </c>
      <c r="I71" s="2" t="str">
        <f>IFERROR(__xludf.DUMMYFUNCTION("GOOGLETRANSLATE(C71,""fr"",""en"")"),"I am satisfied with the services offered as well as the prices set.
The creation of the customer account is fluid via the website, as well as the speed of sending documents.")</f>
        <v>I am satisfied with the services offered as well as the prices set.
The creation of the customer account is fluid via the website, as well as the speed of sending documents.</v>
      </c>
    </row>
    <row r="72" ht="15.75" customHeight="1">
      <c r="A72" s="2">
        <v>1.0</v>
      </c>
      <c r="B72" s="2" t="s">
        <v>283</v>
      </c>
      <c r="C72" s="2" t="s">
        <v>284</v>
      </c>
      <c r="D72" s="2" t="s">
        <v>285</v>
      </c>
      <c r="E72" s="2" t="s">
        <v>14</v>
      </c>
      <c r="F72" s="2" t="s">
        <v>15</v>
      </c>
      <c r="G72" s="2" t="s">
        <v>286</v>
      </c>
      <c r="H72" s="2" t="s">
        <v>287</v>
      </c>
      <c r="I72" s="2" t="str">
        <f>IFERROR(__xludf.DUMMYFUNCTION("GOOGLETRANSLATE(C72,""fr"",""en"")"),"Total dissatisfaction. Client under number 181912, I have been waiting for the 315 euros that he owes me since November. The latter always tells me that they are going to do the necessary we are on December 5 and I have always received nothing.
We cannot"&amp;" trust them at any time. To flee urgently")</f>
        <v>Total dissatisfaction. Client under number 181912, I have been waiting for the 315 euros that he owes me since November. The latter always tells me that they are going to do the necessary we are on December 5 and I have always received nothing.
We cannot trust them at any time. To flee urgently</v>
      </c>
    </row>
    <row r="73" ht="15.75" customHeight="1">
      <c r="A73" s="2">
        <v>5.0</v>
      </c>
      <c r="B73" s="2" t="s">
        <v>288</v>
      </c>
      <c r="C73" s="2" t="s">
        <v>289</v>
      </c>
      <c r="D73" s="2" t="s">
        <v>199</v>
      </c>
      <c r="E73" s="2" t="s">
        <v>200</v>
      </c>
      <c r="F73" s="2" t="s">
        <v>15</v>
      </c>
      <c r="G73" s="2" t="s">
        <v>290</v>
      </c>
      <c r="H73" s="2" t="s">
        <v>47</v>
      </c>
      <c r="I73" s="2" t="str">
        <f>IFERROR(__xludf.DUMMYFUNCTION("GOOGLETRANSLATE(C73,""fr"",""en"")"),"I am very satisfied with the prices and the speed of Zen Up services.
I recommend.
To see over time but for the moment the exchanges and advice are at the appointment.
")</f>
        <v>I am very satisfied with the prices and the speed of Zen Up services.
I recommend.
To see over time but for the moment the exchanges and advice are at the appointment.
</v>
      </c>
    </row>
    <row r="74" ht="15.75" customHeight="1">
      <c r="A74" s="2">
        <v>5.0</v>
      </c>
      <c r="B74" s="2" t="s">
        <v>291</v>
      </c>
      <c r="C74" s="2" t="s">
        <v>292</v>
      </c>
      <c r="D74" s="2" t="s">
        <v>36</v>
      </c>
      <c r="E74" s="2" t="s">
        <v>14</v>
      </c>
      <c r="F74" s="2" t="s">
        <v>15</v>
      </c>
      <c r="G74" s="2" t="s">
        <v>293</v>
      </c>
      <c r="H74" s="2" t="s">
        <v>27</v>
      </c>
      <c r="I74" s="2" t="str">
        <f>IFERROR(__xludf.DUMMYFUNCTION("GOOGLETRANSLATE(C74,""fr"",""en"")"),"The price is satisfactory and in line with my expectations.
The guarantees subscribed correspond to my wish.
Ease of subscription was also an essential factor to contract with Direct Assurances.")</f>
        <v>The price is satisfactory and in line with my expectations.
The guarantees subscribed correspond to my wish.
Ease of subscription was also an essential factor to contract with Direct Assurances.</v>
      </c>
    </row>
    <row r="75" ht="15.75" customHeight="1">
      <c r="A75" s="2">
        <v>1.0</v>
      </c>
      <c r="B75" s="2" t="s">
        <v>294</v>
      </c>
      <c r="C75" s="2" t="s">
        <v>295</v>
      </c>
      <c r="D75" s="2" t="s">
        <v>60</v>
      </c>
      <c r="E75" s="2" t="s">
        <v>121</v>
      </c>
      <c r="F75" s="2" t="s">
        <v>15</v>
      </c>
      <c r="G75" s="2" t="s">
        <v>296</v>
      </c>
      <c r="H75" s="2" t="s">
        <v>297</v>
      </c>
      <c r="I75" s="2" t="str">
        <f>IFERROR(__xludf.DUMMYFUNCTION("GOOGLETRANSLATE(C75,""fr"",""en"")"),"A real shame to treat your customers nearly 10 years of seniority as you do. It's ignoble shameful lamentable! Not only of the incapable of management but in addition at the origin of prejudices of several hundred euros. A problem that we are told to have"&amp;" solved two years ago and that we send you back in full face by accusing you and putting you on straw with abusive samples! More than a month and a half after this new dispute and still no solution !!!!!")</f>
        <v>A real shame to treat your customers nearly 10 years of seniority as you do. It's ignoble shameful lamentable! Not only of the incapable of management but in addition at the origin of prejudices of several hundred euros. A problem that we are told to have solved two years ago and that we send you back in full face by accusing you and putting you on straw with abusive samples! More than a month and a half after this new dispute and still no solution !!!!!</v>
      </c>
    </row>
    <row r="76" ht="15.75" customHeight="1">
      <c r="A76" s="2">
        <v>4.0</v>
      </c>
      <c r="B76" s="2" t="s">
        <v>298</v>
      </c>
      <c r="C76" s="2" t="s">
        <v>299</v>
      </c>
      <c r="D76" s="2" t="s">
        <v>300</v>
      </c>
      <c r="E76" s="2" t="s">
        <v>121</v>
      </c>
      <c r="F76" s="2" t="s">
        <v>15</v>
      </c>
      <c r="G76" s="2" t="s">
        <v>301</v>
      </c>
      <c r="H76" s="2" t="s">
        <v>33</v>
      </c>
      <c r="I76" s="2" t="str">
        <f>IFERROR(__xludf.DUMMYFUNCTION("GOOGLETRANSLATE(C76,""fr"",""en"")"),"Bad experience with the 1st commercial but it was caught up thanks to the intervention of his assistant and a 2nd salesperson very professional by taking the time to explain to me.")</f>
        <v>Bad experience with the 1st commercial but it was caught up thanks to the intervention of his assistant and a 2nd salesperson very professional by taking the time to explain to me.</v>
      </c>
    </row>
    <row r="77" ht="15.75" customHeight="1">
      <c r="A77" s="2">
        <v>1.0</v>
      </c>
      <c r="B77" s="2" t="s">
        <v>302</v>
      </c>
      <c r="C77" s="2" t="s">
        <v>303</v>
      </c>
      <c r="D77" s="2" t="s">
        <v>304</v>
      </c>
      <c r="E77" s="2" t="s">
        <v>200</v>
      </c>
      <c r="F77" s="2" t="s">
        <v>15</v>
      </c>
      <c r="G77" s="2" t="s">
        <v>305</v>
      </c>
      <c r="H77" s="2" t="s">
        <v>306</v>
      </c>
      <c r="I77" s="2" t="str">
        <f>IFERROR(__xludf.DUMMYFUNCTION("GOOGLETRANSLATE(C77,""fr"",""en"")"),"To flee....
Employment lost in November 2019
No compensation before September 2020
10 years of contributions and compensation ""potentially"" 11 months after the loss of jobs ....
But it is registered in 1 paragraphs of the 50 pages of the contract .."&amp;"..
Scandalous !!!!
I will make sure that the ""customers"" are informed")</f>
        <v>To flee....
Employment lost in November 2019
No compensation before September 2020
10 years of contributions and compensation "potentially" 11 months after the loss of jobs ....
But it is registered in 1 paragraphs of the 50 pages of the contract ....
Scandalous !!!!
I will make sure that the "customers" are informed</v>
      </c>
    </row>
    <row r="78" ht="15.75" customHeight="1">
      <c r="A78" s="2">
        <v>5.0</v>
      </c>
      <c r="B78" s="2" t="s">
        <v>307</v>
      </c>
      <c r="C78" s="2" t="s">
        <v>308</v>
      </c>
      <c r="D78" s="2" t="s">
        <v>104</v>
      </c>
      <c r="E78" s="2" t="s">
        <v>31</v>
      </c>
      <c r="F78" s="2" t="s">
        <v>15</v>
      </c>
      <c r="G78" s="2" t="s">
        <v>309</v>
      </c>
      <c r="H78" s="2" t="s">
        <v>43</v>
      </c>
      <c r="I78" s="2" t="str">
        <f>IFERROR(__xludf.DUMMYFUNCTION("GOOGLETRANSLATE(C78,""fr"",""en"")"),"A very good mutual listening to his insured. A very short wait to have a phone advisor. Very pleasant advisers who know very well inform us")</f>
        <v>A very good mutual listening to his insured. A very short wait to have a phone advisor. Very pleasant advisers who know very well inform us</v>
      </c>
    </row>
    <row r="79" ht="15.75" customHeight="1">
      <c r="A79" s="2">
        <v>3.0</v>
      </c>
      <c r="B79" s="2" t="s">
        <v>310</v>
      </c>
      <c r="C79" s="2" t="s">
        <v>311</v>
      </c>
      <c r="D79" s="2" t="s">
        <v>80</v>
      </c>
      <c r="E79" s="2" t="s">
        <v>14</v>
      </c>
      <c r="F79" s="2" t="s">
        <v>15</v>
      </c>
      <c r="G79" s="2" t="s">
        <v>312</v>
      </c>
      <c r="H79" s="2" t="s">
        <v>313</v>
      </c>
      <c r="I79" s="2" t="str">
        <f>IFERROR(__xludf.DUMMYFUNCTION("GOOGLETRANSLATE(C79,""fr"",""en"")"),"It will be two months that we are without a car, the cause being a start of fire that insurance has not taken care of and this despite our 20 years of customers at the MAAF. Insurance made us waste a lot of time, already the expert took time to do his exp"&amp;"ertise (more than a week), to finally do an expertise at an exorbitant price, the insurance refusing to take care of 'Fire for various reasons on the one hand the fire would not be criminal or would not have spread throughout the vehicle or the car is ove"&amp;"r 10 years old, while we have taken out the flight and fire option (without any prevention during registration), even the guard costs they were not able to cover them.
Customer for more than 20 years with several protections (housing, schooling, childcar"&amp;"e) with no incident so far or even delay in payment, we have always been faithful, we have never given in to the attempts of the competitors to get closer to More attractive prices, but unfortunately we have placed our full confidence in you, until this u"&amp;"nfortunate day when we had this incident, at first we were promised to take care of everything but ultimately it was not that , moreover when we wanted to challenge we had an unpleasant person shouted on us, she even dared to say that our fire flight opti"&amp;"on would be useless because the vehicle is very old.
We are strongly thinking about leaving the MAAF after this misadventure at first because there is no point in continuing to pay if behind there is no return or protection.
")</f>
        <v>It will be two months that we are without a car, the cause being a start of fire that insurance has not taken care of and this despite our 20 years of customers at the MAAF. Insurance made us waste a lot of time, already the expert took time to do his expertise (more than a week), to finally do an expertise at an exorbitant price, the insurance refusing to take care of 'Fire for various reasons on the one hand the fire would not be criminal or would not have spread throughout the vehicle or the car is over 10 years old, while we have taken out the flight and fire option (without any prevention during registration), even the guard costs they were not able to cover them.
Customer for more than 20 years with several protections (housing, schooling, childcare) with no incident so far or even delay in payment, we have always been faithful, we have never given in to the attempts of the competitors to get closer to More attractive prices, but unfortunately we have placed our full confidence in you, until this unfortunate day when we had this incident, at first we were promised to take care of everything but ultimately it was not that , moreover when we wanted to challenge we had an unpleasant person shouted on us, she even dared to say that our fire flight option would be useless because the vehicle is very old.
We are strongly thinking about leaving the MAAF after this misadventure at first because there is no point in continuing to pay if behind there is no return or protection.
</v>
      </c>
    </row>
    <row r="80" ht="15.75" customHeight="1">
      <c r="A80" s="2">
        <v>5.0</v>
      </c>
      <c r="B80" s="2" t="s">
        <v>314</v>
      </c>
      <c r="C80" s="2" t="s">
        <v>315</v>
      </c>
      <c r="D80" s="2" t="s">
        <v>125</v>
      </c>
      <c r="E80" s="2" t="s">
        <v>14</v>
      </c>
      <c r="F80" s="2" t="s">
        <v>15</v>
      </c>
      <c r="G80" s="2" t="s">
        <v>316</v>
      </c>
      <c r="H80" s="2" t="s">
        <v>27</v>
      </c>
      <c r="I80" s="2" t="str">
        <f>IFERROR(__xludf.DUMMYFUNCTION("GOOGLETRANSLATE(C80,""fr"",""en"")"),"Operational and fast service. Interesting prices. Listening and promffessional agents. Fast and clear recipients.
Interressive insurance proposals")</f>
        <v>Operational and fast service. Interesting prices. Listening and promffessional agents. Fast and clear recipients.
Interressive insurance proposals</v>
      </c>
    </row>
    <row r="81" ht="15.75" customHeight="1">
      <c r="A81" s="2">
        <v>4.0</v>
      </c>
      <c r="B81" s="2" t="s">
        <v>317</v>
      </c>
      <c r="C81" s="2" t="s">
        <v>318</v>
      </c>
      <c r="D81" s="2" t="s">
        <v>199</v>
      </c>
      <c r="E81" s="2" t="s">
        <v>200</v>
      </c>
      <c r="F81" s="2" t="s">
        <v>15</v>
      </c>
      <c r="G81" s="2" t="s">
        <v>319</v>
      </c>
      <c r="H81" s="2" t="s">
        <v>320</v>
      </c>
      <c r="I81" s="2" t="str">
        <f>IFERROR(__xludf.DUMMYFUNCTION("GOOGLETRANSLATE(C81,""fr"",""en"")"),"The taking is suitable for us, the treatment is simple and the services are attractive.
Zen'up remains competitive with respect to competition and Bravo.
Thank you and see you soon")</f>
        <v>The taking is suitable for us, the treatment is simple and the services are attractive.
Zen'up remains competitive with respect to competition and Bravo.
Thank you and see you soon</v>
      </c>
    </row>
    <row r="82" ht="15.75" customHeight="1">
      <c r="A82" s="2">
        <v>5.0</v>
      </c>
      <c r="B82" s="2" t="s">
        <v>321</v>
      </c>
      <c r="C82" s="2" t="s">
        <v>322</v>
      </c>
      <c r="D82" s="2" t="s">
        <v>13</v>
      </c>
      <c r="E82" s="2" t="s">
        <v>14</v>
      </c>
      <c r="F82" s="2" t="s">
        <v>15</v>
      </c>
      <c r="G82" s="2" t="s">
        <v>323</v>
      </c>
      <c r="H82" s="2" t="s">
        <v>85</v>
      </c>
      <c r="I82" s="2" t="str">
        <f>IFERROR(__xludf.DUMMYFUNCTION("GOOGLETRANSLATE(C82,""fr"",""en"")"),"Simple and practical. The staff are very cordial and welcoming. Documents quickly sent.
Good explanations. I recommend the olive tree. Interesting sponsorship.
")</f>
        <v>Simple and practical. The staff are very cordial and welcoming. Documents quickly sent.
Good explanations. I recommend the olive tree. Interesting sponsorship.
</v>
      </c>
    </row>
    <row r="83" ht="15.75" customHeight="1">
      <c r="A83" s="2">
        <v>5.0</v>
      </c>
      <c r="B83" s="2" t="s">
        <v>324</v>
      </c>
      <c r="C83" s="2" t="s">
        <v>325</v>
      </c>
      <c r="D83" s="2" t="s">
        <v>13</v>
      </c>
      <c r="E83" s="2" t="s">
        <v>14</v>
      </c>
      <c r="F83" s="2" t="s">
        <v>15</v>
      </c>
      <c r="G83" s="2" t="s">
        <v>326</v>
      </c>
      <c r="H83" s="2" t="s">
        <v>73</v>
      </c>
      <c r="I83" s="2" t="str">
        <f>IFERROR(__xludf.DUMMYFUNCTION("GOOGLETRANSLATE(C83,""fr"",""en"")"),"Pleasant welcome - Professional and very pleasant advisers")</f>
        <v>Pleasant welcome - Professional and very pleasant advisers</v>
      </c>
    </row>
    <row r="84" ht="15.75" customHeight="1">
      <c r="A84" s="2">
        <v>5.0</v>
      </c>
      <c r="B84" s="2" t="s">
        <v>327</v>
      </c>
      <c r="C84" s="2" t="s">
        <v>328</v>
      </c>
      <c r="D84" s="2" t="s">
        <v>36</v>
      </c>
      <c r="E84" s="2" t="s">
        <v>14</v>
      </c>
      <c r="F84" s="2" t="s">
        <v>15</v>
      </c>
      <c r="G84" s="2" t="s">
        <v>329</v>
      </c>
      <c r="H84" s="2" t="s">
        <v>230</v>
      </c>
      <c r="I84" s="2" t="str">
        <f>IFERROR(__xludf.DUMMYFUNCTION("GOOGLETRANSLATE(C84,""fr"",""en"")"),"Perfect, these are professional interlocutors with whom you feel confident. Tips that also allow you not to go too fast by making bad decisions. Clearly responsible insurers. thank you")</f>
        <v>Perfect, these are professional interlocutors with whom you feel confident. Tips that also allow you not to go too fast by making bad decisions. Clearly responsible insurers. thank you</v>
      </c>
    </row>
    <row r="85" ht="15.75" customHeight="1">
      <c r="A85" s="2">
        <v>1.0</v>
      </c>
      <c r="B85" s="2" t="s">
        <v>330</v>
      </c>
      <c r="C85" s="2" t="s">
        <v>331</v>
      </c>
      <c r="D85" s="2" t="s">
        <v>76</v>
      </c>
      <c r="E85" s="2" t="s">
        <v>51</v>
      </c>
      <c r="F85" s="2" t="s">
        <v>15</v>
      </c>
      <c r="G85" s="2" t="s">
        <v>332</v>
      </c>
      <c r="H85" s="2" t="s">
        <v>47</v>
      </c>
      <c r="I85" s="2" t="str">
        <f>IFERROR(__xludf.DUMMYFUNCTION("GOOGLETRANSLATE(C85,""fr"",""en"")"),"I wanted to terminate the insurance according to decree L112-9 of the insurance codes for the withdrawal period of 14 days. I will oblige to seize a legal path and other consumer associations to resolve this problem when I only wish to respect the law and"&amp;" this company")</f>
        <v>I wanted to terminate the insurance according to decree L112-9 of the insurance codes for the withdrawal period of 14 days. I will oblige to seize a legal path and other consumer associations to resolve this problem when I only wish to respect the law and this company</v>
      </c>
    </row>
    <row r="86" ht="15.75" customHeight="1">
      <c r="A86" s="2">
        <v>5.0</v>
      </c>
      <c r="B86" s="2" t="s">
        <v>333</v>
      </c>
      <c r="C86" s="2" t="s">
        <v>334</v>
      </c>
      <c r="D86" s="2" t="s">
        <v>13</v>
      </c>
      <c r="E86" s="2" t="s">
        <v>14</v>
      </c>
      <c r="F86" s="2" t="s">
        <v>15</v>
      </c>
      <c r="G86" s="2" t="s">
        <v>335</v>
      </c>
      <c r="H86" s="2" t="s">
        <v>47</v>
      </c>
      <c r="I86" s="2" t="str">
        <f>IFERROR(__xludf.DUMMYFUNCTION("GOOGLETRANSLATE(C86,""fr"",""en"")"),"What a welcome on the phone! What a service and professionalism! A pleasure to be with you :) (I don't know who I had on the phone but you are absolutely wonderful)")</f>
        <v>What a welcome on the phone! What a service and professionalism! A pleasure to be with you :) (I don't know who I had on the phone but you are absolutely wonderful)</v>
      </c>
    </row>
    <row r="87" ht="15.75" customHeight="1">
      <c r="A87" s="2">
        <v>5.0</v>
      </c>
      <c r="B87" s="2" t="s">
        <v>336</v>
      </c>
      <c r="C87" s="2" t="s">
        <v>337</v>
      </c>
      <c r="D87" s="2" t="s">
        <v>36</v>
      </c>
      <c r="E87" s="2" t="s">
        <v>14</v>
      </c>
      <c r="F87" s="2" t="s">
        <v>15</v>
      </c>
      <c r="G87" s="2" t="s">
        <v>26</v>
      </c>
      <c r="H87" s="2" t="s">
        <v>27</v>
      </c>
      <c r="I87" s="2" t="str">
        <f>IFERROR(__xludf.DUMMYFUNCTION("GOOGLETRANSLATE(C87,""fr"",""en"")"),"Simple fast and efficient very professional I highly recommend direct insurance I have never encountered any problem with this insurance I am fully satisfied")</f>
        <v>Simple fast and efficient very professional I highly recommend direct insurance I have never encountered any problem with this insurance I am fully satisfied</v>
      </c>
    </row>
    <row r="88" ht="15.75" customHeight="1">
      <c r="A88" s="2">
        <v>1.0</v>
      </c>
      <c r="B88" s="2" t="s">
        <v>338</v>
      </c>
      <c r="C88" s="2" t="s">
        <v>339</v>
      </c>
      <c r="D88" s="2" t="s">
        <v>340</v>
      </c>
      <c r="E88" s="2" t="s">
        <v>200</v>
      </c>
      <c r="F88" s="2" t="s">
        <v>15</v>
      </c>
      <c r="G88" s="2" t="s">
        <v>341</v>
      </c>
      <c r="H88" s="2" t="s">
        <v>90</v>
      </c>
      <c r="I88" s="2" t="str">
        <f>IFERROR(__xludf.DUMMYFUNCTION("GOOGLETRANSLATE(C88,""fr"",""en"")"),"My wife was disabled by social security on 01.08.2018 in category 2. IT can no longer exercise an employee activity
She was summoned by the expert doctor on 25.02.2019.Aded this day my wife does not have the mail of refusal.
She learned the decision by "&amp;"phone.
I point out that we have subscribed to borrower insurance in this company for a first file for 10 years.
Like all it is to pass no health problem either for my wife or for me.
It is first time that we have a request to Sogecap.")</f>
        <v>My wife was disabled by social security on 01.08.2018 in category 2. IT can no longer exercise an employee activity
She was summoned by the expert doctor on 25.02.2019.Aded this day my wife does not have the mail of refusal.
She learned the decision by phone.
I point out that we have subscribed to borrower insurance in this company for a first file for 10 years.
Like all it is to pass no health problem either for my wife or for me.
It is first time that we have a request to Sogecap.</v>
      </c>
    </row>
    <row r="89" ht="15.75" customHeight="1">
      <c r="A89" s="2">
        <v>3.0</v>
      </c>
      <c r="B89" s="2" t="s">
        <v>342</v>
      </c>
      <c r="C89" s="2" t="s">
        <v>343</v>
      </c>
      <c r="D89" s="2" t="s">
        <v>88</v>
      </c>
      <c r="E89" s="2" t="s">
        <v>31</v>
      </c>
      <c r="F89" s="2" t="s">
        <v>15</v>
      </c>
      <c r="G89" s="2" t="s">
        <v>344</v>
      </c>
      <c r="H89" s="2" t="s">
        <v>345</v>
      </c>
      <c r="I89" s="2" t="str">
        <f>IFERROR(__xludf.DUMMYFUNCTION("GOOGLETRANSLATE(C89,""fr"",""en"")"),"Difficulty after change of mutual insurance company to terminate, unpleasant customer service, information that is difficult to obtain and I did not note everything. When it is necessary to register and pay no problem, it even seems serious, but in use, c"&amp;"hange of contract, mutual or refund do not press ...")</f>
        <v>Difficulty after change of mutual insurance company to terminate, unpleasant customer service, information that is difficult to obtain and I did not note everything. When it is necessary to register and pay no problem, it even seems serious, but in use, change of contract, mutual or refund do not press ...</v>
      </c>
    </row>
    <row r="90" ht="15.75" customHeight="1">
      <c r="A90" s="2">
        <v>5.0</v>
      </c>
      <c r="B90" s="2" t="s">
        <v>346</v>
      </c>
      <c r="C90" s="2" t="s">
        <v>347</v>
      </c>
      <c r="D90" s="2" t="s">
        <v>76</v>
      </c>
      <c r="E90" s="2" t="s">
        <v>51</v>
      </c>
      <c r="F90" s="2" t="s">
        <v>15</v>
      </c>
      <c r="G90" s="2" t="s">
        <v>348</v>
      </c>
      <c r="H90" s="2" t="s">
        <v>43</v>
      </c>
      <c r="I90" s="2" t="str">
        <f>IFERROR(__xludf.DUMMYFUNCTION("GOOGLETRANSLATE(C90,""fr"",""en"")"),"Hi I have just fenovler my contract dassurance I am satisfied with your price thank you bouceaup I will inform me to subscribe with you thank you")</f>
        <v>Hi I have just fenovler my contract dassurance I am satisfied with your price thank you bouceaup I will inform me to subscribe with you thank you</v>
      </c>
    </row>
    <row r="91" ht="15.75" customHeight="1">
      <c r="A91" s="2">
        <v>4.0</v>
      </c>
      <c r="B91" s="2" t="s">
        <v>349</v>
      </c>
      <c r="C91" s="2" t="s">
        <v>350</v>
      </c>
      <c r="D91" s="2" t="s">
        <v>13</v>
      </c>
      <c r="E91" s="2" t="s">
        <v>14</v>
      </c>
      <c r="F91" s="2" t="s">
        <v>15</v>
      </c>
      <c r="G91" s="2" t="s">
        <v>351</v>
      </c>
      <c r="H91" s="2" t="s">
        <v>47</v>
      </c>
      <c r="I91" s="2" t="str">
        <f>IFERROR(__xludf.DUMMYFUNCTION("GOOGLETRANSLATE(C91,""fr"",""en"")"),"I recommend the Olivier.
Speed, efficiency and always well advised. The welcome is certainly warm. 2nd year at home I am not disappointed")</f>
        <v>I recommend the Olivier.
Speed, efficiency and always well advised. The welcome is certainly warm. 2nd year at home I am not disappointed</v>
      </c>
    </row>
    <row r="92" ht="15.75" customHeight="1">
      <c r="A92" s="2">
        <v>3.0</v>
      </c>
      <c r="B92" s="2" t="s">
        <v>352</v>
      </c>
      <c r="C92" s="2" t="s">
        <v>353</v>
      </c>
      <c r="D92" s="2" t="s">
        <v>354</v>
      </c>
      <c r="E92" s="2" t="s">
        <v>37</v>
      </c>
      <c r="F92" s="2" t="s">
        <v>15</v>
      </c>
      <c r="G92" s="2" t="s">
        <v>355</v>
      </c>
      <c r="H92" s="2" t="s">
        <v>356</v>
      </c>
      <c r="I92" s="2" t="str">
        <f>IFERROR(__xludf.DUMMYFUNCTION("GOOGLETRANSLATE(C92,""fr"",""en"")"),"Hello
File NR D46747628
A concern for water leak on a pipe, the file was opened. At the beginning of July 2020 to August 15 The leak is still not repaired, Crédit Mutuel is an insurer Insurer The service is incompetent to find a solution I had to find a"&amp;" business and let a quote do this day is still not validated I do not quote detailed enough !!!
I have only one piece of advice to give to go to go to an insurer who has a storefront
Cordially
Alain Hagmann")</f>
        <v>Hello
File NR D46747628
A concern for water leak on a pipe, the file was opened. At the beginning of July 2020 to August 15 The leak is still not repaired, Crédit Mutuel is an insurer Insurer The service is incompetent to find a solution I had to find a business and let a quote do this day is still not validated I do not quote detailed enough !!!
I have only one piece of advice to give to go to go to an insurer who has a storefront
Cordially
Alain Hagmann</v>
      </c>
    </row>
    <row r="93" ht="15.75" customHeight="1">
      <c r="A93" s="2">
        <v>3.0</v>
      </c>
      <c r="B93" s="2" t="s">
        <v>357</v>
      </c>
      <c r="C93" s="2" t="s">
        <v>358</v>
      </c>
      <c r="D93" s="2" t="s">
        <v>211</v>
      </c>
      <c r="E93" s="2" t="s">
        <v>31</v>
      </c>
      <c r="F93" s="2" t="s">
        <v>15</v>
      </c>
      <c r="G93" s="2" t="s">
        <v>359</v>
      </c>
      <c r="H93" s="2" t="s">
        <v>360</v>
      </c>
      <c r="I93" s="2" t="str">
        <f>IFERROR(__xludf.DUMMYFUNCTION("GOOGLETRANSLATE(C93,""fr"",""en"")"),"Hello, I still hesitate to take out mutual insurance at Neoliane, someone has comments to make about this insurance.
With my thanks for your future response.")</f>
        <v>Hello, I still hesitate to take out mutual insurance at Neoliane, someone has comments to make about this insurance.
With my thanks for your future response.</v>
      </c>
    </row>
    <row r="94" ht="15.75" customHeight="1">
      <c r="A94" s="2">
        <v>5.0</v>
      </c>
      <c r="B94" s="2" t="s">
        <v>361</v>
      </c>
      <c r="C94" s="2" t="s">
        <v>362</v>
      </c>
      <c r="D94" s="2" t="s">
        <v>13</v>
      </c>
      <c r="E94" s="2" t="s">
        <v>14</v>
      </c>
      <c r="F94" s="2" t="s">
        <v>15</v>
      </c>
      <c r="G94" s="2" t="s">
        <v>363</v>
      </c>
      <c r="H94" s="2" t="s">
        <v>33</v>
      </c>
      <c r="I94" s="2" t="str">
        <f>IFERROR(__xludf.DUMMYFUNCTION("GOOGLETRANSLATE(C94,""fr"",""en"")"),"Interesting price, transparent approach and top advisor!
Easy and practical remote signature procedures with my old insurance carried out")</f>
        <v>Interesting price, transparent approach and top advisor!
Easy and practical remote signature procedures with my old insurance carried out</v>
      </c>
    </row>
    <row r="95" ht="15.75" customHeight="1">
      <c r="A95" s="2">
        <v>3.0</v>
      </c>
      <c r="B95" s="2" t="s">
        <v>364</v>
      </c>
      <c r="C95" s="2" t="s">
        <v>365</v>
      </c>
      <c r="D95" s="2" t="s">
        <v>285</v>
      </c>
      <c r="E95" s="2" t="s">
        <v>14</v>
      </c>
      <c r="F95" s="2" t="s">
        <v>15</v>
      </c>
      <c r="G95" s="2" t="s">
        <v>366</v>
      </c>
      <c r="H95" s="2" t="s">
        <v>367</v>
      </c>
      <c r="I95" s="2" t="str">
        <f>IFERROR(__xludf.DUMMYFUNCTION("GOOGLETRANSLATE(C95,""fr"",""en"")"),"Good evening, I was taken 250 euros for a provisional assurance PDF a self, and more green card. Despite several exchanges by calling 08 Neither reimbursement nor green card. I will launch a procedure because it is not the first time after consulting my h"&amp;"istory of there are 2 and.")</f>
        <v>Good evening, I was taken 250 euros for a provisional assurance PDF a self, and more green card. Despite several exchanges by calling 08 Neither reimbursement nor green card. I will launch a procedure because it is not the first time after consulting my history of there are 2 and.</v>
      </c>
    </row>
    <row r="96" ht="15.75" customHeight="1">
      <c r="A96" s="2">
        <v>2.0</v>
      </c>
      <c r="B96" s="2" t="s">
        <v>368</v>
      </c>
      <c r="C96" s="2" t="s">
        <v>369</v>
      </c>
      <c r="D96" s="2" t="s">
        <v>285</v>
      </c>
      <c r="E96" s="2" t="s">
        <v>14</v>
      </c>
      <c r="F96" s="2" t="s">
        <v>15</v>
      </c>
      <c r="G96" s="2" t="s">
        <v>370</v>
      </c>
      <c r="H96" s="2" t="s">
        <v>371</v>
      </c>
      <c r="I96" s="2" t="str">
        <f>IFERROR(__xludf.DUMMYFUNCTION("GOOGLETRANSLATE(C96,""fr"",""en"")"),"Being a young driver, I find myself in a dead end where only insurance on the Internet are available at correct prices. However, in the requested documents, the permit! Yes yes I send the probationary permit, knowing that the final I will only receive it "&amp;"within 3 months after having asked confirmation from the prefecture ..... and active assurance request to send the final that I did not Of course and warn me that my contract will not be validated if I do not send this document .... basically I just paid "&amp;"the subscription, they sent me the provisional insurance, but will not send me my Green vignette ... great ..... Understand that if I am a young driver, I cannot know when I can receive my final permit ..... This also changes the geographical situation .."&amp;".. .")</f>
        <v>Being a young driver, I find myself in a dead end where only insurance on the Internet are available at correct prices. However, in the requested documents, the permit! Yes yes I send the probationary permit, knowing that the final I will only receive it within 3 months after having asked confirmation from the prefecture ..... and active assurance request to send the final that I did not Of course and warn me that my contract will not be validated if I do not send this document .... basically I just paid the subscription, they sent me the provisional insurance, but will not send me my Green vignette ... great ..... Understand that if I am a young driver, I cannot know when I can receive my final permit ..... This also changes the geographical situation .... .</v>
      </c>
    </row>
    <row r="97" ht="15.75" customHeight="1">
      <c r="A97" s="2">
        <v>3.0</v>
      </c>
      <c r="B97" s="2" t="s">
        <v>372</v>
      </c>
      <c r="C97" s="2" t="s">
        <v>373</v>
      </c>
      <c r="D97" s="2" t="s">
        <v>88</v>
      </c>
      <c r="E97" s="2" t="s">
        <v>31</v>
      </c>
      <c r="F97" s="2" t="s">
        <v>15</v>
      </c>
      <c r="G97" s="2" t="s">
        <v>374</v>
      </c>
      <c r="H97" s="2" t="s">
        <v>130</v>
      </c>
      <c r="I97" s="2" t="str">
        <f>IFERROR(__xludf.DUMMYFUNCTION("GOOGLETRANSLATE(C97,""fr"",""en"")"),"Gwendal quickly answered my questions this answer was very clear and Satifies and Specification clear and precise I was well informed and directed on the phone on the phone and pleasant")</f>
        <v>Gwendal quickly answered my questions this answer was very clear and Satifies and Specification clear and precise I was well informed and directed on the phone on the phone and pleasant</v>
      </c>
    </row>
    <row r="98" ht="15.75" customHeight="1">
      <c r="A98" s="2">
        <v>3.0</v>
      </c>
      <c r="B98" s="2" t="s">
        <v>375</v>
      </c>
      <c r="C98" s="2" t="s">
        <v>376</v>
      </c>
      <c r="D98" s="2" t="s">
        <v>125</v>
      </c>
      <c r="E98" s="2" t="s">
        <v>14</v>
      </c>
      <c r="F98" s="2" t="s">
        <v>15</v>
      </c>
      <c r="G98" s="2" t="s">
        <v>377</v>
      </c>
      <c r="H98" s="2" t="s">
        <v>85</v>
      </c>
      <c r="I98" s="2" t="str">
        <f>IFERROR(__xludf.DUMMYFUNCTION("GOOGLETRANSLATE(C98,""fr"",""en"")"),"Satisfied with the services rendered
Too much waiting during the office visit
Despite the fact of making an appointment
Very welcoming hostess
Very pleasant premises")</f>
        <v>Satisfied with the services rendered
Too much waiting during the office visit
Despite the fact of making an appointment
Very welcoming hostess
Very pleasant premises</v>
      </c>
    </row>
    <row r="99" ht="15.75" customHeight="1">
      <c r="A99" s="2">
        <v>2.0</v>
      </c>
      <c r="B99" s="2" t="s">
        <v>378</v>
      </c>
      <c r="C99" s="2" t="s">
        <v>379</v>
      </c>
      <c r="D99" s="2" t="s">
        <v>88</v>
      </c>
      <c r="E99" s="2" t="s">
        <v>31</v>
      </c>
      <c r="F99" s="2" t="s">
        <v>15</v>
      </c>
      <c r="G99" s="2" t="s">
        <v>380</v>
      </c>
      <c r="H99" s="2" t="s">
        <v>313</v>
      </c>
      <c r="I99" s="2" t="str">
        <f>IFERROR(__xludf.DUMMYFUNCTION("GOOGLETRANSLATE(C99,""fr"",""en"")"),"Super pleasant advisor, efficiency and speed to the questions. Problem solved, thank you Erika")</f>
        <v>Super pleasant advisor, efficiency and speed to the questions. Problem solved, thank you Erika</v>
      </c>
    </row>
    <row r="100" ht="15.75" customHeight="1">
      <c r="A100" s="2">
        <v>4.0</v>
      </c>
      <c r="B100" s="2" t="s">
        <v>381</v>
      </c>
      <c r="C100" s="2" t="s">
        <v>382</v>
      </c>
      <c r="D100" s="2" t="s">
        <v>13</v>
      </c>
      <c r="E100" s="2" t="s">
        <v>14</v>
      </c>
      <c r="F100" s="2" t="s">
        <v>15</v>
      </c>
      <c r="G100" s="2" t="s">
        <v>383</v>
      </c>
      <c r="H100" s="2" t="s">
        <v>47</v>
      </c>
      <c r="I100" s="2" t="str">
        <f>IFERROR(__xludf.DUMMYFUNCTION("GOOGLETRANSLATE(C100,""fr"",""en"")"),"Delighted to have discovered the Olivier Assurance that I did not know. Finally insurance that does not assassinate its customers considers as young drivers despite several years of insurance but which for professional reasons had to leave the territory f"&amp;"or several years. THANK YOU")</f>
        <v>Delighted to have discovered the Olivier Assurance that I did not know. Finally insurance that does not assassinate its customers considers as young drivers despite several years of insurance but which for professional reasons had to leave the territory for several years. THANK YOU</v>
      </c>
    </row>
    <row r="101" ht="15.75" customHeight="1">
      <c r="A101" s="2">
        <v>2.0</v>
      </c>
      <c r="B101" s="2" t="s">
        <v>384</v>
      </c>
      <c r="C101" s="2" t="s">
        <v>385</v>
      </c>
      <c r="D101" s="2" t="s">
        <v>93</v>
      </c>
      <c r="E101" s="2" t="s">
        <v>14</v>
      </c>
      <c r="F101" s="2" t="s">
        <v>15</v>
      </c>
      <c r="G101" s="2" t="s">
        <v>386</v>
      </c>
      <c r="H101" s="2" t="s">
        <v>387</v>
      </c>
      <c r="I101" s="2" t="str">
        <f>IFERROR(__xludf.DUMMYFUNCTION("GOOGLETRANSLATE(C101,""fr"",""en"")"),"The cars of my 2 daughters suffered hail on June 16, 2019! For letters and messages we send to the Matmut but it's radio silence .... !! 6 months of waiting for the 2 vehicles! In addition, one of my daughters in addition to the hail had a scratch on his "&amp;"body, it's been over 30 years since we have insured Matmut no commercial gesture on one of the 2 franchises. We do not ask for alms but just a small commercial gesture for a franchise for my loyalty and that of my whole family (a total of 10 members).
I "&amp;"am more than disappointed, angry, in short, loyalty does not pay! It is certainly time to see other more understanding, more reactive and more human companies elsewhere. And I will not hesitate my family to do the same.
I do not expect any response from "&amp;"you like all my other letters and messages!")</f>
        <v>The cars of my 2 daughters suffered hail on June 16, 2019! For letters and messages we send to the Matmut but it's radio silence .... !! 6 months of waiting for the 2 vehicles! In addition, one of my daughters in addition to the hail had a scratch on his body, it's been over 30 years since we have insured Matmut no commercial gesture on one of the 2 franchises. We do not ask for alms but just a small commercial gesture for a franchise for my loyalty and that of my whole family (a total of 10 members).
I am more than disappointed, angry, in short, loyalty does not pay! It is certainly time to see other more understanding, more reactive and more human companies elsewhere. And I will not hesitate my family to do the same.
I do not expect any response from you like all my other letters and messages!</v>
      </c>
    </row>
    <row r="102" ht="15.75" customHeight="1">
      <c r="A102" s="2">
        <v>3.0</v>
      </c>
      <c r="B102" s="2" t="s">
        <v>388</v>
      </c>
      <c r="C102" s="2" t="s">
        <v>389</v>
      </c>
      <c r="D102" s="2" t="s">
        <v>36</v>
      </c>
      <c r="E102" s="2" t="s">
        <v>14</v>
      </c>
      <c r="F102" s="2" t="s">
        <v>15</v>
      </c>
      <c r="G102" s="2" t="s">
        <v>390</v>
      </c>
      <c r="H102" s="2" t="s">
        <v>43</v>
      </c>
      <c r="I102" s="2" t="str">
        <f>IFERROR(__xludf.DUMMYFUNCTION("GOOGLETRANSLATE(C102,""fr"",""en"")"),"Count to be able to find this insurance at its price especially online. It remains to be seen if they are attentive when I need a question about my contract.")</f>
        <v>Count to be able to find this insurance at its price especially online. It remains to be seen if they are attentive when I need a question about my contract.</v>
      </c>
    </row>
    <row r="103" ht="15.75" customHeight="1">
      <c r="A103" s="2">
        <v>1.0</v>
      </c>
      <c r="B103" s="2" t="s">
        <v>391</v>
      </c>
      <c r="C103" s="2" t="s">
        <v>392</v>
      </c>
      <c r="D103" s="2" t="s">
        <v>393</v>
      </c>
      <c r="E103" s="2" t="s">
        <v>51</v>
      </c>
      <c r="F103" s="2" t="s">
        <v>15</v>
      </c>
      <c r="G103" s="2" t="s">
        <v>219</v>
      </c>
      <c r="H103" s="2" t="s">
        <v>171</v>
      </c>
      <c r="I103" s="2" t="str">
        <f>IFERROR(__xludf.DUMMYFUNCTION("GOOGLETRANSLATE(C103,""fr"",""en"")"),"I had to change insurer, unable to reach Assuronline on a Saturday when buying my new motorcycle. No response to the termination email, and just a confirmation after sending a recommended. I am still waiting for the information statement.
Not serious bro"&amp;"ker, I don't recommend at all.
Easy to subscribe, big hassle for termination: to flee!")</f>
        <v>I had to change insurer, unable to reach Assuronline on a Saturday when buying my new motorcycle. No response to the termination email, and just a confirmation after sending a recommended. I am still waiting for the information statement.
Not serious broker, I don't recommend at all.
Easy to subscribe, big hassle for termination: to flee!</v>
      </c>
    </row>
    <row r="104" ht="15.75" customHeight="1">
      <c r="A104" s="2">
        <v>3.0</v>
      </c>
      <c r="B104" s="2" t="s">
        <v>394</v>
      </c>
      <c r="C104" s="2" t="s">
        <v>395</v>
      </c>
      <c r="D104" s="2" t="s">
        <v>36</v>
      </c>
      <c r="E104" s="2" t="s">
        <v>14</v>
      </c>
      <c r="F104" s="2" t="s">
        <v>15</v>
      </c>
      <c r="G104" s="2" t="s">
        <v>396</v>
      </c>
      <c r="H104" s="2" t="s">
        <v>62</v>
      </c>
      <c r="I104" s="2" t="str">
        <f>IFERROR(__xludf.DUMMYFUNCTION("GOOGLETRANSLATE(C104,""fr"",""en"")"),"2 accidents with 0 % liability: terminated insurance. If nothing you happen to you you can count on this insurer, otherwise ...")</f>
        <v>2 accidents with 0 % liability: terminated insurance. If nothing you happen to you you can count on this insurer, otherwise ...</v>
      </c>
    </row>
    <row r="105" ht="15.75" customHeight="1">
      <c r="A105" s="2">
        <v>2.0</v>
      </c>
      <c r="B105" s="2" t="s">
        <v>397</v>
      </c>
      <c r="C105" s="2" t="s">
        <v>398</v>
      </c>
      <c r="D105" s="2" t="s">
        <v>143</v>
      </c>
      <c r="E105" s="2" t="s">
        <v>200</v>
      </c>
      <c r="F105" s="2" t="s">
        <v>15</v>
      </c>
      <c r="G105" s="2" t="s">
        <v>399</v>
      </c>
      <c r="H105" s="2" t="s">
        <v>400</v>
      </c>
      <c r="I105" s="2" t="str">
        <f>IFERROR(__xludf.DUMMYFUNCTION("GOOGLETRANSLATE(C105,""fr"",""en"")"),"To flee. Incompetent customer service. No respect for medical confidentiality.")</f>
        <v>To flee. Incompetent customer service. No respect for medical confidentiality.</v>
      </c>
    </row>
    <row r="106" ht="15.75" customHeight="1">
      <c r="A106" s="2">
        <v>1.0</v>
      </c>
      <c r="B106" s="2" t="s">
        <v>401</v>
      </c>
      <c r="C106" s="2" t="s">
        <v>402</v>
      </c>
      <c r="D106" s="2" t="s">
        <v>211</v>
      </c>
      <c r="E106" s="2" t="s">
        <v>31</v>
      </c>
      <c r="F106" s="2" t="s">
        <v>15</v>
      </c>
      <c r="G106" s="2" t="s">
        <v>403</v>
      </c>
      <c r="H106" s="2" t="s">
        <v>205</v>
      </c>
      <c r="I106" s="2" t="str">
        <f>IFERROR(__xludf.DUMMYFUNCTION("GOOGLETRANSLATE(C106,""fr"",""en"")"),"Impolish aggressive canvassing the incomprehensible speech stopped
I wanted information I found myself holder of a contract at my expense (electronic signature)")</f>
        <v>Impolish aggressive canvassing the incomprehensible speech stopped
I wanted information I found myself holder of a contract at my expense (electronic signature)</v>
      </c>
    </row>
    <row r="107" ht="15.75" customHeight="1">
      <c r="A107" s="2">
        <v>4.0</v>
      </c>
      <c r="B107" s="2" t="s">
        <v>404</v>
      </c>
      <c r="C107" s="2" t="s">
        <v>405</v>
      </c>
      <c r="D107" s="2" t="s">
        <v>76</v>
      </c>
      <c r="E107" s="2" t="s">
        <v>51</v>
      </c>
      <c r="F107" s="2" t="s">
        <v>15</v>
      </c>
      <c r="G107" s="2" t="s">
        <v>406</v>
      </c>
      <c r="H107" s="2" t="s">
        <v>230</v>
      </c>
      <c r="I107" s="2" t="str">
        <f>IFERROR(__xludf.DUMMYFUNCTION("GOOGLETRANSLATE(C107,""fr"",""en"")"),"Apart from the price that interested me, I appreciated the ease and speed to obtain a motorcycle contract. I hope it will continue in this way for a long time")</f>
        <v>Apart from the price that interested me, I appreciated the ease and speed to obtain a motorcycle contract. I hope it will continue in this way for a long time</v>
      </c>
    </row>
    <row r="108" ht="15.75" customHeight="1">
      <c r="A108" s="2">
        <v>3.0</v>
      </c>
      <c r="B108" s="2" t="s">
        <v>407</v>
      </c>
      <c r="C108" s="2" t="s">
        <v>408</v>
      </c>
      <c r="D108" s="2" t="s">
        <v>36</v>
      </c>
      <c r="E108" s="2" t="s">
        <v>14</v>
      </c>
      <c r="F108" s="2" t="s">
        <v>15</v>
      </c>
      <c r="G108" s="2" t="s">
        <v>409</v>
      </c>
      <c r="H108" s="2" t="s">
        <v>171</v>
      </c>
      <c r="I108" s="2" t="str">
        <f>IFERROR(__xludf.DUMMYFUNCTION("GOOGLETRANSLATE(C108,""fr"",""en"")"),"We will see what it will give when an accident will take place. The prices seem interesting but the deductibles are high and take an option to have the break of ice included while one subscribes to an all risk formula seems exaggerated.")</f>
        <v>We will see what it will give when an accident will take place. The prices seem interesting but the deductibles are high and take an option to have the break of ice included while one subscribes to an all risk formula seems exaggerated.</v>
      </c>
    </row>
    <row r="109" ht="15.75" customHeight="1">
      <c r="A109" s="2">
        <v>5.0</v>
      </c>
      <c r="B109" s="2" t="s">
        <v>410</v>
      </c>
      <c r="C109" s="2" t="s">
        <v>411</v>
      </c>
      <c r="D109" s="2" t="s">
        <v>13</v>
      </c>
      <c r="E109" s="2" t="s">
        <v>14</v>
      </c>
      <c r="F109" s="2" t="s">
        <v>15</v>
      </c>
      <c r="G109" s="2" t="s">
        <v>113</v>
      </c>
      <c r="H109" s="2" t="s">
        <v>43</v>
      </c>
      <c r="I109" s="2" t="str">
        <f>IFERROR(__xludf.DUMMYFUNCTION("GOOGLETRANSLATE(C109,""fr"",""en"")"),"I am satisfied prices and fast this be practicing the signing of contract as practical I am a business manager and already I 3 cars ensure at the olive assurance")</f>
        <v>I am satisfied prices and fast this be practicing the signing of contract as practical I am a business manager and already I 3 cars ensure at the olive assurance</v>
      </c>
    </row>
    <row r="110" ht="15.75" customHeight="1">
      <c r="A110" s="2">
        <v>1.0</v>
      </c>
      <c r="B110" s="2" t="s">
        <v>412</v>
      </c>
      <c r="C110" s="2" t="s">
        <v>413</v>
      </c>
      <c r="D110" s="2" t="s">
        <v>414</v>
      </c>
      <c r="E110" s="2" t="s">
        <v>37</v>
      </c>
      <c r="F110" s="2" t="s">
        <v>15</v>
      </c>
      <c r="G110" s="2" t="s">
        <v>415</v>
      </c>
      <c r="H110" s="2" t="s">
        <v>171</v>
      </c>
      <c r="I110" s="2" t="str">
        <f>IFERROR(__xludf.DUMMYFUNCTION("GOOGLETRANSLATE(C110,""fr"",""en"")"),"I change insurance company as soon as possible, after a complaint made from the MAIF following a disaster I was indicated to have asked me for quotes in 2016 which was never the case !! (Why would I not have provided the requested quotes?) The maif always"&amp;" replied that it would not take care of at the time orienting me towards a legal proceedings against third parties.
In December 2020 an advisor finally told me that the Maif will make a gesture for care and asked me to send quotes. Then I receive a negat"&amp;"ive letter. No human consideration or respect for contracts and commitments I am disgusted.")</f>
        <v>I change insurance company as soon as possible, after a complaint made from the MAIF following a disaster I was indicated to have asked me for quotes in 2016 which was never the case !! (Why would I not have provided the requested quotes?) The maif always replied that it would not take care of at the time orienting me towards a legal proceedings against third parties.
In December 2020 an advisor finally told me that the Maif will make a gesture for care and asked me to send quotes. Then I receive a negative letter. No human consideration or respect for contracts and commitments I am disgusted.</v>
      </c>
    </row>
    <row r="111" ht="15.75" customHeight="1">
      <c r="A111" s="2">
        <v>3.0</v>
      </c>
      <c r="B111" s="2" t="s">
        <v>416</v>
      </c>
      <c r="C111" s="2" t="s">
        <v>417</v>
      </c>
      <c r="D111" s="2" t="s">
        <v>211</v>
      </c>
      <c r="E111" s="2" t="s">
        <v>31</v>
      </c>
      <c r="F111" s="2" t="s">
        <v>15</v>
      </c>
      <c r="G111" s="2" t="s">
        <v>418</v>
      </c>
      <c r="H111" s="2" t="s">
        <v>73</v>
      </c>
      <c r="I111" s="2" t="str">
        <f>IFERROR(__xludf.DUMMYFUNCTION("GOOGLETRANSLATE(C111,""fr"",""en"")"),"Customer relations more than bad ... Telephone: 51mn of waiting and person ..... Request for care made with great difficulty by my optician 3 weeks ago and always no response ...... Am very very angry.")</f>
        <v>Customer relations more than bad ... Telephone: 51mn of waiting and person ..... Request for care made with great difficulty by my optician 3 weeks ago and always no response ...... Am very very angry.</v>
      </c>
    </row>
    <row r="112" ht="15.75" customHeight="1">
      <c r="A112" s="2">
        <v>5.0</v>
      </c>
      <c r="B112" s="2" t="s">
        <v>419</v>
      </c>
      <c r="C112" s="2" t="s">
        <v>420</v>
      </c>
      <c r="D112" s="2" t="s">
        <v>13</v>
      </c>
      <c r="E112" s="2" t="s">
        <v>14</v>
      </c>
      <c r="F112" s="2" t="s">
        <v>15</v>
      </c>
      <c r="G112" s="2" t="s">
        <v>421</v>
      </c>
      <c r="H112" s="2" t="s">
        <v>230</v>
      </c>
      <c r="I112" s="2" t="str">
        <f>IFERROR(__xludf.DUMMYFUNCTION("GOOGLETRANSLATE(C112,""fr"",""en"")"),"I am satisfied with the price and services offered by insurance. The subscription was very easy and above all very fast. I would recommend her to my loved ones")</f>
        <v>I am satisfied with the price and services offered by insurance. The subscription was very easy and above all very fast. I would recommend her to my loved ones</v>
      </c>
    </row>
    <row r="113" ht="15.75" customHeight="1">
      <c r="A113" s="2">
        <v>5.0</v>
      </c>
      <c r="B113" s="2" t="s">
        <v>422</v>
      </c>
      <c r="C113" s="2" t="s">
        <v>423</v>
      </c>
      <c r="D113" s="2" t="s">
        <v>80</v>
      </c>
      <c r="E113" s="2" t="s">
        <v>14</v>
      </c>
      <c r="F113" s="2" t="s">
        <v>15</v>
      </c>
      <c r="G113" s="2" t="s">
        <v>424</v>
      </c>
      <c r="H113" s="2" t="s">
        <v>230</v>
      </c>
      <c r="I113" s="2" t="str">
        <f>IFERROR(__xludf.DUMMYFUNCTION("GOOGLETRANSLATE(C113,""fr"",""en"")"),"always happy to be in this insurance rate reimbursement nothing to say
still when I need them
Correct price to be well insured")</f>
        <v>always happy to be in this insurance rate reimbursement nothing to say
still when I need them
Correct price to be well insured</v>
      </c>
    </row>
    <row r="114" ht="15.75" customHeight="1">
      <c r="A114" s="2">
        <v>4.0</v>
      </c>
      <c r="B114" s="2" t="s">
        <v>425</v>
      </c>
      <c r="C114" s="2" t="s">
        <v>426</v>
      </c>
      <c r="D114" s="2" t="s">
        <v>199</v>
      </c>
      <c r="E114" s="2" t="s">
        <v>200</v>
      </c>
      <c r="F114" s="2" t="s">
        <v>15</v>
      </c>
      <c r="G114" s="2" t="s">
        <v>427</v>
      </c>
      <c r="H114" s="2" t="s">
        <v>33</v>
      </c>
      <c r="I114" s="2" t="str">
        <f>IFERROR(__xludf.DUMMYFUNCTION("GOOGLETRANSLATE(C114,""fr"",""en"")"),"I am satisfied with the service but I am not yet at the stadium of the implementation so the questionnaire is a little early at the moment. Prices suit me")</f>
        <v>I am satisfied with the service but I am not yet at the stadium of the implementation so the questionnaire is a little early at the moment. Prices suit me</v>
      </c>
    </row>
    <row r="115" ht="15.75" customHeight="1">
      <c r="A115" s="2">
        <v>2.0</v>
      </c>
      <c r="B115" s="2" t="s">
        <v>428</v>
      </c>
      <c r="C115" s="2" t="s">
        <v>429</v>
      </c>
      <c r="D115" s="2" t="s">
        <v>430</v>
      </c>
      <c r="E115" s="2" t="s">
        <v>37</v>
      </c>
      <c r="F115" s="2" t="s">
        <v>15</v>
      </c>
      <c r="G115" s="2" t="s">
        <v>431</v>
      </c>
      <c r="H115" s="2" t="s">
        <v>432</v>
      </c>
      <c r="I115" s="2" t="str">
        <f>IFERROR(__xludf.DUMMYFUNCTION("GOOGLETRANSLATE(C115,""fr"",""en"")"),"Do not count on them. All pretexts are good not to take into account a disaster. Especially civil liability for my case. Between ascendants and descendants it does not work with them. I should have lying and saying that they were friends. Not having the s"&amp;"ame name they would not have known.
Honesty at home does not pay.
Another example: sinister made by my dog ​​at Qqun while we left for a walk. Macif response: I should have tied it in the house !!!!!
So be very careful who you invite you to you, avoid "&amp;"the family. Hold your dogs or even your children on a leash !!!! You may have a chance to be covered with the Macif.
I do not recommend this insurance that is not dearly claimed. We know why ......")</f>
        <v>Do not count on them. All pretexts are good not to take into account a disaster. Especially civil liability for my case. Between ascendants and descendants it does not work with them. I should have lying and saying that they were friends. Not having the same name they would not have known.
Honesty at home does not pay.
Another example: sinister made by my dog ​​at Qqun while we left for a walk. Macif response: I should have tied it in the house !!!!!
So be very careful who you invite you to you, avoid the family. Hold your dogs or even your children on a leash !!!! You may have a chance to be covered with the Macif.
I do not recommend this insurance that is not dearly claimed. We know why ......</v>
      </c>
    </row>
    <row r="116" ht="15.75" customHeight="1">
      <c r="A116" s="2">
        <v>1.0</v>
      </c>
      <c r="B116" s="2" t="s">
        <v>433</v>
      </c>
      <c r="C116" s="2" t="s">
        <v>434</v>
      </c>
      <c r="D116" s="2" t="s">
        <v>20</v>
      </c>
      <c r="E116" s="2" t="s">
        <v>14</v>
      </c>
      <c r="F116" s="2" t="s">
        <v>15</v>
      </c>
      <c r="G116" s="2" t="s">
        <v>435</v>
      </c>
      <c r="H116" s="2" t="s">
        <v>436</v>
      </c>
      <c r="I116" s="2" t="str">
        <f>IFERROR(__xludf.DUMMYFUNCTION("GOOGLETRANSLATE(C116,""fr"",""en"")"),"An insurer with absent subscribers!
 I contacted my agent because I was increased by 45%. He does not know why he tells me to get closer to the AXA customer service who sends me back to my agent ... and vice versa
Facebook Axa also sends me back to my a"&amp;"gent
My agent advises me to make an email to the AXA inspector who does not answer either!
Today answer you had hail last year (but it had already increased me by 7% last year) and a break of ice
I forget to say that I have 50% bonus for 19 years
Insu"&amp;"rance to flee my children are also assured AXA they will leave and I will also advertise in my village on services and prices AXA the agent at his office in this village.
")</f>
        <v>An insurer with absent subscribers!
 I contacted my agent because I was increased by 45%. He does not know why he tells me to get closer to the AXA customer service who sends me back to my agent ... and vice versa
Facebook Axa also sends me back to my agent
My agent advises me to make an email to the AXA inspector who does not answer either!
Today answer you had hail last year (but it had already increased me by 7% last year) and a break of ice
I forget to say that I have 50% bonus for 19 years
Insurance to flee my children are also assured AXA they will leave and I will also advertise in my village on services and prices AXA the agent at his office in this village.
</v>
      </c>
    </row>
    <row r="117" ht="15.75" customHeight="1">
      <c r="A117" s="2">
        <v>2.0</v>
      </c>
      <c r="B117" s="2" t="s">
        <v>437</v>
      </c>
      <c r="C117" s="2" t="s">
        <v>438</v>
      </c>
      <c r="D117" s="2" t="s">
        <v>211</v>
      </c>
      <c r="E117" s="2" t="s">
        <v>31</v>
      </c>
      <c r="F117" s="2" t="s">
        <v>15</v>
      </c>
      <c r="G117" s="2" t="s">
        <v>418</v>
      </c>
      <c r="H117" s="2" t="s">
        <v>73</v>
      </c>
      <c r="I117" s="2" t="str">
        <f>IFERROR(__xludf.DUMMYFUNCTION("GOOGLETRANSLATE(C117,""fr"",""en"")"),"This is my feeling too. Mutual to flee !! Very long to answer .... when you have the answer. I always wait to have access codes to my customer space that work ... I also resilute as soon as possible ...")</f>
        <v>This is my feeling too. Mutual to flee !! Very long to answer .... when you have the answer. I always wait to have access codes to my customer space that work ... I also resilute as soon as possible ...</v>
      </c>
    </row>
    <row r="118" ht="15.75" customHeight="1">
      <c r="A118" s="2">
        <v>3.0</v>
      </c>
      <c r="B118" s="2" t="s">
        <v>439</v>
      </c>
      <c r="C118" s="2" t="s">
        <v>440</v>
      </c>
      <c r="D118" s="2" t="s">
        <v>50</v>
      </c>
      <c r="E118" s="2" t="s">
        <v>51</v>
      </c>
      <c r="F118" s="2" t="s">
        <v>15</v>
      </c>
      <c r="G118" s="2" t="s">
        <v>441</v>
      </c>
      <c r="H118" s="2" t="s">
        <v>33</v>
      </c>
      <c r="I118" s="2" t="str">
        <f>IFERROR(__xludf.DUMMYFUNCTION("GOOGLETRANSLATE(C118,""fr"",""en"")"),"I cannot decide on the service since I never needed my insurance. However I already had an April Moto account but that the site does not recognize by making a new quote.")</f>
        <v>I cannot decide on the service since I never needed my insurance. However I already had an April Moto account but that the site does not recognize by making a new quote.</v>
      </c>
    </row>
    <row r="119" ht="15.75" customHeight="1">
      <c r="A119" s="2">
        <v>4.0</v>
      </c>
      <c r="B119" s="2" t="s">
        <v>442</v>
      </c>
      <c r="C119" s="2" t="s">
        <v>443</v>
      </c>
      <c r="D119" s="2" t="s">
        <v>36</v>
      </c>
      <c r="E119" s="2" t="s">
        <v>14</v>
      </c>
      <c r="F119" s="2" t="s">
        <v>15</v>
      </c>
      <c r="G119" s="2" t="s">
        <v>444</v>
      </c>
      <c r="H119" s="2" t="s">
        <v>43</v>
      </c>
      <c r="I119" s="2" t="str">
        <f>IFERROR(__xludf.DUMMYFUNCTION("GOOGLETRANSLATE(C119,""fr"",""en"")"),"Simple and quick.
Price varying because I had made a first quote then without doing it on purpose I managed my window and I had to redo another quote, but the price had changed when my info no, but always the cheapest.")</f>
        <v>Simple and quick.
Price varying because I had made a first quote then without doing it on purpose I managed my window and I had to redo another quote, but the price had changed when my info no, but always the cheapest.</v>
      </c>
    </row>
    <row r="120" ht="15.75" customHeight="1">
      <c r="A120" s="2">
        <v>3.0</v>
      </c>
      <c r="B120" s="2" t="s">
        <v>445</v>
      </c>
      <c r="C120" s="2" t="s">
        <v>446</v>
      </c>
      <c r="D120" s="2" t="s">
        <v>36</v>
      </c>
      <c r="E120" s="2" t="s">
        <v>14</v>
      </c>
      <c r="F120" s="2" t="s">
        <v>15</v>
      </c>
      <c r="G120" s="2" t="s">
        <v>447</v>
      </c>
      <c r="H120" s="2" t="s">
        <v>171</v>
      </c>
      <c r="I120" s="2" t="str">
        <f>IFERROR(__xludf.DUMMYFUNCTION("GOOGLETRANSLATE(C120,""fr"",""en"")"),"The treatment reserved in recent days following the disaster broken ice is not up to par. The operator has done everything to force us to make repairs at Carglass when there were less expensive solutions and for Direct Insurance, and for us in terms of fr"&amp;"anchise")</f>
        <v>The treatment reserved in recent days following the disaster broken ice is not up to par. The operator has done everything to force us to make repairs at Carglass when there were less expensive solutions and for Direct Insurance, and for us in terms of franchise</v>
      </c>
    </row>
    <row r="121" ht="15.75" customHeight="1">
      <c r="A121" s="2">
        <v>4.0</v>
      </c>
      <c r="B121" s="2" t="s">
        <v>448</v>
      </c>
      <c r="C121" s="2" t="s">
        <v>449</v>
      </c>
      <c r="D121" s="2" t="s">
        <v>36</v>
      </c>
      <c r="E121" s="2" t="s">
        <v>14</v>
      </c>
      <c r="F121" s="2" t="s">
        <v>15</v>
      </c>
      <c r="G121" s="2" t="s">
        <v>348</v>
      </c>
      <c r="H121" s="2" t="s">
        <v>43</v>
      </c>
      <c r="I121" s="2" t="str">
        <f>IFERROR(__xludf.DUMMYFUNCTION("GOOGLETRANSLATE(C121,""fr"",""en"")"),"Price very well I have already been a customer at Direct Insurance very good insurance I recommend all my approaches and I have already sponsored at least people
")</f>
        <v>Price very well I have already been a customer at Direct Insurance very good insurance I recommend all my approaches and I have already sponsored at least people
</v>
      </c>
    </row>
    <row r="122" ht="15.75" customHeight="1">
      <c r="A122" s="2">
        <v>4.0</v>
      </c>
      <c r="B122" s="2" t="s">
        <v>450</v>
      </c>
      <c r="C122" s="2" t="s">
        <v>451</v>
      </c>
      <c r="D122" s="2" t="s">
        <v>104</v>
      </c>
      <c r="E122" s="2" t="s">
        <v>31</v>
      </c>
      <c r="F122" s="2" t="s">
        <v>15</v>
      </c>
      <c r="G122" s="2" t="s">
        <v>452</v>
      </c>
      <c r="H122" s="2" t="s">
        <v>320</v>
      </c>
      <c r="I122" s="2" t="str">
        <f>IFERROR(__xludf.DUMMYFUNCTION("GOOGLETRANSLATE(C122,""fr"",""en"")"),"This is good I find a little expensive compared to my financial situation but the reimbursements are fast. Telephone customer service is impeccable and not paying, that's a plus.")</f>
        <v>This is good I find a little expensive compared to my financial situation but the reimbursements are fast. Telephone customer service is impeccable and not paying, that's a plus.</v>
      </c>
    </row>
    <row r="123" ht="15.75" customHeight="1">
      <c r="A123" s="2">
        <v>4.0</v>
      </c>
      <c r="B123" s="2" t="s">
        <v>453</v>
      </c>
      <c r="C123" s="2" t="s">
        <v>454</v>
      </c>
      <c r="D123" s="2" t="s">
        <v>13</v>
      </c>
      <c r="E123" s="2" t="s">
        <v>14</v>
      </c>
      <c r="F123" s="2" t="s">
        <v>15</v>
      </c>
      <c r="G123" s="2" t="s">
        <v>455</v>
      </c>
      <c r="H123" s="2" t="s">
        <v>269</v>
      </c>
      <c r="I123" s="2" t="str">
        <f>IFERROR(__xludf.DUMMYFUNCTION("GOOGLETRANSLATE(C123,""fr"",""en"")"),"I am satisfied with the service, kind and available, the prices are correct, as well as the options, a listening customer service and looking for solutions")</f>
        <v>I am satisfied with the service, kind and available, the prices are correct, as well as the options, a listening customer service and looking for solutions</v>
      </c>
    </row>
    <row r="124" ht="15.75" customHeight="1">
      <c r="A124" s="2">
        <v>4.0</v>
      </c>
      <c r="B124" s="2" t="s">
        <v>456</v>
      </c>
      <c r="C124" s="2" t="s">
        <v>457</v>
      </c>
      <c r="D124" s="2" t="s">
        <v>13</v>
      </c>
      <c r="E124" s="2" t="s">
        <v>14</v>
      </c>
      <c r="F124" s="2" t="s">
        <v>15</v>
      </c>
      <c r="G124" s="2" t="s">
        <v>458</v>
      </c>
      <c r="H124" s="2" t="s">
        <v>33</v>
      </c>
      <c r="I124" s="2" t="str">
        <f>IFERROR(__xludf.DUMMYFUNCTION("GOOGLETRANSLATE(C124,""fr"",""en"")"),"I am satisfied with the contract proposed to ensure this vehicle, I thought I was more in difficulty in order to find insurance not offering a disproportionate price")</f>
        <v>I am satisfied with the contract proposed to ensure this vehicle, I thought I was more in difficulty in order to find insurance not offering a disproportionate price</v>
      </c>
    </row>
    <row r="125" ht="15.75" customHeight="1">
      <c r="A125" s="2">
        <v>1.0</v>
      </c>
      <c r="B125" s="2" t="s">
        <v>459</v>
      </c>
      <c r="C125" s="2" t="s">
        <v>460</v>
      </c>
      <c r="D125" s="2" t="s">
        <v>211</v>
      </c>
      <c r="E125" s="2" t="s">
        <v>31</v>
      </c>
      <c r="F125" s="2" t="s">
        <v>15</v>
      </c>
      <c r="G125" s="2" t="s">
        <v>461</v>
      </c>
      <c r="H125" s="2" t="s">
        <v>462</v>
      </c>
      <c r="I125" s="2" t="str">
        <f>IFERROR(__xludf.DUMMYFUNCTION("GOOGLETRANSLATE(C125,""fr"",""en"")"),"Never put into service this mutual insurance company because my current mutual insurance requires me to stay 6 months for a history of calendar year")</f>
        <v>Never put into service this mutual insurance company because my current mutual insurance requires me to stay 6 months for a history of calendar year</v>
      </c>
    </row>
    <row r="126" ht="15.75" customHeight="1">
      <c r="A126" s="2">
        <v>5.0</v>
      </c>
      <c r="B126" s="2" t="s">
        <v>463</v>
      </c>
      <c r="C126" s="2" t="s">
        <v>464</v>
      </c>
      <c r="D126" s="2" t="s">
        <v>13</v>
      </c>
      <c r="E126" s="2" t="s">
        <v>14</v>
      </c>
      <c r="F126" s="2" t="s">
        <v>15</v>
      </c>
      <c r="G126" s="2" t="s">
        <v>187</v>
      </c>
      <c r="H126" s="2" t="s">
        <v>33</v>
      </c>
      <c r="I126" s="2" t="str">
        <f>IFERROR(__xludf.DUMMYFUNCTION("GOOGLETRANSLATE(C126,""fr"",""en"")"),"I am satisfied with the services offered, prices which is very affordable ... An advisor who is available if necessary, very practical and who answers all your questions in case of doubt or other.")</f>
        <v>I am satisfied with the services offered, prices which is very affordable ... An advisor who is available if necessary, very practical and who answers all your questions in case of doubt or other.</v>
      </c>
    </row>
    <row r="127" ht="15.75" customHeight="1">
      <c r="A127" s="2">
        <v>4.0</v>
      </c>
      <c r="B127" s="2" t="s">
        <v>465</v>
      </c>
      <c r="C127" s="2" t="s">
        <v>466</v>
      </c>
      <c r="D127" s="2" t="s">
        <v>36</v>
      </c>
      <c r="E127" s="2" t="s">
        <v>14</v>
      </c>
      <c r="F127" s="2" t="s">
        <v>15</v>
      </c>
      <c r="G127" s="2" t="s">
        <v>467</v>
      </c>
      <c r="H127" s="2" t="s">
        <v>145</v>
      </c>
      <c r="I127" s="2" t="str">
        <f>IFERROR(__xludf.DUMMYFUNCTION("GOOGLETRANSLATE(C127,""fr"",""en"")"),"Very easy to subscribe and pay!
For the information statement, that provided by the former assistance is only limited to the last 5 years and only mentions 050 for 3 years and + (even if it goes back to good beyond)
When you indicate 12 years and + (the"&amp;" maximum among the choices offered when you are 50% for more than 30 years), you are almost accused of false declaration.
The emails received are no reply. You might as well address a robot!
I hope that contact is more human in the event of a problem .."&amp;".")</f>
        <v>Very easy to subscribe and pay!
For the information statement, that provided by the former assistance is only limited to the last 5 years and only mentions 050 for 3 years and + (even if it goes back to good beyond)
When you indicate 12 years and + (the maximum among the choices offered when you are 50% for more than 30 years), you are almost accused of false declaration.
The emails received are no reply. You might as well address a robot!
I hope that contact is more human in the event of a problem ...</v>
      </c>
    </row>
    <row r="128" ht="15.75" customHeight="1">
      <c r="A128" s="2">
        <v>2.0</v>
      </c>
      <c r="B128" s="2" t="s">
        <v>468</v>
      </c>
      <c r="C128" s="2" t="s">
        <v>469</v>
      </c>
      <c r="D128" s="2" t="s">
        <v>414</v>
      </c>
      <c r="E128" s="2" t="s">
        <v>37</v>
      </c>
      <c r="F128" s="2" t="s">
        <v>15</v>
      </c>
      <c r="G128" s="2" t="s">
        <v>470</v>
      </c>
      <c r="H128" s="2" t="s">
        <v>471</v>
      </c>
      <c r="I128" s="2" t="str">
        <f>IFERROR(__xludf.DUMMYFUNCTION("GOOGLETRANSLATE(C128,""fr"",""en"")"),"Victim of a water damage in my apartment, I decided to call the hygiene service of the city where I live which has passed 2 times and I established in parallel an observation with the agreement of my owner and His signature that I sent to the Maïf who ask"&amp;"ed me to join this observation of photographs as well as exact damage measurements. And despite that, while I am assured, the Maïf refuses to take care of this disaster of which I am the victim. I must constantly justify myself with them in particular by "&amp;"sending photos, reports from hygiene services, etc. They question this infiltration when it is indicated black on white on the mail that the inspector wrote and that I sent. I find it scandalous and shameful !! I told them to send me an expert to see the "&amp;"damage but they refuse to minimize the costs of care. It's up to me to do that abject!")</f>
        <v>Victim of a water damage in my apartment, I decided to call the hygiene service of the city where I live which has passed 2 times and I established in parallel an observation with the agreement of my owner and His signature that I sent to the Maïf who asked me to join this observation of photographs as well as exact damage measurements. And despite that, while I am assured, the Maïf refuses to take care of this disaster of which I am the victim. I must constantly justify myself with them in particular by sending photos, reports from hygiene services, etc. They question this infiltration when it is indicated black on white on the mail that the inspector wrote and that I sent. I find it scandalous and shameful !! I told them to send me an expert to see the damage but they refuse to minimize the costs of care. It's up to me to do that abject!</v>
      </c>
    </row>
    <row r="129" ht="15.75" customHeight="1">
      <c r="A129" s="2">
        <v>3.0</v>
      </c>
      <c r="B129" s="2" t="s">
        <v>472</v>
      </c>
      <c r="C129" s="2" t="s">
        <v>473</v>
      </c>
      <c r="D129" s="2" t="s">
        <v>211</v>
      </c>
      <c r="E129" s="2" t="s">
        <v>31</v>
      </c>
      <c r="F129" s="2" t="s">
        <v>15</v>
      </c>
      <c r="G129" s="2" t="s">
        <v>474</v>
      </c>
      <c r="H129" s="2" t="s">
        <v>90</v>
      </c>
      <c r="I129" s="2" t="str">
        <f>IFERROR(__xludf.DUMMYFUNCTION("GOOGLETRANSLATE(C129,""fr"",""en"")"),"The speed of reimbursements
Nothing other to report")</f>
        <v>The speed of reimbursements
Nothing other to report</v>
      </c>
    </row>
    <row r="130" ht="15.75" customHeight="1">
      <c r="A130" s="2">
        <v>5.0</v>
      </c>
      <c r="B130" s="2" t="s">
        <v>475</v>
      </c>
      <c r="C130" s="2" t="s">
        <v>476</v>
      </c>
      <c r="D130" s="2" t="s">
        <v>13</v>
      </c>
      <c r="E130" s="2" t="s">
        <v>14</v>
      </c>
      <c r="F130" s="2" t="s">
        <v>15</v>
      </c>
      <c r="G130" s="2" t="s">
        <v>477</v>
      </c>
      <c r="H130" s="2" t="s">
        <v>230</v>
      </c>
      <c r="I130" s="2" t="str">
        <f>IFERROR(__xludf.DUMMYFUNCTION("GOOGLETRANSLATE(C130,""fr"",""en"")"),"I cannot decide on this insurance which I have just subscribed, nevertheless the prices and the guarantees are much more interesting than in all its competitors.")</f>
        <v>I cannot decide on this insurance which I have just subscribed, nevertheless the prices and the guarantees are much more interesting than in all its competitors.</v>
      </c>
    </row>
    <row r="131" ht="15.75" customHeight="1">
      <c r="A131" s="2">
        <v>2.0</v>
      </c>
      <c r="B131" s="2" t="s">
        <v>478</v>
      </c>
      <c r="C131" s="2" t="s">
        <v>479</v>
      </c>
      <c r="D131" s="2" t="s">
        <v>93</v>
      </c>
      <c r="E131" s="2" t="s">
        <v>14</v>
      </c>
      <c r="F131" s="2" t="s">
        <v>15</v>
      </c>
      <c r="G131" s="2" t="s">
        <v>480</v>
      </c>
      <c r="H131" s="2" t="s">
        <v>432</v>
      </c>
      <c r="I131" s="2" t="str">
        <f>IFERROR(__xludf.DUMMYFUNCTION("GOOGLETRANSLATE(C131,""fr"",""en"")"),"Sinister declaring in October 2017 to date March 2018 the claim The Tjrs not was treated. Sinister service on Aix en Provence not efficient, not professional. They hang up on the nose, we have several interlocutors who take the ball. I have declared a non"&amp;" -responsible claim I currently pay for any risk car insurance. Very disappointed with the ""none"" care. It is the first claim to declare in 40 years of license.")</f>
        <v>Sinister declaring in October 2017 to date March 2018 the claim The Tjrs not was treated. Sinister service on Aix en Provence not efficient, not professional. They hang up on the nose, we have several interlocutors who take the ball. I have declared a non -responsible claim I currently pay for any risk car insurance. Very disappointed with the "none" care. It is the first claim to declare in 40 years of license.</v>
      </c>
    </row>
    <row r="132" ht="15.75" customHeight="1">
      <c r="A132" s="2">
        <v>1.0</v>
      </c>
      <c r="B132" s="2" t="s">
        <v>481</v>
      </c>
      <c r="C132" s="2" t="s">
        <v>482</v>
      </c>
      <c r="D132" s="2" t="s">
        <v>414</v>
      </c>
      <c r="E132" s="2" t="s">
        <v>14</v>
      </c>
      <c r="F132" s="2" t="s">
        <v>15</v>
      </c>
      <c r="G132" s="2" t="s">
        <v>483</v>
      </c>
      <c r="H132" s="2" t="s">
        <v>436</v>
      </c>
      <c r="I132" s="2" t="str">
        <f>IFERROR(__xludf.DUMMYFUNCTION("GOOGLETRANSLATE(C132,""fr"",""en"")"),"Hello
In August 2016, I had a car accident (not responsible). I had declared this accident in the hour, however for 10 days I had had no news from the Maif; After 10 days, I had called and I had replied that they had not had time to process my request .."&amp;".. I had obviously expressed my dissatisfaction on this occasion. At the beginning of the year, I receive a call from a very haughty gentleman, who at the outset makes me moral because I had allowed myself to protest ... I mean my wish not to exchange lon"&amp;"ger with He since he is very unpleasant from the start.
This morning I receive a letter with AR, like what Maif is solving all my contracts following ""commercial alteration"".
So here it is .... Maif resilses all my contracts for me because I demonstra"&amp;"ted my dissatisfaction (I was obviously polished), isn't that beautiful?
Years that I have contracts with them, never a responsible accident, but now ... I have not accepted that I was told that I was ugly ....
I’m not waiting for anything anymore, I "&amp;"will obviously look for another insurance ready to accept the 1000 € annual that I leave him, and I will pay ... like a noodle ... without ever saying anything ...
I invite you if this is also your story, to contact consumer associations, and if you ha"&amp;"ve the possibility, with a lawyer.
Letti")</f>
        <v>Hello
In August 2016, I had a car accident (not responsible). I had declared this accident in the hour, however for 10 days I had had no news from the Maif; After 10 days, I had called and I had replied that they had not had time to process my request .... I had obviously expressed my dissatisfaction on this occasion. At the beginning of the year, I receive a call from a very haughty gentleman, who at the outset makes me moral because I had allowed myself to protest ... I mean my wish not to exchange longer with He since he is very unpleasant from the start.
This morning I receive a letter with AR, like what Maif is solving all my contracts following "commercial alteration".
So here it is .... Maif resilses all my contracts for me because I demonstrated my dissatisfaction (I was obviously polished), isn't that beautiful?
Years that I have contracts with them, never a responsible accident, but now ... I have not accepted that I was told that I was ugly ....
I’m not waiting for anything anymore, I will obviously look for another insurance ready to accept the 1000 € annual that I leave him, and I will pay ... like a noodle ... without ever saying anything ...
I invite you if this is also your story, to contact consumer associations, and if you have the possibility, with a lawyer.
Letti</v>
      </c>
    </row>
    <row r="133" ht="15.75" customHeight="1">
      <c r="A133" s="2">
        <v>5.0</v>
      </c>
      <c r="B133" s="2" t="s">
        <v>484</v>
      </c>
      <c r="C133" s="2" t="s">
        <v>485</v>
      </c>
      <c r="D133" s="2" t="s">
        <v>13</v>
      </c>
      <c r="E133" s="2" t="s">
        <v>14</v>
      </c>
      <c r="F133" s="2" t="s">
        <v>15</v>
      </c>
      <c r="G133" s="2" t="s">
        <v>486</v>
      </c>
      <c r="H133" s="2" t="s">
        <v>487</v>
      </c>
      <c r="I133" s="2" t="str">
        <f>IFERROR(__xludf.DUMMYFUNCTION("GOOGLETRANSLATE(C133,""fr"",""en"")"),"Very good value for money with a very courteous team, the Olivier Assurance really provides, I highly recommend. I recommended the olive assurance to all my loved ones. ????")</f>
        <v>Very good value for money with a very courteous team, the Olivier Assurance really provides, I highly recommend. I recommended the olive assurance to all my loved ones. ????</v>
      </c>
    </row>
    <row r="134" ht="15.75" customHeight="1">
      <c r="A134" s="2">
        <v>4.0</v>
      </c>
      <c r="B134" s="2" t="s">
        <v>488</v>
      </c>
      <c r="C134" s="2" t="s">
        <v>489</v>
      </c>
      <c r="D134" s="2" t="s">
        <v>13</v>
      </c>
      <c r="E134" s="2" t="s">
        <v>14</v>
      </c>
      <c r="F134" s="2" t="s">
        <v>15</v>
      </c>
      <c r="G134" s="2" t="s">
        <v>490</v>
      </c>
      <c r="H134" s="2" t="s">
        <v>230</v>
      </c>
      <c r="I134" s="2" t="str">
        <f>IFERROR(__xludf.DUMMYFUNCTION("GOOGLETRANSLATE(C134,""fr"",""en"")"),"Thank you for your responsiveness for internet insurance this is really fast and the price is correct
I will not hesitate to advise this insurance")</f>
        <v>Thank you for your responsiveness for internet insurance this is really fast and the price is correct
I will not hesitate to advise this insurance</v>
      </c>
    </row>
    <row r="135" ht="15.75" customHeight="1">
      <c r="A135" s="2">
        <v>1.0</v>
      </c>
      <c r="B135" s="2" t="s">
        <v>491</v>
      </c>
      <c r="C135" s="2" t="s">
        <v>492</v>
      </c>
      <c r="D135" s="2" t="s">
        <v>414</v>
      </c>
      <c r="E135" s="2" t="s">
        <v>37</v>
      </c>
      <c r="F135" s="2" t="s">
        <v>15</v>
      </c>
      <c r="G135" s="2" t="s">
        <v>493</v>
      </c>
      <c r="H135" s="2" t="s">
        <v>167</v>
      </c>
      <c r="I135" s="2" t="str">
        <f>IFERROR(__xludf.DUMMYFUNCTION("GOOGLETRANSLATE(C135,""fr"",""en"")"),"Client for more than 15 years at Maif (having never declared a claim), I see myself obliged to terminate my contract, after a request for a quote following a move.
Indeed, without any particular change, (just the fact of moving and without having asked m"&amp;"e for more information on the new accommodation), I go from 198.62 euros to almost 400 euros.
And there, I have just been bounded by an advisor because I asked for explanations on the reimbursement they should make me, two months.
He informs me that eve"&amp;"rything done, the termination of my contract will not be taken into account at the end of this month but at best at the end of next month because his colleague was too friendly to terminate without proof. So that I would no longer be reimbursed for the 2-"&amp;"month overpayment and if I wanted to have my contract terminated that I had to provide my inventory of exit. As long as it is not done, no termination and that it was an end to the conversation.
After such proof of loyalty, without declaration of a claim"&amp;", without any concern, I am outraged to see how the people who are resilient, the future ""ex-societies"" are treated")</f>
        <v>Client for more than 15 years at Maif (having never declared a claim), I see myself obliged to terminate my contract, after a request for a quote following a move.
Indeed, without any particular change, (just the fact of moving and without having asked me for more information on the new accommodation), I go from 198.62 euros to almost 400 euros.
And there, I have just been bounded by an advisor because I asked for explanations on the reimbursement they should make me, two months.
He informs me that everything done, the termination of my contract will not be taken into account at the end of this month but at best at the end of next month because his colleague was too friendly to terminate without proof. So that I would no longer be reimbursed for the 2-month overpayment and if I wanted to have my contract terminated that I had to provide my inventory of exit. As long as it is not done, no termination and that it was an end to the conversation.
After such proof of loyalty, without declaration of a claim, without any concern, I am outraged to see how the people who are resilient, the future "ex-societies" are treated</v>
      </c>
    </row>
    <row r="136" ht="15.75" customHeight="1">
      <c r="A136" s="2">
        <v>3.0</v>
      </c>
      <c r="B136" s="2" t="s">
        <v>494</v>
      </c>
      <c r="C136" s="2" t="s">
        <v>495</v>
      </c>
      <c r="D136" s="2" t="s">
        <v>50</v>
      </c>
      <c r="E136" s="2" t="s">
        <v>51</v>
      </c>
      <c r="F136" s="2" t="s">
        <v>15</v>
      </c>
      <c r="G136" s="2" t="s">
        <v>196</v>
      </c>
      <c r="H136" s="2" t="s">
        <v>171</v>
      </c>
      <c r="I136" s="2" t="str">
        <f>IFERROR(__xludf.DUMMYFUNCTION("GOOGLETRANSLATE(C136,""fr"",""en"")"),"I am satisfied with the service offered I was called directly the prices are affordable except for the first months which doubles from 43 to 89 I find that it is too much")</f>
        <v>I am satisfied with the service offered I was called directly the prices are affordable except for the first months which doubles from 43 to 89 I find that it is too much</v>
      </c>
    </row>
    <row r="137" ht="15.75" customHeight="1">
      <c r="A137" s="2">
        <v>5.0</v>
      </c>
      <c r="B137" s="2" t="s">
        <v>496</v>
      </c>
      <c r="C137" s="2" t="s">
        <v>497</v>
      </c>
      <c r="D137" s="2" t="s">
        <v>13</v>
      </c>
      <c r="E137" s="2" t="s">
        <v>14</v>
      </c>
      <c r="F137" s="2" t="s">
        <v>15</v>
      </c>
      <c r="G137" s="2" t="s">
        <v>351</v>
      </c>
      <c r="H137" s="2" t="s">
        <v>47</v>
      </c>
      <c r="I137" s="2" t="str">
        <f>IFERROR(__xludf.DUMMYFUNCTION("GOOGLETRANSLATE(C137,""fr"",""en"")"),"I am satisfied with the service!
The person I had on the phone was very pleasant.
The prices are reasonable.
Thank you. Goodbye !
Timothy")</f>
        <v>I am satisfied with the service!
The person I had on the phone was very pleasant.
The prices are reasonable.
Thank you. Goodbye !
Timothy</v>
      </c>
    </row>
    <row r="138" ht="15.75" customHeight="1">
      <c r="A138" s="2">
        <v>1.0</v>
      </c>
      <c r="B138" s="2" t="s">
        <v>498</v>
      </c>
      <c r="C138" s="2" t="s">
        <v>499</v>
      </c>
      <c r="D138" s="2" t="s">
        <v>55</v>
      </c>
      <c r="E138" s="2" t="s">
        <v>14</v>
      </c>
      <c r="F138" s="2" t="s">
        <v>15</v>
      </c>
      <c r="G138" s="2" t="s">
        <v>500</v>
      </c>
      <c r="H138" s="2" t="s">
        <v>117</v>
      </c>
      <c r="I138" s="2" t="str">
        <f>IFERROR(__xludf.DUMMYFUNCTION("GOOGLETRANSLATE(C138,""fr"",""en"")"),"To flee!!! On January 7, 2018, my car (Golf Cabriolet Volkswagen) was vandalized (ripped cap a night when it was raining winged water ...). My Pacifica contract takes care of repairs but despite my numerous reminders, no repair has been made to date (5 mo"&amp;"nths later, 150 days during which the rainfall beats records !!!) and Pacifica did not propose any Solution to avoid degradations following the disaster (carpet still wet and which molds, connectors of ventilation and affected windows). The management of "&amp;"the file is deplorable. It is up to me to relaunch the mechanic, the expert and of course Pacifica. Lamentable!")</f>
        <v>To flee!!! On January 7, 2018, my car (Golf Cabriolet Volkswagen) was vandalized (ripped cap a night when it was raining winged water ...). My Pacifica contract takes care of repairs but despite my numerous reminders, no repair has been made to date (5 months later, 150 days during which the rainfall beats records !!!) and Pacifica did not propose any Solution to avoid degradations following the disaster (carpet still wet and which molds, connectors of ventilation and affected windows). The management of the file is deplorable. It is up to me to relaunch the mechanic, the expert and of course Pacifica. Lamentable!</v>
      </c>
    </row>
    <row r="139" ht="15.75" customHeight="1">
      <c r="A139" s="2">
        <v>1.0</v>
      </c>
      <c r="B139" s="2" t="s">
        <v>501</v>
      </c>
      <c r="C139" s="2" t="s">
        <v>502</v>
      </c>
      <c r="D139" s="2" t="s">
        <v>264</v>
      </c>
      <c r="E139" s="2" t="s">
        <v>31</v>
      </c>
      <c r="F139" s="2" t="s">
        <v>15</v>
      </c>
      <c r="G139" s="2" t="s">
        <v>503</v>
      </c>
      <c r="H139" s="2" t="s">
        <v>504</v>
      </c>
      <c r="I139" s="2" t="str">
        <f>IFERROR(__xludf.DUMMYFUNCTION("GOOGLETRANSLATE(C139,""fr"",""en"")"),"Mutual whose price climbs very quickly.Finally very expensive for the guarantees offered. And when when subscribing you are praised the flexibility of the change in guarantees, it is pipeau. Result, I have been paying for nothing every month for 17 months"&amp;". I sent the termination form hoping not to come up against their bad faith ...")</f>
        <v>Mutual whose price climbs very quickly.Finally very expensive for the guarantees offered. And when when subscribing you are praised the flexibility of the change in guarantees, it is pipeau. Result, I have been paying for nothing every month for 17 months. I sent the termination form hoping not to come up against their bad faith ...</v>
      </c>
    </row>
    <row r="140" ht="15.75" customHeight="1">
      <c r="A140" s="2">
        <v>5.0</v>
      </c>
      <c r="B140" s="2" t="s">
        <v>505</v>
      </c>
      <c r="C140" s="2" t="s">
        <v>506</v>
      </c>
      <c r="D140" s="2" t="s">
        <v>13</v>
      </c>
      <c r="E140" s="2" t="s">
        <v>14</v>
      </c>
      <c r="F140" s="2" t="s">
        <v>15</v>
      </c>
      <c r="G140" s="2" t="s">
        <v>507</v>
      </c>
      <c r="H140" s="2" t="s">
        <v>269</v>
      </c>
      <c r="I140" s="2" t="str">
        <f>IFERROR(__xludf.DUMMYFUNCTION("GOOGLETRANSLATE(C140,""fr"",""en"")"),"I am satisfied and the price suits me perfectly.
Reactivity and service was very effective.
I recommend the olive assurance to all other customers.")</f>
        <v>I am satisfied and the price suits me perfectly.
Reactivity and service was very effective.
I recommend the olive assurance to all other customers.</v>
      </c>
    </row>
    <row r="141" ht="15.75" customHeight="1">
      <c r="A141" s="2">
        <v>5.0</v>
      </c>
      <c r="B141" s="2" t="s">
        <v>508</v>
      </c>
      <c r="C141" s="2" t="s">
        <v>509</v>
      </c>
      <c r="D141" s="2" t="s">
        <v>36</v>
      </c>
      <c r="E141" s="2" t="s">
        <v>14</v>
      </c>
      <c r="F141" s="2" t="s">
        <v>15</v>
      </c>
      <c r="G141" s="2" t="s">
        <v>510</v>
      </c>
      <c r="H141" s="2" t="s">
        <v>27</v>
      </c>
      <c r="I141" s="2" t="str">
        <f>IFERROR(__xludf.DUMMYFUNCTION("GOOGLETRANSLATE(C141,""fr"",""en"")"),"I am satisfied with the service. The online service is extremely fast, the questions are clear. I can have my insurance in instantaneous and leave with the vehicle purchased. At the top thank you")</f>
        <v>I am satisfied with the service. The online service is extremely fast, the questions are clear. I can have my insurance in instantaneous and leave with the vehicle purchased. At the top thank you</v>
      </c>
    </row>
    <row r="142" ht="15.75" customHeight="1">
      <c r="A142" s="2">
        <v>2.0</v>
      </c>
      <c r="B142" s="2" t="s">
        <v>511</v>
      </c>
      <c r="C142" s="2" t="s">
        <v>512</v>
      </c>
      <c r="D142" s="2" t="s">
        <v>125</v>
      </c>
      <c r="E142" s="2" t="s">
        <v>37</v>
      </c>
      <c r="F142" s="2" t="s">
        <v>15</v>
      </c>
      <c r="G142" s="2" t="s">
        <v>513</v>
      </c>
      <c r="H142" s="2" t="s">
        <v>371</v>
      </c>
      <c r="I142" s="2" t="str">
        <f>IFERROR(__xludf.DUMMYFUNCTION("GOOGLETRANSLATE(C142,""fr"",""en"")"),"I called for the termination of the home insurance, I was received by a person who spoke to me in an innapropured tone by telling myself that we could not stop ""like that"", I had the Impression of being a breeding which receives a punishment. Totally in"&amp;"naceptable")</f>
        <v>I called for the termination of the home insurance, I was received by a person who spoke to me in an innapropured tone by telling myself that we could not stop "like that", I had the Impression of being a breeding which receives a punishment. Totally innaceptable</v>
      </c>
    </row>
    <row r="143" ht="15.75" customHeight="1">
      <c r="A143" s="2">
        <v>1.0</v>
      </c>
      <c r="B143" s="2" t="s">
        <v>514</v>
      </c>
      <c r="C143" s="2" t="s">
        <v>515</v>
      </c>
      <c r="D143" s="2" t="s">
        <v>13</v>
      </c>
      <c r="E143" s="2" t="s">
        <v>14</v>
      </c>
      <c r="F143" s="2" t="s">
        <v>15</v>
      </c>
      <c r="G143" s="2" t="s">
        <v>516</v>
      </c>
      <c r="H143" s="2" t="s">
        <v>313</v>
      </c>
      <c r="I143" s="2" t="str">
        <f>IFERROR(__xludf.DUMMYFUNCTION("GOOGLETRANSLATE(C143,""fr"",""en"")"),"Insured all risks, following a claim in October 2019, I do not go out. Impossible to have a status on my file for several months. I relaunched very regularly: I am walking, never the same contact, no answer, ""I inquire"", ""no return of the expert"", etc"&amp;"., nobody ever reminded me ... the expert was able to clear immediately by sending me a letter and preventing me from using my vehicle if I do not repair it. We are in the 3rd expert and everything is still blocked since last February with the insurer ..."&amp;" Today I want to terminate my insurance. My vehicle has been immobilized for months, not my fact. I hear that my 2018-2019 subscription is reimbursed to me.")</f>
        <v>Insured all risks, following a claim in October 2019, I do not go out. Impossible to have a status on my file for several months. I relaunched very regularly: I am walking, never the same contact, no answer, "I inquire", "no return of the expert", etc., nobody ever reminded me ... the expert was able to clear immediately by sending me a letter and preventing me from using my vehicle if I do not repair it. We are in the 3rd expert and everything is still blocked since last February with the insurer ... Today I want to terminate my insurance. My vehicle has been immobilized for months, not my fact. I hear that my 2018-2019 subscription is reimbursed to me.</v>
      </c>
    </row>
    <row r="144" ht="15.75" customHeight="1">
      <c r="A144" s="2">
        <v>5.0</v>
      </c>
      <c r="B144" s="2" t="s">
        <v>517</v>
      </c>
      <c r="C144" s="2" t="s">
        <v>518</v>
      </c>
      <c r="D144" s="2" t="s">
        <v>76</v>
      </c>
      <c r="E144" s="2" t="s">
        <v>51</v>
      </c>
      <c r="F144" s="2" t="s">
        <v>15</v>
      </c>
      <c r="G144" s="2" t="s">
        <v>26</v>
      </c>
      <c r="H144" s="2" t="s">
        <v>27</v>
      </c>
      <c r="I144" s="2" t="str">
        <f>IFERROR(__xludf.DUMMYFUNCTION("GOOGLETRANSLATE(C144,""fr"",""en"")"),"I am satisfied with your services with a reasonable price; accessible by all
 THANK YOU! I recommend that my friends subscribe to AMV.
")</f>
        <v>I am satisfied with your services with a reasonable price; accessible by all
 THANK YOU! I recommend that my friends subscribe to AMV.
</v>
      </c>
    </row>
    <row r="145" ht="15.75" customHeight="1">
      <c r="A145" s="2">
        <v>1.0</v>
      </c>
      <c r="B145" s="2" t="s">
        <v>519</v>
      </c>
      <c r="C145" s="2" t="s">
        <v>520</v>
      </c>
      <c r="D145" s="2" t="s">
        <v>304</v>
      </c>
      <c r="E145" s="2" t="s">
        <v>21</v>
      </c>
      <c r="F145" s="2" t="s">
        <v>15</v>
      </c>
      <c r="G145" s="2" t="s">
        <v>521</v>
      </c>
      <c r="H145" s="2" t="s">
        <v>223</v>
      </c>
      <c r="I145" s="2" t="str">
        <f>IFERROR(__xludf.DUMMYFUNCTION("GOOGLETRANSLATE(C145,""fr"",""en"")"),"A big anything. 7 people affected by an ASV Cardif. 7 identical files with payment of rights by cardif on the capital paid. 3 Touch their capital in less than 15 days after submitting their file and without any tax proof to provide, 3 others are obliged t"&amp;"o provide this proof to be able to affect capital. Being an agent I am the only recipient of this proof and the taxman did not address anything and I did not address anything to Cardif. Advised unable to provide consistent information behind ""I don't hav"&amp;"e the right to tell you""")</f>
        <v>A big anything. 7 people affected by an ASV Cardif. 7 identical files with payment of rights by cardif on the capital paid. 3 Touch their capital in less than 15 days after submitting their file and without any tax proof to provide, 3 others are obliged to provide this proof to be able to affect capital. Being an agent I am the only recipient of this proof and the taxman did not address anything and I did not address anything to Cardif. Advised unable to provide consistent information behind "I don't have the right to tell you"</v>
      </c>
    </row>
    <row r="146" ht="15.75" customHeight="1">
      <c r="A146" s="2">
        <v>2.0</v>
      </c>
      <c r="B146" s="2" t="s">
        <v>522</v>
      </c>
      <c r="C146" s="2" t="s">
        <v>523</v>
      </c>
      <c r="D146" s="2" t="s">
        <v>36</v>
      </c>
      <c r="E146" s="2" t="s">
        <v>14</v>
      </c>
      <c r="F146" s="2" t="s">
        <v>15</v>
      </c>
      <c r="G146" s="2" t="s">
        <v>524</v>
      </c>
      <c r="H146" s="2" t="s">
        <v>178</v>
      </c>
      <c r="I146" s="2" t="str">
        <f>IFERROR(__xludf.DUMMYFUNCTION("GOOGLETRANSLATE(C146,""fr"",""en"")"),"2 non -responsible claims and 1 broken ice the same year (no luck!). Result, I was fired from my car insurance, and afterwards to find another insurance after being fired = Big hassle + huge cost !!!! Reason = customer at risk ....
Yet more than 10 years"&amp;" at them at 50% bonus without claims.
Disgusting !!!")</f>
        <v>2 non -responsible claims and 1 broken ice the same year (no luck!). Result, I was fired from my car insurance, and afterwards to find another insurance after being fired = Big hassle + huge cost !!!! Reason = customer at risk ....
Yet more than 10 years at them at 50% bonus without claims.
Disgusting !!!</v>
      </c>
    </row>
    <row r="147" ht="15.75" customHeight="1">
      <c r="A147" s="2">
        <v>4.0</v>
      </c>
      <c r="B147" s="2" t="s">
        <v>525</v>
      </c>
      <c r="C147" s="2" t="s">
        <v>526</v>
      </c>
      <c r="D147" s="2" t="s">
        <v>76</v>
      </c>
      <c r="E147" s="2" t="s">
        <v>51</v>
      </c>
      <c r="F147" s="2" t="s">
        <v>15</v>
      </c>
      <c r="G147" s="2" t="s">
        <v>527</v>
      </c>
      <c r="H147" s="2" t="s">
        <v>43</v>
      </c>
      <c r="I147" s="2" t="str">
        <f>IFERROR(__xludf.DUMMYFUNCTION("GOOGLETRANSLATE(C147,""fr"",""en"")"),"Interesting price
Good welcome
Availability on the site and on the phone
It remains to be seen the day of an accident that I do not wish if the service will be as quick to react")</f>
        <v>Interesting price
Good welcome
Availability on the site and on the phone
It remains to be seen the day of an accident that I do not wish if the service will be as quick to react</v>
      </c>
    </row>
    <row r="148" ht="15.75" customHeight="1">
      <c r="A148" s="2">
        <v>5.0</v>
      </c>
      <c r="B148" s="2" t="s">
        <v>528</v>
      </c>
      <c r="C148" s="2" t="s">
        <v>529</v>
      </c>
      <c r="D148" s="2" t="s">
        <v>36</v>
      </c>
      <c r="E148" s="2" t="s">
        <v>14</v>
      </c>
      <c r="F148" s="2" t="s">
        <v>15</v>
      </c>
      <c r="G148" s="2" t="s">
        <v>530</v>
      </c>
      <c r="H148" s="2" t="s">
        <v>33</v>
      </c>
      <c r="I148" s="2" t="str">
        <f>IFERROR(__xludf.DUMMYFUNCTION("GOOGLETRANSLATE(C148,""fr"",""en"")"),"The prices are interesting and competitive. There are similar prices with slightly inferior guarantees. It remains to be seen in time, during claims that I do not want to have.")</f>
        <v>The prices are interesting and competitive. There are similar prices with slightly inferior guarantees. It remains to be seen in time, during claims that I do not want to have.</v>
      </c>
    </row>
    <row r="149" ht="15.75" customHeight="1">
      <c r="A149" s="2">
        <v>4.0</v>
      </c>
      <c r="B149" s="2" t="s">
        <v>531</v>
      </c>
      <c r="C149" s="2" t="s">
        <v>532</v>
      </c>
      <c r="D149" s="2" t="s">
        <v>13</v>
      </c>
      <c r="E149" s="2" t="s">
        <v>14</v>
      </c>
      <c r="F149" s="2" t="s">
        <v>15</v>
      </c>
      <c r="G149" s="2" t="s">
        <v>533</v>
      </c>
      <c r="H149" s="2" t="s">
        <v>432</v>
      </c>
      <c r="I149" s="2" t="str">
        <f>IFERROR(__xludf.DUMMYFUNCTION("GOOGLETRANSLATE(C149,""fr"",""en"")"),"speed of response efficiency of employees, listening, no unnecessary blah everything is concise")</f>
        <v>speed of response efficiency of employees, listening, no unnecessary blah everything is concise</v>
      </c>
    </row>
    <row r="150" ht="15.75" customHeight="1">
      <c r="A150" s="2">
        <v>1.0</v>
      </c>
      <c r="B150" s="2" t="s">
        <v>534</v>
      </c>
      <c r="C150" s="2" t="s">
        <v>535</v>
      </c>
      <c r="D150" s="2" t="s">
        <v>304</v>
      </c>
      <c r="E150" s="2" t="s">
        <v>200</v>
      </c>
      <c r="F150" s="2" t="s">
        <v>15</v>
      </c>
      <c r="G150" s="2" t="s">
        <v>536</v>
      </c>
      <c r="H150" s="2" t="s">
        <v>57</v>
      </c>
      <c r="I150" s="2" t="str">
        <f>IFERROR(__xludf.DUMMYFUNCTION("GOOGLETRANSLATE(C150,""fr"",""en"")"),"Total refusal when you need to be insured after breast cancer which does not yet have the number of years required for the right to be forgotten. Do not hesitate to call on a specialized broker and do not wait for Cardif's response before acting. Good luc"&amp;"k, the fight is hard for women of pink October.")</f>
        <v>Total refusal when you need to be insured after breast cancer which does not yet have the number of years required for the right to be forgotten. Do not hesitate to call on a specialized broker and do not wait for Cardif's response before acting. Good luck, the fight is hard for women of pink October.</v>
      </c>
    </row>
    <row r="151" ht="15.75" customHeight="1">
      <c r="A151" s="2">
        <v>1.0</v>
      </c>
      <c r="B151" s="2" t="s">
        <v>537</v>
      </c>
      <c r="C151" s="2" t="s">
        <v>538</v>
      </c>
      <c r="D151" s="2" t="s">
        <v>36</v>
      </c>
      <c r="E151" s="2" t="s">
        <v>14</v>
      </c>
      <c r="F151" s="2" t="s">
        <v>15</v>
      </c>
      <c r="G151" s="2" t="s">
        <v>539</v>
      </c>
      <c r="H151" s="2" t="s">
        <v>171</v>
      </c>
      <c r="I151" s="2" t="str">
        <f>IFERROR(__xludf.DUMMYFUNCTION("GOOGLETRANSLATE(C151,""fr"",""en"")"),"The prices are correct but the sgaranties do not spont up to the Economy completed this year of COVID REVOINER your guarantees to the loss and to lower contributions")</f>
        <v>The prices are correct but the sgaranties do not spont up to the Economy completed this year of COVID REVOINER your guarantees to the loss and to lower contributions</v>
      </c>
    </row>
    <row r="152" ht="15.75" customHeight="1">
      <c r="A152" s="2">
        <v>5.0</v>
      </c>
      <c r="B152" s="2" t="s">
        <v>540</v>
      </c>
      <c r="C152" s="2" t="s">
        <v>541</v>
      </c>
      <c r="D152" s="2" t="s">
        <v>36</v>
      </c>
      <c r="E152" s="2" t="s">
        <v>14</v>
      </c>
      <c r="F152" s="2" t="s">
        <v>15</v>
      </c>
      <c r="G152" s="2" t="s">
        <v>542</v>
      </c>
      <c r="H152" s="2" t="s">
        <v>171</v>
      </c>
      <c r="I152" s="2" t="str">
        <f>IFERROR(__xludf.DUMMYFUNCTION("GOOGLETRANSLATE(C152,""fr"",""en"")"),"No worries since the start of my membership; great availability and kindness of advisers in the event of concern; Really attractive price for services equivalent to company")</f>
        <v>No worries since the start of my membership; great availability and kindness of advisers in the event of concern; Really attractive price for services equivalent to company</v>
      </c>
    </row>
    <row r="153" ht="15.75" customHeight="1">
      <c r="A153" s="2">
        <v>5.0</v>
      </c>
      <c r="B153" s="2" t="s">
        <v>543</v>
      </c>
      <c r="C153" s="2" t="s">
        <v>544</v>
      </c>
      <c r="D153" s="2" t="s">
        <v>36</v>
      </c>
      <c r="E153" s="2" t="s">
        <v>14</v>
      </c>
      <c r="F153" s="2" t="s">
        <v>15</v>
      </c>
      <c r="G153" s="2" t="s">
        <v>282</v>
      </c>
      <c r="H153" s="2" t="s">
        <v>27</v>
      </c>
      <c r="I153" s="2" t="str">
        <f>IFERROR(__xludf.DUMMYFUNCTION("GOOGLETRANSLATE(C153,""fr"",""en"")"),"Good warranty, perfect price level nothing more to say thank you very much hoping that everything goes well during a claim to you see you very quickly thank you")</f>
        <v>Good warranty, perfect price level nothing more to say thank you very much hoping that everything goes well during a claim to you see you very quickly thank you</v>
      </c>
    </row>
    <row r="154" ht="15.75" customHeight="1">
      <c r="A154" s="2">
        <v>2.0</v>
      </c>
      <c r="B154" s="2" t="s">
        <v>545</v>
      </c>
      <c r="C154" s="2" t="s">
        <v>546</v>
      </c>
      <c r="D154" s="2" t="s">
        <v>36</v>
      </c>
      <c r="E154" s="2" t="s">
        <v>14</v>
      </c>
      <c r="F154" s="2" t="s">
        <v>15</v>
      </c>
      <c r="G154" s="2" t="s">
        <v>547</v>
      </c>
      <c r="H154" s="2" t="s">
        <v>137</v>
      </c>
      <c r="I154" s="2" t="str">
        <f>IFERROR(__xludf.DUMMYFUNCTION("GOOGLETRANSLATE(C154,""fr"",""en"")"),"Customer service is difficult to reach by phone. The prices are interesting but not extraordinary either. Pas of real advantages once you are a customer at home. Uncapted and not modern website.")</f>
        <v>Customer service is difficult to reach by phone. The prices are interesting but not extraordinary either. Pas of real advantages once you are a customer at home. Uncapted and not modern website.</v>
      </c>
    </row>
    <row r="155" ht="15.75" customHeight="1">
      <c r="A155" s="2">
        <v>1.0</v>
      </c>
      <c r="B155" s="2" t="s">
        <v>548</v>
      </c>
      <c r="C155" s="2" t="s">
        <v>549</v>
      </c>
      <c r="D155" s="2" t="s">
        <v>20</v>
      </c>
      <c r="E155" s="2" t="s">
        <v>121</v>
      </c>
      <c r="F155" s="2" t="s">
        <v>15</v>
      </c>
      <c r="G155" s="2" t="s">
        <v>550</v>
      </c>
      <c r="H155" s="2" t="s">
        <v>39</v>
      </c>
      <c r="I155" s="2" t="str">
        <f>IFERROR(__xludf.DUMMYFUNCTION("GOOGLETRANSLATE(C155,""fr"",""en"")"),"I do not recommend AXA.
In my account since 2012, I have been on sick leave for big health problems since March 2019.
Despite medical expertise, at their request concluding that my work stoppage is justified, I do not perceive any daily allowance.
They"&amp;" have been dragging the file for 5 months asking about almost every month new documents, to delay payment as much as possible.
Result: I have been without income for 5 months !!! Who can survive like that ??
It's a shame.
And it is obviously a habit at"&amp;" AXA.
I regret having chosen this insurer ...
")</f>
        <v>I do not recommend AXA.
In my account since 2012, I have been on sick leave for big health problems since March 2019.
Despite medical expertise, at their request concluding that my work stoppage is justified, I do not perceive any daily allowance.
They have been dragging the file for 5 months asking about almost every month new documents, to delay payment as much as possible.
Result: I have been without income for 5 months !!! Who can survive like that ??
It's a shame.
And it is obviously a habit at AXA.
I regret having chosen this insurer ...
</v>
      </c>
    </row>
    <row r="156" ht="15.75" customHeight="1">
      <c r="A156" s="2">
        <v>5.0</v>
      </c>
      <c r="B156" s="2" t="s">
        <v>551</v>
      </c>
      <c r="C156" s="2" t="s">
        <v>552</v>
      </c>
      <c r="D156" s="2" t="s">
        <v>13</v>
      </c>
      <c r="E156" s="2" t="s">
        <v>14</v>
      </c>
      <c r="F156" s="2" t="s">
        <v>15</v>
      </c>
      <c r="G156" s="2" t="s">
        <v>553</v>
      </c>
      <c r="H156" s="2" t="s">
        <v>230</v>
      </c>
      <c r="I156" s="2" t="str">
        <f>IFERROR(__xludf.DUMMYFUNCTION("GOOGLETRANSLATE(C156,""fr"",""en"")"),"The best value market price.
For young drivers and the least young.
Subscribed for a new vehicle for young driver, I will switch all my contracts to the Olivier Assurance for sure.")</f>
        <v>The best value market price.
For young drivers and the least young.
Subscribed for a new vehicle for young driver, I will switch all my contracts to the Olivier Assurance for sure.</v>
      </c>
    </row>
    <row r="157" ht="15.75" customHeight="1">
      <c r="A157" s="2">
        <v>1.0</v>
      </c>
      <c r="B157" s="2" t="s">
        <v>554</v>
      </c>
      <c r="C157" s="2" t="s">
        <v>555</v>
      </c>
      <c r="D157" s="2" t="s">
        <v>120</v>
      </c>
      <c r="E157" s="2" t="s">
        <v>21</v>
      </c>
      <c r="F157" s="2" t="s">
        <v>15</v>
      </c>
      <c r="G157" s="2" t="s">
        <v>556</v>
      </c>
      <c r="H157" s="2" t="s">
        <v>33</v>
      </c>
      <c r="I157" s="2" t="str">
        <f>IFERROR(__xludf.DUMMYFUNCTION("GOOGLETRANSLATE(C157,""fr"",""en"")"),"3 months without any response to liquidate a life insurance contract.
No compliance with deadlines, customers and insurance code.
Unreachable, hidden behind the Internet.
to be avoided")</f>
        <v>3 months without any response to liquidate a life insurance contract.
No compliance with deadlines, customers and insurance code.
Unreachable, hidden behind the Internet.
to be avoided</v>
      </c>
    </row>
    <row r="158" ht="15.75" customHeight="1">
      <c r="A158" s="2">
        <v>2.0</v>
      </c>
      <c r="B158" s="2" t="s">
        <v>557</v>
      </c>
      <c r="C158" s="2" t="s">
        <v>558</v>
      </c>
      <c r="D158" s="2" t="s">
        <v>93</v>
      </c>
      <c r="E158" s="2" t="s">
        <v>14</v>
      </c>
      <c r="F158" s="2" t="s">
        <v>15</v>
      </c>
      <c r="G158" s="2" t="s">
        <v>559</v>
      </c>
      <c r="H158" s="2" t="s">
        <v>117</v>
      </c>
      <c r="I158" s="2" t="str">
        <f>IFERROR(__xludf.DUMMYFUNCTION("GOOGLETRANSLATE(C158,""fr"",""en"")"),"Our vehicle was stolen in front of our home on April 21, 2018 (9 weeks), on the sidewalk. The 2 keys have not been stolen and the tarden insurance has paid us (25,000 according to purchase invoice because vehicle feels purchased less than 1 year ago)
W"&amp;"e have given all the documents in time allowing the insurance to publish a compensation proposal. We received it 30 days later and signed in stride on May 25 (see PJ)
The gray card, the CERFA 15776*01 filled and signed as well as the 2 keys were given to"&amp;" our agency on May 25.
Since that day, € 695 in accessories have been paid to us on May 30 and since then no exchange from Matmut ..... (no letter, email and telephone call and follow -up on our personal space)
The only information we had by phone is """&amp;"that our file displays a computer"" an anomaly ""(June 4) and since no news.
It is important as a customer to be made aware of the processing of the file even if it is late. The most frustrating and stressful it is the absence of information. We promise "&amp;"us a letter that does not happen never.
No local advisor (Lille) or located at Rouen headquarters manifests.
We are distraught. We are no longer sleeping. I am forced to move by train, by metro or even do km in scooters to go to work.
Even a letter in "&amp;"AR does not stimulate them.
In addition, we are committed to the acquisition of our next car and must justify the garage every week on the absence of a bank transfer.
A real feeling of injustice.
")</f>
        <v>Our vehicle was stolen in front of our home on April 21, 2018 (9 weeks), on the sidewalk. The 2 keys have not been stolen and the tarden insurance has paid us (25,000 according to purchase invoice because vehicle feels purchased less than 1 year ago)
We have given all the documents in time allowing the insurance to publish a compensation proposal. We received it 30 days later and signed in stride on May 25 (see PJ)
The gray card, the CERFA 15776*01 filled and signed as well as the 2 keys were given to our agency on May 25.
Since that day, € 695 in accessories have been paid to us on May 30 and since then no exchange from Matmut ..... (no letter, email and telephone call and follow -up on our personal space)
The only information we had by phone is "that our file displays a computer" an anomaly "(June 4) and since no news.
It is important as a customer to be made aware of the processing of the file even if it is late. The most frustrating and stressful it is the absence of information. We promise us a letter that does not happen never.
No local advisor (Lille) or located at Rouen headquarters manifests.
We are distraught. We are no longer sleeping. I am forced to move by train, by metro or even do km in scooters to go to work.
Even a letter in AR does not stimulate them.
In addition, we are committed to the acquisition of our next car and must justify the garage every week on the absence of a bank transfer.
A real feeling of injustice.
</v>
      </c>
    </row>
    <row r="159" ht="15.75" customHeight="1">
      <c r="A159" s="2">
        <v>5.0</v>
      </c>
      <c r="B159" s="2" t="s">
        <v>560</v>
      </c>
      <c r="C159" s="2" t="s">
        <v>561</v>
      </c>
      <c r="D159" s="2" t="s">
        <v>36</v>
      </c>
      <c r="E159" s="2" t="s">
        <v>14</v>
      </c>
      <c r="F159" s="2" t="s">
        <v>15</v>
      </c>
      <c r="G159" s="2" t="s">
        <v>562</v>
      </c>
      <c r="H159" s="2" t="s">
        <v>230</v>
      </c>
      <c r="I159" s="2" t="str">
        <f>IFERROR(__xludf.DUMMYFUNCTION("GOOGLETRANSLATE(C159,""fr"",""en"")"),"Easy practice and interesting rates; This perfectly meets my expectations. The internet procedure is simple and clear. Everything a member is waiting! perfect. Thanks.")</f>
        <v>Easy practice and interesting rates; This perfectly meets my expectations. The internet procedure is simple and clear. Everything a member is waiting! perfect. Thanks.</v>
      </c>
    </row>
    <row r="160" ht="15.75" customHeight="1">
      <c r="A160" s="2">
        <v>3.0</v>
      </c>
      <c r="B160" s="2" t="s">
        <v>563</v>
      </c>
      <c r="C160" s="2" t="s">
        <v>564</v>
      </c>
      <c r="D160" s="2" t="s">
        <v>125</v>
      </c>
      <c r="E160" s="2" t="s">
        <v>14</v>
      </c>
      <c r="F160" s="2" t="s">
        <v>15</v>
      </c>
      <c r="G160" s="2" t="s">
        <v>565</v>
      </c>
      <c r="H160" s="2" t="s">
        <v>85</v>
      </c>
      <c r="I160" s="2" t="str">
        <f>IFERROR(__xludf.DUMMYFUNCTION("GOOGLETRANSLATE(C160,""fr"",""en"")"),"I am decreed following the sinister infiltration of water. I paid all from my pocket we allowed the intervention dragged, all my living room was covered with mold as well as the matures, I had the visit to the 'INCROVIST OF YOUR EXPERT 4 months after the "&amp;"sinter, hence my disappointment.
Please believe in my deep disappointment.")</f>
        <v>I am decreed following the sinister infiltration of water. I paid all from my pocket we allowed the intervention dragged, all my living room was covered with mold as well as the matures, I had the visit to the 'INCROVIST OF YOUR EXPERT 4 months after the sinter, hence my disappointment.
Please believe in my deep disappointment.</v>
      </c>
    </row>
    <row r="161" ht="15.75" customHeight="1">
      <c r="A161" s="2">
        <v>4.0</v>
      </c>
      <c r="B161" s="2" t="s">
        <v>566</v>
      </c>
      <c r="C161" s="2" t="s">
        <v>567</v>
      </c>
      <c r="D161" s="2" t="s">
        <v>13</v>
      </c>
      <c r="E161" s="2" t="s">
        <v>14</v>
      </c>
      <c r="F161" s="2" t="s">
        <v>15</v>
      </c>
      <c r="G161" s="2" t="s">
        <v>309</v>
      </c>
      <c r="H161" s="2" t="s">
        <v>43</v>
      </c>
      <c r="I161" s="2" t="str">
        <f>IFERROR(__xludf.DUMMYFUNCTION("GOOGLETRANSLATE(C161,""fr"",""en"")"),"I am generally satisfied with the procedures and the telephone reception apart from the method of settlement which could not be done electronically for my first contracts.")</f>
        <v>I am generally satisfied with the procedures and the telephone reception apart from the method of settlement which could not be done electronically for my first contracts.</v>
      </c>
    </row>
    <row r="162" ht="15.75" customHeight="1">
      <c r="A162" s="2">
        <v>4.0</v>
      </c>
      <c r="B162" s="2" t="s">
        <v>568</v>
      </c>
      <c r="C162" s="2" t="s">
        <v>569</v>
      </c>
      <c r="D162" s="2" t="s">
        <v>125</v>
      </c>
      <c r="E162" s="2" t="s">
        <v>14</v>
      </c>
      <c r="F162" s="2" t="s">
        <v>15</v>
      </c>
      <c r="G162" s="2" t="s">
        <v>570</v>
      </c>
      <c r="H162" s="2" t="s">
        <v>43</v>
      </c>
      <c r="I162" s="2" t="str">
        <f>IFERROR(__xludf.DUMMYFUNCTION("GOOGLETRANSLATE(C162,""fr"",""en"")"),"Fidele at the GMF for decades ... Too bad that a 2nd vehicle is not possible in your home ... Indeed, the insurance of my 2nd car (Mazda 6, previously insured at home) was estimated twice More expensive than my main car !!!! Crazy...")</f>
        <v>Fidele at the GMF for decades ... Too bad that a 2nd vehicle is not possible in your home ... Indeed, the insurance of my 2nd car (Mazda 6, previously insured at home) was estimated twice More expensive than my main car !!!! Crazy...</v>
      </c>
    </row>
    <row r="163" ht="15.75" customHeight="1">
      <c r="A163" s="2">
        <v>4.0</v>
      </c>
      <c r="B163" s="2" t="s">
        <v>571</v>
      </c>
      <c r="C163" s="2" t="s">
        <v>572</v>
      </c>
      <c r="D163" s="2" t="s">
        <v>36</v>
      </c>
      <c r="E163" s="2" t="s">
        <v>14</v>
      </c>
      <c r="F163" s="2" t="s">
        <v>15</v>
      </c>
      <c r="G163" s="2" t="s">
        <v>573</v>
      </c>
      <c r="H163" s="2" t="s">
        <v>95</v>
      </c>
      <c r="I163" s="2" t="str">
        <f>IFERROR(__xludf.DUMMYFUNCTION("GOOGLETRANSLATE(C163,""fr"",""en"")"),"Very satisfied for a year of your services I have renewed my assurance with your eyes closed for a new new vehicle in leasing this formula is perfect")</f>
        <v>Very satisfied for a year of your services I have renewed my assurance with your eyes closed for a new new vehicle in leasing this formula is perfect</v>
      </c>
    </row>
    <row r="164" ht="15.75" customHeight="1">
      <c r="A164" s="2">
        <v>2.0</v>
      </c>
      <c r="B164" s="2" t="s">
        <v>574</v>
      </c>
      <c r="C164" s="2" t="s">
        <v>575</v>
      </c>
      <c r="D164" s="2" t="s">
        <v>576</v>
      </c>
      <c r="E164" s="2" t="s">
        <v>14</v>
      </c>
      <c r="F164" s="2" t="s">
        <v>15</v>
      </c>
      <c r="G164" s="2" t="s">
        <v>577</v>
      </c>
      <c r="H164" s="2" t="s">
        <v>578</v>
      </c>
      <c r="I164" s="2" t="str">
        <f>IFERROR(__xludf.DUMMYFUNCTION("GOOGLETRANSLATE(C164,""fr"",""en"")"),"Very bad experience.
Request for a quote for a possible change in my contract.
I was changed this contract automatically, without my signed or accepted ... I learned it by receiving a new withdrawal schedule.
Impossible to cancel this unwanted modi"&amp;"fication if it is not by the termination of the contract ... and even with that I am blocking me one more month with them at the rate that I have never accepted.
I was strolled from interlocutors in contacts, services in services, with completely outda"&amp;"ted advisers ... Innumerable calls for nothing I am disgusted.
Hope that the current month ends to leave ... far ... very far.")</f>
        <v>Very bad experience.
Request for a quote for a possible change in my contract.
I was changed this contract automatically, without my signed or accepted ... I learned it by receiving a new withdrawal schedule.
Impossible to cancel this unwanted modification if it is not by the termination of the contract ... and even with that I am blocking me one more month with them at the rate that I have never accepted.
I was strolled from interlocutors in contacts, services in services, with completely outdated advisers ... Innumerable calls for nothing I am disgusted.
Hope that the current month ends to leave ... far ... very far.</v>
      </c>
    </row>
    <row r="165" ht="15.75" customHeight="1">
      <c r="A165" s="2">
        <v>1.0</v>
      </c>
      <c r="B165" s="2" t="s">
        <v>579</v>
      </c>
      <c r="C165" s="2" t="s">
        <v>580</v>
      </c>
      <c r="D165" s="2" t="s">
        <v>211</v>
      </c>
      <c r="E165" s="2" t="s">
        <v>31</v>
      </c>
      <c r="F165" s="2" t="s">
        <v>15</v>
      </c>
      <c r="G165" s="2" t="s">
        <v>581</v>
      </c>
      <c r="H165" s="2" t="s">
        <v>367</v>
      </c>
      <c r="I165" s="2" t="str">
        <f>IFERROR(__xludf.DUMMYFUNCTION("GOOGLETRANSLATE(C165,""fr"",""en"")"),"Hello, Insurance contracted this day on 10/27/2018 by the Muse Paris 8 th cabinet by telephone operator after making my wife believe in a gift of 140 euros and so on !!! Waiting answer after immediate termination !!! Because within the 14 days of withdraw"&amp;"al !!! insurance subscribed without even asking for the situation of my wife, that is to say in disability since 1993 !!! So totally obsolete insurance !!! Electronic signatures and so on !!! a shame !!!")</f>
        <v>Hello, Insurance contracted this day on 10/27/2018 by the Muse Paris 8 th cabinet by telephone operator after making my wife believe in a gift of 140 euros and so on !!! Waiting answer after immediate termination !!! Because within the 14 days of withdrawal !!! insurance subscribed without even asking for the situation of my wife, that is to say in disability since 1993 !!! So totally obsolete insurance !!! Electronic signatures and so on !!! a shame !!!</v>
      </c>
    </row>
    <row r="166" ht="15.75" customHeight="1">
      <c r="A166" s="2">
        <v>3.0</v>
      </c>
      <c r="B166" s="2" t="s">
        <v>582</v>
      </c>
      <c r="C166" s="2" t="s">
        <v>583</v>
      </c>
      <c r="D166" s="2" t="s">
        <v>13</v>
      </c>
      <c r="E166" s="2" t="s">
        <v>14</v>
      </c>
      <c r="F166" s="2" t="s">
        <v>15</v>
      </c>
      <c r="G166" s="2" t="s">
        <v>584</v>
      </c>
      <c r="H166" s="2" t="s">
        <v>269</v>
      </c>
      <c r="I166" s="2" t="str">
        <f>IFERROR(__xludf.DUMMYFUNCTION("GOOGLETRANSLATE(C166,""fr"",""en"")"),"Good service..Thank you, I am satisfied with your just service at price level J Find Qil is a little high ... Before I paid 40 € for a MERCEDES CLA Model 2015 and the J PAYE 37.90 € for a Suzuki Swift 2010 model !!!")</f>
        <v>Good service..Thank you, I am satisfied with your just service at price level J Find Qil is a little high ... Before I paid 40 € for a MERCEDES CLA Model 2015 and the J PAYE 37.90 € for a Suzuki Swift 2010 model !!!</v>
      </c>
    </row>
    <row r="167" ht="15.75" customHeight="1">
      <c r="A167" s="2">
        <v>5.0</v>
      </c>
      <c r="B167" s="2" t="s">
        <v>585</v>
      </c>
      <c r="C167" s="2" t="s">
        <v>586</v>
      </c>
      <c r="D167" s="2" t="s">
        <v>36</v>
      </c>
      <c r="E167" s="2" t="s">
        <v>14</v>
      </c>
      <c r="F167" s="2" t="s">
        <v>15</v>
      </c>
      <c r="G167" s="2" t="s">
        <v>587</v>
      </c>
      <c r="H167" s="2" t="s">
        <v>47</v>
      </c>
      <c r="I167" s="2" t="str">
        <f>IFERROR(__xludf.DUMMYFUNCTION("GOOGLETRANSLATE(C167,""fr"",""en"")"),"I am satisfied with the service! The telephone interview went perfectly, we managed to find car insurance that suits us perfectly.")</f>
        <v>I am satisfied with the service! The telephone interview went perfectly, we managed to find car insurance that suits us perfectly.</v>
      </c>
    </row>
    <row r="168" ht="15.75" customHeight="1">
      <c r="A168" s="2">
        <v>1.0</v>
      </c>
      <c r="B168" s="2" t="s">
        <v>588</v>
      </c>
      <c r="C168" s="2" t="s">
        <v>589</v>
      </c>
      <c r="D168" s="2" t="s">
        <v>285</v>
      </c>
      <c r="E168" s="2" t="s">
        <v>14</v>
      </c>
      <c r="F168" s="2" t="s">
        <v>15</v>
      </c>
      <c r="G168" s="2" t="s">
        <v>590</v>
      </c>
      <c r="H168" s="2" t="s">
        <v>591</v>
      </c>
      <c r="I168" s="2" t="str">
        <f>IFERROR(__xludf.DUMMYFUNCTION("GOOGLETRANSLATE(C168,""fr"",""en"")"),"Insurance not at all professional and does not respect c customer I am only a regret C to have signiez for er they as soon as they are mistaken and it is to pay the costs of leu error is scrupted I put myself at heu Cars I didn't have too much neck money "&amp;"I. And lost more than anything else I am on their way of doing it is not at all professional")</f>
        <v>Insurance not at all professional and does not respect c customer I am only a regret C to have signiez for er they as soon as they are mistaken and it is to pay the costs of leu error is scrupted I put myself at heu Cars I didn't have too much neck money I. And lost more than anything else I am on their way of doing it is not at all professional</v>
      </c>
    </row>
    <row r="169" ht="15.75" customHeight="1">
      <c r="A169" s="2">
        <v>4.0</v>
      </c>
      <c r="B169" s="2" t="s">
        <v>592</v>
      </c>
      <c r="C169" s="2" t="s">
        <v>593</v>
      </c>
      <c r="D169" s="2" t="s">
        <v>36</v>
      </c>
      <c r="E169" s="2" t="s">
        <v>14</v>
      </c>
      <c r="F169" s="2" t="s">
        <v>15</v>
      </c>
      <c r="G169" s="2" t="s">
        <v>594</v>
      </c>
      <c r="H169" s="2" t="s">
        <v>230</v>
      </c>
      <c r="I169" s="2" t="str">
        <f>IFERROR(__xludf.DUMMYFUNCTION("GOOGLETRANSLATE(C169,""fr"",""en"")"),"I am satisfied and this is quick to subscribe, it will make me 2 vehicles,
The advisers are listening to nothing to complain about, whether in chat or by phone.")</f>
        <v>I am satisfied and this is quick to subscribe, it will make me 2 vehicles,
The advisers are listening to nothing to complain about, whether in chat or by phone.</v>
      </c>
    </row>
    <row r="170" ht="15.75" customHeight="1">
      <c r="A170" s="2">
        <v>1.0</v>
      </c>
      <c r="B170" s="2" t="s">
        <v>595</v>
      </c>
      <c r="C170" s="2" t="s">
        <v>596</v>
      </c>
      <c r="D170" s="2" t="s">
        <v>36</v>
      </c>
      <c r="E170" s="2" t="s">
        <v>14</v>
      </c>
      <c r="F170" s="2" t="s">
        <v>15</v>
      </c>
      <c r="G170" s="2" t="s">
        <v>597</v>
      </c>
      <c r="H170" s="2" t="s">
        <v>171</v>
      </c>
      <c r="I170" s="2" t="str">
        <f>IFERROR(__xludf.DUMMYFUNCTION("GOOGLETRANSLATE(C170,""fr"",""en"")"),"I am totally dissatisfied with regard to the claim. No follow -up, no answers, we are walked. I strongly recommend taking out insurance from Direct Insurance.")</f>
        <v>I am totally dissatisfied with regard to the claim. No follow -up, no answers, we are walked. I strongly recommend taking out insurance from Direct Insurance.</v>
      </c>
    </row>
    <row r="171" ht="15.75" customHeight="1">
      <c r="A171" s="2">
        <v>5.0</v>
      </c>
      <c r="B171" s="2" t="s">
        <v>598</v>
      </c>
      <c r="C171" s="2" t="s">
        <v>599</v>
      </c>
      <c r="D171" s="2" t="s">
        <v>36</v>
      </c>
      <c r="E171" s="2" t="s">
        <v>14</v>
      </c>
      <c r="F171" s="2" t="s">
        <v>15</v>
      </c>
      <c r="G171" s="2" t="s">
        <v>600</v>
      </c>
      <c r="H171" s="2" t="s">
        <v>27</v>
      </c>
      <c r="I171" s="2" t="str">
        <f>IFERROR(__xludf.DUMMYFUNCTION("GOOGLETRANSLATE(C171,""fr"",""en"")"),"I am satisfied thank you I recommend your assurance to those around me with great pleasure I have a great day.
Delighted to be in your insurance")</f>
        <v>I am satisfied thank you I recommend your assurance to those around me with great pleasure I have a great day.
Delighted to be in your insurance</v>
      </c>
    </row>
    <row r="172" ht="15.75" customHeight="1">
      <c r="A172" s="2">
        <v>1.0</v>
      </c>
      <c r="B172" s="2" t="s">
        <v>601</v>
      </c>
      <c r="C172" s="2" t="s">
        <v>602</v>
      </c>
      <c r="D172" s="2" t="s">
        <v>143</v>
      </c>
      <c r="E172" s="2" t="s">
        <v>31</v>
      </c>
      <c r="F172" s="2" t="s">
        <v>15</v>
      </c>
      <c r="G172" s="2" t="s">
        <v>603</v>
      </c>
      <c r="H172" s="2" t="s">
        <v>240</v>
      </c>
      <c r="I172" s="2" t="str">
        <f>IFERROR(__xludf.DUMMYFUNCTION("GOOGLETRANSLATE(C172,""fr"",""en"")"),"Very unhappy. I had to give up this mutual for personal reasons. I sent the supporting documents and the advisor did not follow in April. As a result I have just been taken from 153 euros.
I strongly advise against")</f>
        <v>Very unhappy. I had to give up this mutual for personal reasons. I sent the supporting documents and the advisor did not follow in April. As a result I have just been taken from 153 euros.
I strongly advise against</v>
      </c>
    </row>
    <row r="173" ht="15.75" customHeight="1">
      <c r="A173" s="2">
        <v>2.0</v>
      </c>
      <c r="B173" s="2" t="s">
        <v>604</v>
      </c>
      <c r="C173" s="2" t="s">
        <v>605</v>
      </c>
      <c r="D173" s="2" t="s">
        <v>60</v>
      </c>
      <c r="E173" s="2" t="s">
        <v>14</v>
      </c>
      <c r="F173" s="2" t="s">
        <v>15</v>
      </c>
      <c r="G173" s="2" t="s">
        <v>606</v>
      </c>
      <c r="H173" s="2" t="s">
        <v>591</v>
      </c>
      <c r="I173" s="2" t="str">
        <f>IFERROR(__xludf.DUMMYFUNCTION("GOOGLETRANSLATE(C173,""fr"",""en"")"),"I just made sure to I refer the signed contract by post and the requested documents, a week after I receive an email that claims the documents. From the impossible to have them on the phone: waiting for more than 30 minutes, legally they are required to b"&amp;"e reachable quickly I think I will leave the time and make sure elsewhere.")</f>
        <v>I just made sure to I refer the signed contract by post and the requested documents, a week after I receive an email that claims the documents. From the impossible to have them on the phone: waiting for more than 30 minutes, legally they are required to be reachable quickly I think I will leave the time and make sure elsewhere.</v>
      </c>
    </row>
    <row r="174" ht="15.75" customHeight="1">
      <c r="A174" s="2">
        <v>4.0</v>
      </c>
      <c r="B174" s="2" t="s">
        <v>607</v>
      </c>
      <c r="C174" s="2" t="s">
        <v>608</v>
      </c>
      <c r="D174" s="2" t="s">
        <v>104</v>
      </c>
      <c r="E174" s="2" t="s">
        <v>31</v>
      </c>
      <c r="F174" s="2" t="s">
        <v>15</v>
      </c>
      <c r="G174" s="2" t="s">
        <v>487</v>
      </c>
      <c r="H174" s="2" t="s">
        <v>487</v>
      </c>
      <c r="I174" s="2" t="str">
        <f>IFERROR(__xludf.DUMMYFUNCTION("GOOGLETRANSLATE(C174,""fr"",""en"")"),"If it is for an administrative problem, I am happy with my mutual. I have good reimbursements. Support is done directly with the pharmacy, for glasses, medicines, etc. Reimbursements work quickly. No complaints")</f>
        <v>If it is for an administrative problem, I am happy with my mutual. I have good reimbursements. Support is done directly with the pharmacy, for glasses, medicines, etc. Reimbursements work quickly. No complaints</v>
      </c>
    </row>
    <row r="175" ht="15.75" customHeight="1">
      <c r="A175" s="2">
        <v>5.0</v>
      </c>
      <c r="B175" s="2" t="s">
        <v>609</v>
      </c>
      <c r="C175" s="2" t="s">
        <v>610</v>
      </c>
      <c r="D175" s="2" t="s">
        <v>36</v>
      </c>
      <c r="E175" s="2" t="s">
        <v>14</v>
      </c>
      <c r="F175" s="2" t="s">
        <v>15</v>
      </c>
      <c r="G175" s="2" t="s">
        <v>42</v>
      </c>
      <c r="H175" s="2" t="s">
        <v>43</v>
      </c>
      <c r="I175" s="2" t="str">
        <f>IFERROR(__xludf.DUMMYFUNCTION("GOOGLETRANSLATE(C175,""fr"",""en"")"),"A very good insurance with a very good value for money and a simple and quick registration I highly recommend this insurance! Pleasure")</f>
        <v>A very good insurance with a very good value for money and a simple and quick registration I highly recommend this insurance! Pleasure</v>
      </c>
    </row>
    <row r="176" ht="15.75" customHeight="1">
      <c r="A176" s="2">
        <v>2.0</v>
      </c>
      <c r="B176" s="2" t="s">
        <v>611</v>
      </c>
      <c r="C176" s="2" t="s">
        <v>612</v>
      </c>
      <c r="D176" s="2" t="s">
        <v>93</v>
      </c>
      <c r="E176" s="2" t="s">
        <v>14</v>
      </c>
      <c r="F176" s="2" t="s">
        <v>15</v>
      </c>
      <c r="G176" s="2" t="s">
        <v>613</v>
      </c>
      <c r="H176" s="2" t="s">
        <v>345</v>
      </c>
      <c r="I176" s="2" t="str">
        <f>IFERROR(__xludf.DUMMYFUNCTION("GOOGLETRANSLATE(C176,""fr"",""en"")"),"Hello, my daughter insured at the Matmut in any risk this fact struck by a driver who fled, but identified by her license plate EB-817-MC. The police control my negative daughter (ethylotest) but no research at the time. The boy started from the place of "&amp;"the accident but we are going to put the wrong on my daughter we are not looking for why this offender left, he cuts a road takes the car 3/4 rear left but his my daughter who is going to be responsible. The Matmut collected correct contributions but has "&amp;"trouble defending her members. I am very unhappy for more than a month after they still do not have the expert report to reimburse the insured vehicle any risk, even if as they say they have not yet determined the responsibilities of a third party who fle"&amp;"d his assumed senses Responsibilities. They were 2 girls who could have lost her life without anyone worrying.
")</f>
        <v>Hello, my daughter insured at the Matmut in any risk this fact struck by a driver who fled, but identified by her license plate EB-817-MC. The police control my negative daughter (ethylotest) but no research at the time. The boy started from the place of the accident but we are going to put the wrong on my daughter we are not looking for why this offender left, he cuts a road takes the car 3/4 rear left but his my daughter who is going to be responsible. The Matmut collected correct contributions but has trouble defending her members. I am very unhappy for more than a month after they still do not have the expert report to reimburse the insured vehicle any risk, even if as they say they have not yet determined the responsibilities of a third party who fled his assumed senses Responsibilities. They were 2 girls who could have lost her life without anyone worrying.
</v>
      </c>
    </row>
    <row r="177" ht="15.75" customHeight="1">
      <c r="A177" s="2">
        <v>1.0</v>
      </c>
      <c r="B177" s="2" t="s">
        <v>614</v>
      </c>
      <c r="C177" s="2" t="s">
        <v>615</v>
      </c>
      <c r="D177" s="2" t="s">
        <v>616</v>
      </c>
      <c r="E177" s="2" t="s">
        <v>37</v>
      </c>
      <c r="F177" s="2" t="s">
        <v>15</v>
      </c>
      <c r="G177" s="2" t="s">
        <v>26</v>
      </c>
      <c r="H177" s="2" t="s">
        <v>27</v>
      </c>
      <c r="I177" s="2" t="str">
        <f>IFERROR(__xludf.DUMMYFUNCTION("GOOGLETRANSLATE(C177,""fr"",""en"")"),"I pay dear for home insurance
Car Assistance Car
Car
Mutual
Domestic accidents
The insurer is only for farmers
He does not reimburse anything, but nothing
It's steep")</f>
        <v>I pay dear for home insurance
Car Assistance Car
Car
Mutual
Domestic accidents
The insurer is only for farmers
He does not reimburse anything, but nothing
It's steep</v>
      </c>
    </row>
    <row r="178" ht="15.75" customHeight="1">
      <c r="A178" s="2">
        <v>1.0</v>
      </c>
      <c r="B178" s="2" t="s">
        <v>617</v>
      </c>
      <c r="C178" s="2" t="s">
        <v>618</v>
      </c>
      <c r="D178" s="2" t="s">
        <v>36</v>
      </c>
      <c r="E178" s="2" t="s">
        <v>14</v>
      </c>
      <c r="F178" s="2" t="s">
        <v>15</v>
      </c>
      <c r="G178" s="2" t="s">
        <v>619</v>
      </c>
      <c r="H178" s="2" t="s">
        <v>591</v>
      </c>
      <c r="I178" s="2" t="str">
        <f>IFERROR(__xludf.DUMMYFUNCTION("GOOGLETRANSLATE(C178,""fr"",""en"")"),"accident occurring two days ago, contract with serenity pack, no news we leave the customer and when we call here the answer (the contract does not provide a replacement and or a vehicle loan until the expert is Passed in the partner garage where your car"&amp;" will be deposited.
And that the conditions of my contract below what is ???????????????????????
Extract from the pack (vehicle loan delivered to your home or available in our partner garage)
It is 2 p.m. we are on January 27, the accident took place o"&amp;"n January 25 evening, I still have no news from my car or knowing when and how I will be helped.
Thank you direct insurance
And no I do not leave my contact details pa Senvie still to have a commercial girl who does not regulate my problem
")</f>
        <v>accident occurring two days ago, contract with serenity pack, no news we leave the customer and when we call here the answer (the contract does not provide a replacement and or a vehicle loan until the expert is Passed in the partner garage where your car will be deposited.
And that the conditions of my contract below what is ???????????????????????
Extract from the pack (vehicle loan delivered to your home or available in our partner garage)
It is 2 p.m. we are on January 27, the accident took place on January 25 evening, I still have no news from my car or knowing when and how I will be helped.
Thank you direct insurance
And no I do not leave my contact details pa Senvie still to have a commercial girl who does not regulate my problem
</v>
      </c>
    </row>
    <row r="179" ht="15.75" customHeight="1">
      <c r="A179" s="2">
        <v>1.0</v>
      </c>
      <c r="B179" s="2" t="s">
        <v>620</v>
      </c>
      <c r="C179" s="2" t="s">
        <v>621</v>
      </c>
      <c r="D179" s="2" t="s">
        <v>238</v>
      </c>
      <c r="E179" s="2" t="s">
        <v>31</v>
      </c>
      <c r="F179" s="2" t="s">
        <v>15</v>
      </c>
      <c r="G179" s="2" t="s">
        <v>622</v>
      </c>
      <c r="H179" s="2" t="s">
        <v>39</v>
      </c>
      <c r="I179" s="2" t="str">
        <f>IFERROR(__xludf.DUMMYFUNCTION("GOOGLETRANSLATE(C179,""fr"",""en"")"),"Nullisime.impossible to download attachments and I sent a letter for a refund that has not arrived. Very disappointed I will lose money.")</f>
        <v>Nullisime.impossible to download attachments and I sent a letter for a refund that has not arrived. Very disappointed I will lose money.</v>
      </c>
    </row>
    <row r="180" ht="15.75" customHeight="1">
      <c r="A180" s="2">
        <v>3.0</v>
      </c>
      <c r="B180" s="2" t="s">
        <v>623</v>
      </c>
      <c r="C180" s="2" t="s">
        <v>624</v>
      </c>
      <c r="D180" s="2" t="s">
        <v>36</v>
      </c>
      <c r="E180" s="2" t="s">
        <v>14</v>
      </c>
      <c r="F180" s="2" t="s">
        <v>15</v>
      </c>
      <c r="G180" s="2" t="s">
        <v>573</v>
      </c>
      <c r="H180" s="2" t="s">
        <v>95</v>
      </c>
      <c r="I180" s="2" t="str">
        <f>IFERROR(__xludf.DUMMYFUNCTION("GOOGLETRANSLATE(C180,""fr"",""en"")"),"Super contain second very practical online quote has seen for a reciprocal commitment compare the two very easy -to -use site insurance")</f>
        <v>Super contain second very practical online quote has seen for a reciprocal commitment compare the two very easy -to -use site insurance</v>
      </c>
    </row>
    <row r="181" ht="15.75" customHeight="1">
      <c r="A181" s="2">
        <v>1.0</v>
      </c>
      <c r="B181" s="2" t="s">
        <v>625</v>
      </c>
      <c r="C181" s="2" t="s">
        <v>626</v>
      </c>
      <c r="D181" s="2" t="s">
        <v>304</v>
      </c>
      <c r="E181" s="2" t="s">
        <v>21</v>
      </c>
      <c r="F181" s="2" t="s">
        <v>15</v>
      </c>
      <c r="G181" s="2" t="s">
        <v>627</v>
      </c>
      <c r="H181" s="2" t="s">
        <v>591</v>
      </c>
      <c r="I181" s="2" t="str">
        <f>IFERROR(__xludf.DUMMYFUNCTION("GOOGLETRANSLATE(C181,""fr"",""en"")"),"Completely disappointed with your behavior, you look for all the possible pretexts so as not to pay what you need ... One minor is 3 weeks of additional deadlines, I put my file in the hands of my lawyer. ....")</f>
        <v>Completely disappointed with your behavior, you look for all the possible pretexts so as not to pay what you need ... One minor is 3 weeks of additional deadlines, I put my file in the hands of my lawyer. ....</v>
      </c>
    </row>
    <row r="182" ht="15.75" customHeight="1">
      <c r="A182" s="2">
        <v>4.0</v>
      </c>
      <c r="B182" s="2" t="s">
        <v>628</v>
      </c>
      <c r="C182" s="2" t="s">
        <v>629</v>
      </c>
      <c r="D182" s="2" t="s">
        <v>36</v>
      </c>
      <c r="E182" s="2" t="s">
        <v>14</v>
      </c>
      <c r="F182" s="2" t="s">
        <v>15</v>
      </c>
      <c r="G182" s="2" t="s">
        <v>630</v>
      </c>
      <c r="H182" s="2" t="s">
        <v>230</v>
      </c>
      <c r="I182" s="2" t="str">
        <f>IFERROR(__xludf.DUMMYFUNCTION("GOOGLETRANSLATE(C182,""fr"",""en"")"),"I am very satisfied with your offer and the ease of making an online quote. I will consult you for other vehicles and for my home")</f>
        <v>I am very satisfied with your offer and the ease of making an online quote. I will consult you for other vehicles and for my home</v>
      </c>
    </row>
    <row r="183" ht="15.75" customHeight="1">
      <c r="A183" s="2">
        <v>1.0</v>
      </c>
      <c r="B183" s="2" t="s">
        <v>631</v>
      </c>
      <c r="C183" s="2" t="s">
        <v>632</v>
      </c>
      <c r="D183" s="2" t="s">
        <v>36</v>
      </c>
      <c r="E183" s="2" t="s">
        <v>14</v>
      </c>
      <c r="F183" s="2" t="s">
        <v>15</v>
      </c>
      <c r="G183" s="2" t="s">
        <v>633</v>
      </c>
      <c r="H183" s="2" t="s">
        <v>178</v>
      </c>
      <c r="I183" s="2" t="str">
        <f>IFERROR(__xludf.DUMMYFUNCTION("GOOGLETRANSLATE(C183,""fr"",""en"")"),"To flee ! Direct insurance, while I have all my contracts (housing, car ...) for more than 10 years with them, has just made me pay more than 300 euros for a vehicle that I gave to my daughter and who do not did not wish to be insured with them for a simp"&amp;"le request for a quote and a contract which has never been signed.")</f>
        <v>To flee ! Direct insurance, while I have all my contracts (housing, car ...) for more than 10 years with them, has just made me pay more than 300 euros for a vehicle that I gave to my daughter and who do not did not wish to be insured with them for a simple request for a quote and a contract which has never been signed.</v>
      </c>
    </row>
    <row r="184" ht="15.75" customHeight="1">
      <c r="A184" s="2">
        <v>1.0</v>
      </c>
      <c r="B184" s="2" t="s">
        <v>634</v>
      </c>
      <c r="C184" s="2" t="s">
        <v>635</v>
      </c>
      <c r="D184" s="2" t="s">
        <v>636</v>
      </c>
      <c r="E184" s="2" t="s">
        <v>31</v>
      </c>
      <c r="F184" s="2" t="s">
        <v>15</v>
      </c>
      <c r="G184" s="2" t="s">
        <v>637</v>
      </c>
      <c r="H184" s="2" t="s">
        <v>17</v>
      </c>
      <c r="I184" s="2" t="str">
        <f>IFERROR(__xludf.DUMMYFUNCTION("GOOGLETRANSLATE(C184,""fr"",""en"")"),"Abusive two specific quotes for health mutuals We take options in hospi and optics but they remove without preventing in the contract the mandatory minimum guarantee on medical care therefore breach of trust")</f>
        <v>Abusive two specific quotes for health mutuals We take options in hospi and optics but they remove without preventing in the contract the mandatory minimum guarantee on medical care therefore breach of trust</v>
      </c>
    </row>
    <row r="185" ht="15.75" customHeight="1">
      <c r="A185" s="2">
        <v>4.0</v>
      </c>
      <c r="B185" s="2" t="s">
        <v>638</v>
      </c>
      <c r="C185" s="2" t="s">
        <v>639</v>
      </c>
      <c r="D185" s="2" t="s">
        <v>13</v>
      </c>
      <c r="E185" s="2" t="s">
        <v>14</v>
      </c>
      <c r="F185" s="2" t="s">
        <v>15</v>
      </c>
      <c r="G185" s="2" t="s">
        <v>415</v>
      </c>
      <c r="H185" s="2" t="s">
        <v>171</v>
      </c>
      <c r="I185" s="2" t="str">
        <f>IFERROR(__xludf.DUMMYFUNCTION("GOOGLETRANSLATE(C185,""fr"",""en"")"),"satisfied with the service and the speed of taking into account the contract. The price remains reasonable with regard to the guarantees offered.
The use will say if the after -sales service is also responsive!")</f>
        <v>satisfied with the service and the speed of taking into account the contract. The price remains reasonable with regard to the guarantees offered.
The use will say if the after -sales service is also responsive!</v>
      </c>
    </row>
    <row r="186" ht="15.75" customHeight="1">
      <c r="A186" s="2">
        <v>1.0</v>
      </c>
      <c r="B186" s="2" t="s">
        <v>640</v>
      </c>
      <c r="C186" s="2" t="s">
        <v>641</v>
      </c>
      <c r="D186" s="2" t="s">
        <v>642</v>
      </c>
      <c r="E186" s="2" t="s">
        <v>31</v>
      </c>
      <c r="F186" s="2" t="s">
        <v>15</v>
      </c>
      <c r="G186" s="2" t="s">
        <v>643</v>
      </c>
      <c r="H186" s="2" t="s">
        <v>27</v>
      </c>
      <c r="I186" s="2" t="str">
        <f>IFERROR(__xludf.DUMMYFUNCTION("GOOGLETRANSLATE(C186,""fr"",""en"")"),"Zero star, for almost 4 months without any daily allowance, how to survive it is shameful. The last message saying: ""Your file is being studied.
We still ask you to apologize for the embarrassment
caused.
On behalf of Mgen, we thank you for your confi"&amp;"dence.
We ask you to accept the expression of our distinguished greetings. ""
Date of 07/26/21.
how to do ?
")</f>
        <v>Zero star, for almost 4 months without any daily allowance, how to survive it is shameful. The last message saying: "Your file is being studied.
We still ask you to apologize for the embarrassment
caused.
On behalf of Mgen, we thank you for your confidence.
We ask you to accept the expression of our distinguished greetings. "
Date of 07/26/21.
how to do ?
</v>
      </c>
    </row>
    <row r="187" ht="15.75" customHeight="1">
      <c r="A187" s="2">
        <v>4.0</v>
      </c>
      <c r="B187" s="2" t="s">
        <v>644</v>
      </c>
      <c r="C187" s="2" t="s">
        <v>645</v>
      </c>
      <c r="D187" s="2" t="s">
        <v>13</v>
      </c>
      <c r="E187" s="2" t="s">
        <v>14</v>
      </c>
      <c r="F187" s="2" t="s">
        <v>15</v>
      </c>
      <c r="G187" s="2" t="s">
        <v>646</v>
      </c>
      <c r="H187" s="2" t="s">
        <v>230</v>
      </c>
      <c r="I187" s="2" t="str">
        <f>IFERROR(__xludf.DUMMYFUNCTION("GOOGLETRANSLATE(C187,""fr"",""en"")"),"Subscription Insurance vehicle rather quick to do. The advisers are reactive on the phone. A single downside my name has been poorly spelled, I had to recall but it always appears to be erroneous, my last name is Kernaonet and not Kerna as indicated. rect"&amp;"ify.")</f>
        <v>Subscription Insurance vehicle rather quick to do. The advisers are reactive on the phone. A single downside my name has been poorly spelled, I had to recall but it always appears to be erroneous, my last name is Kernaonet and not Kerna as indicated. rectify.</v>
      </c>
    </row>
    <row r="188" ht="15.75" customHeight="1">
      <c r="A188" s="2">
        <v>5.0</v>
      </c>
      <c r="B188" s="2" t="s">
        <v>647</v>
      </c>
      <c r="C188" s="2" t="s">
        <v>648</v>
      </c>
      <c r="D188" s="2" t="s">
        <v>104</v>
      </c>
      <c r="E188" s="2" t="s">
        <v>31</v>
      </c>
      <c r="F188" s="2" t="s">
        <v>15</v>
      </c>
      <c r="G188" s="2" t="s">
        <v>649</v>
      </c>
      <c r="H188" s="2" t="s">
        <v>320</v>
      </c>
      <c r="I188" s="2" t="str">
        <f>IFERROR(__xludf.DUMMYFUNCTION("GOOGLETRANSLATE(C188,""fr"",""en"")"),"Mutual at the height of my expectations with a very good value for money. As a civil servant, many advantages are offered to me. Refunds are quite fluid and advisers relatively available by email or telephone.")</f>
        <v>Mutual at the height of my expectations with a very good value for money. As a civil servant, many advantages are offered to me. Refunds are quite fluid and advisers relatively available by email or telephone.</v>
      </c>
    </row>
    <row r="189" ht="15.75" customHeight="1">
      <c r="A189" s="2">
        <v>4.0</v>
      </c>
      <c r="B189" s="2" t="s">
        <v>650</v>
      </c>
      <c r="C189" s="2" t="s">
        <v>651</v>
      </c>
      <c r="D189" s="2" t="s">
        <v>13</v>
      </c>
      <c r="E189" s="2" t="s">
        <v>14</v>
      </c>
      <c r="F189" s="2" t="s">
        <v>15</v>
      </c>
      <c r="G189" s="2" t="s">
        <v>652</v>
      </c>
      <c r="H189" s="2" t="s">
        <v>230</v>
      </c>
      <c r="I189" s="2" t="str">
        <f>IFERROR(__xludf.DUMMYFUNCTION("GOOGLETRANSLATE(C189,""fr"",""en"")"),"I find the affordable prices but for me there is a lack of an application because difficulty in signing the documents if not any particular problem to add")</f>
        <v>I find the affordable prices but for me there is a lack of an application because difficulty in signing the documents if not any particular problem to add</v>
      </c>
    </row>
    <row r="190" ht="15.75" customHeight="1">
      <c r="A190" s="2">
        <v>2.0</v>
      </c>
      <c r="B190" s="2" t="s">
        <v>653</v>
      </c>
      <c r="C190" s="2" t="s">
        <v>654</v>
      </c>
      <c r="D190" s="2" t="s">
        <v>285</v>
      </c>
      <c r="E190" s="2" t="s">
        <v>14</v>
      </c>
      <c r="F190" s="2" t="s">
        <v>15</v>
      </c>
      <c r="G190" s="2" t="s">
        <v>655</v>
      </c>
      <c r="H190" s="2" t="s">
        <v>213</v>
      </c>
      <c r="I190" s="2" t="str">
        <f>IFERROR(__xludf.DUMMYFUNCTION("GOOGLETRANSLATE(C190,""fr"",""en"")"),"In the event of termination, bad will (and I am polished) of insurance to donate the sums collected, by multiplying the administrative ""brakes. In short, they collect and reluctant to repay")</f>
        <v>In the event of termination, bad will (and I am polished) of insurance to donate the sums collected, by multiplying the administrative "brakes. In short, they collect and reluctant to repay</v>
      </c>
    </row>
    <row r="191" ht="15.75" customHeight="1">
      <c r="A191" s="2">
        <v>5.0</v>
      </c>
      <c r="B191" s="2" t="s">
        <v>656</v>
      </c>
      <c r="C191" s="2" t="s">
        <v>657</v>
      </c>
      <c r="D191" s="2" t="s">
        <v>13</v>
      </c>
      <c r="E191" s="2" t="s">
        <v>14</v>
      </c>
      <c r="F191" s="2" t="s">
        <v>15</v>
      </c>
      <c r="G191" s="2" t="s">
        <v>658</v>
      </c>
      <c r="H191" s="2" t="s">
        <v>47</v>
      </c>
      <c r="I191" s="2" t="str">
        <f>IFERROR(__xludf.DUMMYFUNCTION("GOOGLETRANSLATE(C191,""fr"",""en"")"),"Hello I am delighted with this new insurance and thank you for simplicity the price, I will make sure I sponsor other people who might be interested in")</f>
        <v>Hello I am delighted with this new insurance and thank you for simplicity the price, I will make sure I sponsor other people who might be interested in</v>
      </c>
    </row>
    <row r="192" ht="15.75" customHeight="1">
      <c r="A192" s="2">
        <v>5.0</v>
      </c>
      <c r="B192" s="2" t="s">
        <v>659</v>
      </c>
      <c r="C192" s="2" t="s">
        <v>660</v>
      </c>
      <c r="D192" s="2" t="s">
        <v>13</v>
      </c>
      <c r="E192" s="2" t="s">
        <v>14</v>
      </c>
      <c r="F192" s="2" t="s">
        <v>15</v>
      </c>
      <c r="G192" s="2" t="s">
        <v>658</v>
      </c>
      <c r="H192" s="2" t="s">
        <v>47</v>
      </c>
      <c r="I192" s="2" t="str">
        <f>IFERROR(__xludf.DUMMYFUNCTION("GOOGLETRANSLATE(C192,""fr"",""en"")"),"Satisfied with the value for money, advisor to one of your customers I do not regret having chosen Olivier Insurance Thank you in advance for accepting me among you")</f>
        <v>Satisfied with the value for money, advisor to one of your customers I do not regret having chosen Olivier Insurance Thank you in advance for accepting me among you</v>
      </c>
    </row>
    <row r="193" ht="15.75" customHeight="1">
      <c r="A193" s="2">
        <v>2.0</v>
      </c>
      <c r="B193" s="2" t="s">
        <v>661</v>
      </c>
      <c r="C193" s="2" t="s">
        <v>662</v>
      </c>
      <c r="D193" s="2" t="s">
        <v>20</v>
      </c>
      <c r="E193" s="2" t="s">
        <v>14</v>
      </c>
      <c r="F193" s="2" t="s">
        <v>15</v>
      </c>
      <c r="G193" s="2" t="s">
        <v>663</v>
      </c>
      <c r="H193" s="2" t="s">
        <v>504</v>
      </c>
      <c r="I193" s="2" t="str">
        <f>IFERROR(__xludf.DUMMYFUNCTION("GOOGLETRANSLATE(C193,""fr"",""en"")"),"Hello
On October 11, a foreign car darken on it by admitting these harm 100%.
I am ensuring the third party and being given that the other driver to English insurance, Axa noted that I have to advance the costs of repairing my car because he does not kn"&amp;"ow the other insurance.
I therefore find myself without means of repairing my car and without means of transport in order to go to my work.
Axa asks me to recall the disaster what I do and even thing not taking care of as long as the appeal was not aski"&amp;"ng.
I pay insurance to be covered and here they are unable to help me.
How do I do??
While I'm not wrong.
If some can help me.
I think I will call on a lawyer
Thanks
")</f>
        <v>Hello
On October 11, a foreign car darken on it by admitting these harm 100%.
I am ensuring the third party and being given that the other driver to English insurance, Axa noted that I have to advance the costs of repairing my car because he does not know the other insurance.
I therefore find myself without means of repairing my car and without means of transport in order to go to my work.
Axa asks me to recall the disaster what I do and even thing not taking care of as long as the appeal was not asking.
I pay insurance to be covered and here they are unable to help me.
How do I do??
While I'm not wrong.
If some can help me.
I think I will call on a lawyer
Thanks
</v>
      </c>
    </row>
    <row r="194" ht="15.75" customHeight="1">
      <c r="A194" s="2">
        <v>1.0</v>
      </c>
      <c r="B194" s="2" t="s">
        <v>664</v>
      </c>
      <c r="C194" s="2" t="s">
        <v>665</v>
      </c>
      <c r="D194" s="2" t="s">
        <v>340</v>
      </c>
      <c r="E194" s="2" t="s">
        <v>21</v>
      </c>
      <c r="F194" s="2" t="s">
        <v>15</v>
      </c>
      <c r="G194" s="2" t="s">
        <v>666</v>
      </c>
      <c r="H194" s="2" t="s">
        <v>85</v>
      </c>
      <c r="I194" s="2" t="str">
        <f>IFERROR(__xludf.DUMMYFUNCTION("GOOGLETRANSLATE(C194,""fr"",""en"")"),"horror! I pay 100 euros per month, I have sent two quotes for months that I have been waiting for Depusi today PCK they can't make quote without errors, already 3rd times that I have to correct their mistakes asking to redo me quotation. A big one anythin"&amp;"g to avoid.")</f>
        <v>horror! I pay 100 euros per month, I have sent two quotes for months that I have been waiting for Depusi today PCK they can't make quote without errors, already 3rd times that I have to correct their mistakes asking to redo me quotation. A big one anything to avoid.</v>
      </c>
    </row>
    <row r="195" ht="15.75" customHeight="1">
      <c r="A195" s="2">
        <v>5.0</v>
      </c>
      <c r="B195" s="2" t="s">
        <v>667</v>
      </c>
      <c r="C195" s="2" t="s">
        <v>668</v>
      </c>
      <c r="D195" s="2" t="s">
        <v>88</v>
      </c>
      <c r="E195" s="2" t="s">
        <v>31</v>
      </c>
      <c r="F195" s="2" t="s">
        <v>15</v>
      </c>
      <c r="G195" s="2" t="s">
        <v>669</v>
      </c>
      <c r="H195" s="2" t="s">
        <v>85</v>
      </c>
      <c r="I195" s="2" t="str">
        <f>IFERROR(__xludf.DUMMYFUNCTION("GOOGLETRANSLATE(C195,""fr"",""en"")"),"Thank you Emeline thank you for answering my question the answer was very clear very satisfied with the interview which was very courteous I thank you
")</f>
        <v>Thank you Emeline thank you for answering my question the answer was very clear very satisfied with the interview which was very courteous I thank you
</v>
      </c>
    </row>
    <row r="196" ht="15.75" customHeight="1">
      <c r="A196" s="2">
        <v>3.0</v>
      </c>
      <c r="B196" s="2" t="s">
        <v>670</v>
      </c>
      <c r="C196" s="2" t="s">
        <v>671</v>
      </c>
      <c r="D196" s="2" t="s">
        <v>50</v>
      </c>
      <c r="E196" s="2" t="s">
        <v>51</v>
      </c>
      <c r="F196" s="2" t="s">
        <v>15</v>
      </c>
      <c r="G196" s="2" t="s">
        <v>672</v>
      </c>
      <c r="H196" s="2" t="s">
        <v>145</v>
      </c>
      <c r="I196" s="2" t="str">
        <f>IFERROR(__xludf.DUMMYFUNCTION("GOOGLETRANSLATE(C196,""fr"",""en"")"),"Satisfied with responsiveness and efficiency
I await the return of the green card and explanations to find out if I am debt every month.")</f>
        <v>Satisfied with responsiveness and efficiency
I await the return of the green card and explanations to find out if I am debt every month.</v>
      </c>
    </row>
    <row r="197" ht="15.75" customHeight="1">
      <c r="A197" s="2">
        <v>5.0</v>
      </c>
      <c r="B197" s="2" t="s">
        <v>673</v>
      </c>
      <c r="C197" s="2" t="s">
        <v>674</v>
      </c>
      <c r="D197" s="2" t="s">
        <v>36</v>
      </c>
      <c r="E197" s="2" t="s">
        <v>14</v>
      </c>
      <c r="F197" s="2" t="s">
        <v>15</v>
      </c>
      <c r="G197" s="2" t="s">
        <v>675</v>
      </c>
      <c r="H197" s="2" t="s">
        <v>171</v>
      </c>
      <c r="I197" s="2" t="str">
        <f>IFERROR(__xludf.DUMMYFUNCTION("GOOGLETRANSLATE(C197,""fr"",""en"")"),"I am satisfied with the services and in this case facilitated and speed to take care of the change of vehicle. I will recommend direct insurance without problem")</f>
        <v>I am satisfied with the services and in this case facilitated and speed to take care of the change of vehicle. I will recommend direct insurance without problem</v>
      </c>
    </row>
    <row r="198" ht="15.75" customHeight="1">
      <c r="A198" s="2">
        <v>4.0</v>
      </c>
      <c r="B198" s="2" t="s">
        <v>676</v>
      </c>
      <c r="C198" s="2" t="s">
        <v>677</v>
      </c>
      <c r="D198" s="2" t="s">
        <v>13</v>
      </c>
      <c r="E198" s="2" t="s">
        <v>14</v>
      </c>
      <c r="F198" s="2" t="s">
        <v>15</v>
      </c>
      <c r="G198" s="2" t="s">
        <v>678</v>
      </c>
      <c r="H198" s="2" t="s">
        <v>85</v>
      </c>
      <c r="I198" s="2" t="str">
        <f>IFERROR(__xludf.DUMMYFUNCTION("GOOGLETRANSLATE(C198,""fr"",""en"")"),"Too long to take into account my request to ensure my vehicle in all risks. I hope to have news and my request taken into account very quickly.")</f>
        <v>Too long to take into account my request to ensure my vehicle in all risks. I hope to have news and my request taken into account very quickly.</v>
      </c>
    </row>
    <row r="199" ht="15.75" customHeight="1">
      <c r="A199" s="2">
        <v>4.0</v>
      </c>
      <c r="B199" s="2" t="s">
        <v>679</v>
      </c>
      <c r="C199" s="2" t="s">
        <v>680</v>
      </c>
      <c r="D199" s="2" t="s">
        <v>50</v>
      </c>
      <c r="E199" s="2" t="s">
        <v>51</v>
      </c>
      <c r="F199" s="2" t="s">
        <v>15</v>
      </c>
      <c r="G199" s="2" t="s">
        <v>27</v>
      </c>
      <c r="H199" s="2" t="s">
        <v>27</v>
      </c>
      <c r="I199" s="2" t="str">
        <f>IFERROR(__xludf.DUMMYFUNCTION("GOOGLETRANSLATE(C199,""fr"",""en"")"),"I just subscribed and I chose April because the price was much cheaper !! My insurer offered me an exorbitant rate and does not even know how to align.")</f>
        <v>I just subscribed and I chose April because the price was much cheaper !! My insurer offered me an exorbitant rate and does not even know how to align.</v>
      </c>
    </row>
    <row r="200" ht="15.75" customHeight="1">
      <c r="A200" s="2">
        <v>1.0</v>
      </c>
      <c r="B200" s="2" t="s">
        <v>681</v>
      </c>
      <c r="C200" s="2" t="s">
        <v>682</v>
      </c>
      <c r="D200" s="2" t="s">
        <v>80</v>
      </c>
      <c r="E200" s="2" t="s">
        <v>14</v>
      </c>
      <c r="F200" s="2" t="s">
        <v>15</v>
      </c>
      <c r="G200" s="2" t="s">
        <v>683</v>
      </c>
      <c r="H200" s="2" t="s">
        <v>684</v>
      </c>
      <c r="I200" s="2" t="str">
        <f>IFERROR(__xludf.DUMMYFUNCTION("GOOGLETRANSLATE(C200,""fr"",""en"")"),"I am a customer maafde before over 2020s between 2020 and 2021 bonuses 50% and 8% more discount.
It’s stunning given the context of the year 2020
So I decided to leave")</f>
        <v>I am a customer maafde before over 2020s between 2020 and 2021 bonuses 50% and 8% more discount.
It’s stunning given the context of the year 2020
So I decided to leave</v>
      </c>
    </row>
    <row r="201" ht="15.75" customHeight="1">
      <c r="A201" s="2">
        <v>3.0</v>
      </c>
      <c r="B201" s="2" t="s">
        <v>685</v>
      </c>
      <c r="C201" s="2" t="s">
        <v>686</v>
      </c>
      <c r="D201" s="2" t="s">
        <v>36</v>
      </c>
      <c r="E201" s="2" t="s">
        <v>14</v>
      </c>
      <c r="F201" s="2" t="s">
        <v>15</v>
      </c>
      <c r="G201" s="2" t="s">
        <v>687</v>
      </c>
      <c r="H201" s="2" t="s">
        <v>95</v>
      </c>
      <c r="I201" s="2" t="str">
        <f>IFERROR(__xludf.DUMMYFUNCTION("GOOGLETRANSLATE(C201,""fr"",""en"")"),"Simple and quick price fairly correct and already customer at home for another contract
For the moment with Direct Assurances I do not encounter problems")</f>
        <v>Simple and quick price fairly correct and already customer at home for another contract
For the moment with Direct Assurances I do not encounter problems</v>
      </c>
    </row>
    <row r="202" ht="15.75" customHeight="1">
      <c r="A202" s="2">
        <v>4.0</v>
      </c>
      <c r="B202" s="2" t="s">
        <v>688</v>
      </c>
      <c r="C202" s="2" t="s">
        <v>689</v>
      </c>
      <c r="D202" s="2" t="s">
        <v>36</v>
      </c>
      <c r="E202" s="2" t="s">
        <v>14</v>
      </c>
      <c r="F202" s="2" t="s">
        <v>15</v>
      </c>
      <c r="G202" s="2" t="s">
        <v>690</v>
      </c>
      <c r="H202" s="2" t="s">
        <v>43</v>
      </c>
      <c r="I202" s="2" t="str">
        <f>IFERROR(__xludf.DUMMYFUNCTION("GOOGLETRANSLATE(C202,""fr"",""en"")"),"Quick implementation, fast and efficient support. Competitive price offer. To see in the future on customer relations and the monitoring of incidents if it occurs")</f>
        <v>Quick implementation, fast and efficient support. Competitive price offer. To see in the future on customer relations and the monitoring of incidents if it occurs</v>
      </c>
    </row>
    <row r="203" ht="15.75" customHeight="1">
      <c r="A203" s="2">
        <v>5.0</v>
      </c>
      <c r="B203" s="2" t="s">
        <v>691</v>
      </c>
      <c r="C203" s="2" t="s">
        <v>692</v>
      </c>
      <c r="D203" s="2" t="s">
        <v>104</v>
      </c>
      <c r="E203" s="2" t="s">
        <v>31</v>
      </c>
      <c r="F203" s="2" t="s">
        <v>15</v>
      </c>
      <c r="G203" s="2" t="s">
        <v>693</v>
      </c>
      <c r="H203" s="2" t="s">
        <v>149</v>
      </c>
      <c r="I203" s="2" t="str">
        <f>IFERROR(__xludf.DUMMYFUNCTION("GOOGLETRANSLATE(C203,""fr"",""en"")"),"I am very satisfied with the MGP that this value for money in value for my services but also with regard to the staff who are attentive. My files are processed very quickly.")</f>
        <v>I am very satisfied with the MGP that this value for money in value for my services but also with regard to the staff who are attentive. My files are processed very quickly.</v>
      </c>
    </row>
    <row r="204" ht="15.75" customHeight="1">
      <c r="A204" s="2">
        <v>2.0</v>
      </c>
      <c r="B204" s="2" t="s">
        <v>694</v>
      </c>
      <c r="C204" s="2" t="s">
        <v>695</v>
      </c>
      <c r="D204" s="2" t="s">
        <v>13</v>
      </c>
      <c r="E204" s="2" t="s">
        <v>14</v>
      </c>
      <c r="F204" s="2" t="s">
        <v>15</v>
      </c>
      <c r="G204" s="2" t="s">
        <v>696</v>
      </c>
      <c r="H204" s="2" t="s">
        <v>269</v>
      </c>
      <c r="I204" s="2" t="str">
        <f>IFERROR(__xludf.DUMMYFUNCTION("GOOGLETRANSLATE(C204,""fr"",""en"")"),"If payment of monthly subscription more than 100 euros more than an annual payment it is not normal you should not apply this difference or less")</f>
        <v>If payment of monthly subscription more than 100 euros more than an annual payment it is not normal you should not apply this difference or less</v>
      </c>
    </row>
    <row r="205" ht="15.75" customHeight="1">
      <c r="A205" s="2">
        <v>2.0</v>
      </c>
      <c r="B205" s="2" t="s">
        <v>697</v>
      </c>
      <c r="C205" s="2" t="s">
        <v>698</v>
      </c>
      <c r="D205" s="2" t="s">
        <v>285</v>
      </c>
      <c r="E205" s="2" t="s">
        <v>14</v>
      </c>
      <c r="F205" s="2" t="s">
        <v>15</v>
      </c>
      <c r="G205" s="2" t="s">
        <v>699</v>
      </c>
      <c r="H205" s="2" t="s">
        <v>400</v>
      </c>
      <c r="I205" s="2" t="str">
        <f>IFERROR(__xludf.DUMMYFUNCTION("GOOGLETRANSLATE(C205,""fr"",""en"")"),"Very very bad experience, unfortunately we cannot put any stars. Certain the prices are rather attractive but the rest zero. Customer service to absent subscribers, for contacts the cost you cost you a max because surcharged number. I have subscribed to i"&amp;"nsurance, to The subscription you obliged to pay 6 months in advance then they ask you for papers and after a month you notice because we do not even warn that the insurance is terminated for document missing outside I certified my file is beautiful and v"&amp;"ery complete. Well on he refuses to reimburse you for the advance of the costs. This insurer is non -professional he benefits from people and unfortunately I am not there alone to have this concern. I do not even understand how insurance comparators Can o"&amp;"ffer this company given all the problems it poses. I will certainly not stop there, I will except the insurance conciliator and if reimbursement or insurance there is not I will grasp a lawyer. MPS we are no longer assured and they take advantage of my mo"&amp;"ney a shame not to recommend at all")</f>
        <v>Very very bad experience, unfortunately we cannot put any stars. Certain the prices are rather attractive but the rest zero. Customer service to absent subscribers, for contacts the cost you cost you a max because surcharged number. I have subscribed to insurance, to The subscription you obliged to pay 6 months in advance then they ask you for papers and after a month you notice because we do not even warn that the insurance is terminated for document missing outside I certified my file is beautiful and very complete. Well on he refuses to reimburse you for the advance of the costs. This insurer is non -professional he benefits from people and unfortunately I am not there alone to have this concern. I do not even understand how insurance comparators Can offer this company given all the problems it poses. I will certainly not stop there, I will except the insurance conciliator and if reimbursement or insurance there is not I will grasp a lawyer. MPS we are no longer assured and they take advantage of my money a shame not to recommend at all</v>
      </c>
    </row>
    <row r="206" ht="15.75" customHeight="1">
      <c r="A206" s="2">
        <v>3.0</v>
      </c>
      <c r="B206" s="2" t="s">
        <v>700</v>
      </c>
      <c r="C206" s="2" t="s">
        <v>701</v>
      </c>
      <c r="D206" s="2" t="s">
        <v>36</v>
      </c>
      <c r="E206" s="2" t="s">
        <v>14</v>
      </c>
      <c r="F206" s="2" t="s">
        <v>15</v>
      </c>
      <c r="G206" s="2" t="s">
        <v>600</v>
      </c>
      <c r="H206" s="2" t="s">
        <v>27</v>
      </c>
      <c r="I206" s="2" t="str">
        <f>IFERROR(__xludf.DUMMYFUNCTION("GOOGLETRANSLATE(C206,""fr"",""en"")"),"I am satisfied with the service, the price is a little salty but it's okay, I hope I will have a pleasant experience by your side. Thank you very much thank you for everything.")</f>
        <v>I am satisfied with the service, the price is a little salty but it's okay, I hope I will have a pleasant experience by your side. Thank you very much thank you for everything.</v>
      </c>
    </row>
    <row r="207" ht="15.75" customHeight="1">
      <c r="A207" s="2">
        <v>3.0</v>
      </c>
      <c r="B207" s="2" t="s">
        <v>702</v>
      </c>
      <c r="C207" s="2" t="s">
        <v>703</v>
      </c>
      <c r="D207" s="2" t="s">
        <v>36</v>
      </c>
      <c r="E207" s="2" t="s">
        <v>14</v>
      </c>
      <c r="F207" s="2" t="s">
        <v>15</v>
      </c>
      <c r="G207" s="2" t="s">
        <v>704</v>
      </c>
      <c r="H207" s="2" t="s">
        <v>73</v>
      </c>
      <c r="I207" s="2" t="str">
        <f>IFERROR(__xludf.DUMMYFUNCTION("GOOGLETRANSLATE(C207,""fr"",""en"")"),"Satisfied with speed and ease to obtain a quote. I recommend, the price seems to me quite reasonable in view of the other insurance")</f>
        <v>Satisfied with speed and ease to obtain a quote. I recommend, the price seems to me quite reasonable in view of the other insurance</v>
      </c>
    </row>
    <row r="208" ht="15.75" customHeight="1">
      <c r="A208" s="2">
        <v>1.0</v>
      </c>
      <c r="B208" s="2" t="s">
        <v>705</v>
      </c>
      <c r="C208" s="2" t="s">
        <v>706</v>
      </c>
      <c r="D208" s="2" t="s">
        <v>20</v>
      </c>
      <c r="E208" s="2" t="s">
        <v>121</v>
      </c>
      <c r="F208" s="2" t="s">
        <v>15</v>
      </c>
      <c r="G208" s="2" t="s">
        <v>355</v>
      </c>
      <c r="H208" s="2" t="s">
        <v>356</v>
      </c>
      <c r="I208" s="2" t="str">
        <f>IFERROR(__xludf.DUMMYFUNCTION("GOOGLETRANSLATE(C208,""fr"",""en"")"),"You can't get anything back is a shame. This contract has replaced another contract in another insurance that was normal, they have been bought not AXA since ...")</f>
        <v>You can't get anything back is a shame. This contract has replaced another contract in another insurance that was normal, they have been bought not AXA since ...</v>
      </c>
    </row>
    <row r="209" ht="15.75" customHeight="1">
      <c r="A209" s="2">
        <v>1.0</v>
      </c>
      <c r="B209" s="2" t="s">
        <v>707</v>
      </c>
      <c r="C209" s="2" t="s">
        <v>708</v>
      </c>
      <c r="D209" s="2" t="s">
        <v>264</v>
      </c>
      <c r="E209" s="2" t="s">
        <v>31</v>
      </c>
      <c r="F209" s="2" t="s">
        <v>15</v>
      </c>
      <c r="G209" s="2" t="s">
        <v>421</v>
      </c>
      <c r="H209" s="2" t="s">
        <v>230</v>
      </c>
      <c r="I209" s="2" t="str">
        <f>IFERROR(__xludf.DUMMYFUNCTION("GOOGLETRANSLATE(C209,""fr"",""en"")"),"All samples are made very seriously on scheduled date, however with regard to reimbursements is another story, I have been waiting for reimbursements since January and February for more than € 400.00. I am seriously thinking of changing mutual a lot is re"&amp;"ally not serious, and impossible to join anyone to have explanations. Very misunderstanding. Annie Duchand")</f>
        <v>All samples are made very seriously on scheduled date, however with regard to reimbursements is another story, I have been waiting for reimbursements since January and February for more than € 400.00. I am seriously thinking of changing mutual a lot is really not serious, and impossible to join anyone to have explanations. Very misunderstanding. Annie Duchand</v>
      </c>
    </row>
    <row r="210" ht="15.75" customHeight="1">
      <c r="A210" s="2">
        <v>4.0</v>
      </c>
      <c r="B210" s="2" t="s">
        <v>709</v>
      </c>
      <c r="C210" s="2" t="s">
        <v>710</v>
      </c>
      <c r="D210" s="2" t="s">
        <v>36</v>
      </c>
      <c r="E210" s="2" t="s">
        <v>14</v>
      </c>
      <c r="F210" s="2" t="s">
        <v>15</v>
      </c>
      <c r="G210" s="2" t="s">
        <v>711</v>
      </c>
      <c r="H210" s="2" t="s">
        <v>47</v>
      </c>
      <c r="I210" s="2" t="str">
        <f>IFERROR(__xludf.DUMMYFUNCTION("GOOGLETRANSLATE(C210,""fr"",""en"")"),"We came into agreement so it's okay, the day we will not agree, we will advise but I think it will happen in good and loyal customer.")</f>
        <v>We came into agreement so it's okay, the day we will not agree, we will advise but I think it will happen in good and loyal customer.</v>
      </c>
    </row>
    <row r="211" ht="15.75" customHeight="1">
      <c r="A211" s="2">
        <v>2.0</v>
      </c>
      <c r="B211" s="2" t="s">
        <v>712</v>
      </c>
      <c r="C211" s="2" t="s">
        <v>713</v>
      </c>
      <c r="D211" s="2" t="s">
        <v>13</v>
      </c>
      <c r="E211" s="2" t="s">
        <v>14</v>
      </c>
      <c r="F211" s="2" t="s">
        <v>15</v>
      </c>
      <c r="G211" s="2" t="s">
        <v>714</v>
      </c>
      <c r="H211" s="2" t="s">
        <v>178</v>
      </c>
      <c r="I211" s="2" t="str">
        <f>IFERROR(__xludf.DUMMYFUNCTION("GOOGLETRANSLATE(C211,""fr"",""en"")"),"I am disappointed because I had a break of ice which should be a very simple file to process and several months after the disaster I have still not been settled in all of my bill despite my many reminders and although they gave me the care agreement.
No "&amp;"answer is made to my emails. Customer service is nonexistent.
")</f>
        <v>I am disappointed because I had a break of ice which should be a very simple file to process and several months after the disaster I have still not been settled in all of my bill despite my many reminders and although they gave me the care agreement.
No answer is made to my emails. Customer service is nonexistent.
</v>
      </c>
    </row>
    <row r="212" ht="15.75" customHeight="1">
      <c r="A212" s="2">
        <v>2.0</v>
      </c>
      <c r="B212" s="2" t="s">
        <v>715</v>
      </c>
      <c r="C212" s="2" t="s">
        <v>716</v>
      </c>
      <c r="D212" s="2" t="s">
        <v>125</v>
      </c>
      <c r="E212" s="2" t="s">
        <v>37</v>
      </c>
      <c r="F212" s="2" t="s">
        <v>15</v>
      </c>
      <c r="G212" s="2" t="s">
        <v>717</v>
      </c>
      <c r="H212" s="2" t="s">
        <v>487</v>
      </c>
      <c r="I212" s="2" t="str">
        <f>IFERROR(__xludf.DUMMYFUNCTION("GOOGLETRANSLATE(C212,""fr"",""en"")"),"Insured for 40 years at the GMF, a giant electricity breakdown on August 31, 2018, is still not settled, the expert, for whom, there was no PB, in front of the pool, Very numerous times, ends up responding: I am not absolutely certain ... If your customer"&amp;" has good multi -risk insurance, pass the disaster in multi -risk housing, which GMF has done, but asking me in return to sign a Certificate to be reimbursed with EDF !!! A shame. Other elements such as the engine of the pool curtain and the box that goes"&amp;" with it, are still pending. For us, loyal customers for 40 years, insured as much as possible, cars of 20 years assured all risks, electric damage insurance in addition to the multi -risk home. The ""pass the ball"" services ""each other ... irresponsibl"&amp;"e. We pay, we pay to be sure not to worry and we are not heard. I formally advise against this insurance. I will of course moderate my opinion if the Managing Director makes a wise and responsible decision. Jean-Pierre Colin de Poitiers
")</f>
        <v>Insured for 40 years at the GMF, a giant electricity breakdown on August 31, 2018, is still not settled, the expert, for whom, there was no PB, in front of the pool, Very numerous times, ends up responding: I am not absolutely certain ... If your customer has good multi -risk insurance, pass the disaster in multi -risk housing, which GMF has done, but asking me in return to sign a Certificate to be reimbursed with EDF !!! A shame. Other elements such as the engine of the pool curtain and the box that goes with it, are still pending. For us, loyal customers for 40 years, insured as much as possible, cars of 20 years assured all risks, electric damage insurance in addition to the multi -risk home. The "pass the ball" services "each other ... irresponsible. We pay, we pay to be sure not to worry and we are not heard. I formally advise against this insurance. I will of course moderate my opinion if the Managing Director makes a wise and responsible decision. Jean-Pierre Colin de Poitiers
</v>
      </c>
    </row>
    <row r="213" ht="15.75" customHeight="1">
      <c r="A213" s="2">
        <v>1.0</v>
      </c>
      <c r="B213" s="2" t="s">
        <v>718</v>
      </c>
      <c r="C213" s="2" t="s">
        <v>719</v>
      </c>
      <c r="D213" s="2" t="s">
        <v>36</v>
      </c>
      <c r="E213" s="2" t="s">
        <v>14</v>
      </c>
      <c r="F213" s="2" t="s">
        <v>15</v>
      </c>
      <c r="G213" s="2" t="s">
        <v>720</v>
      </c>
      <c r="H213" s="2" t="s">
        <v>178</v>
      </c>
      <c r="I213" s="2" t="str">
        <f>IFERROR(__xludf.DUMMYFUNCTION("GOOGLETRANSLATE(C213,""fr"",""en"")")," I phone at least 20 times to have an advisor and when a answer to tell me (I can't talk to you I will miss my bus shuttle) Hello professional conscience")</f>
        <v> I phone at least 20 times to have an advisor and when a answer to tell me (I can't talk to you I will miss my bus shuttle) Hello professional conscience</v>
      </c>
    </row>
    <row r="214" ht="15.75" customHeight="1">
      <c r="A214" s="2">
        <v>3.0</v>
      </c>
      <c r="B214" s="2" t="s">
        <v>721</v>
      </c>
      <c r="C214" s="2" t="s">
        <v>722</v>
      </c>
      <c r="D214" s="2" t="s">
        <v>76</v>
      </c>
      <c r="E214" s="2" t="s">
        <v>51</v>
      </c>
      <c r="F214" s="2" t="s">
        <v>15</v>
      </c>
      <c r="G214" s="2" t="s">
        <v>723</v>
      </c>
      <c r="H214" s="2" t="s">
        <v>269</v>
      </c>
      <c r="I214" s="2" t="str">
        <f>IFERROR(__xludf.DUMMYFUNCTION("GOOGLETRANSLATE(C214,""fr"",""en"")"),"Competitive insurance Level Prices but it stops there.
Do not be pressed the day you have a disaster.
Customer Relations Service to review.
3 months spent on a non -responsible accident and still no progress in the file.
Conclusion Insurance or ever"&amp;"ything is fine until you declare a claim and a friendship training within the staff would not be luxury!")</f>
        <v>Competitive insurance Level Prices but it stops there.
Do not be pressed the day you have a disaster.
Customer Relations Service to review.
3 months spent on a non -responsible accident and still no progress in the file.
Conclusion Insurance or everything is fine until you declare a claim and a friendship training within the staff would not be luxury!</v>
      </c>
    </row>
    <row r="215" ht="15.75" customHeight="1">
      <c r="A215" s="2">
        <v>4.0</v>
      </c>
      <c r="B215" s="2" t="s">
        <v>724</v>
      </c>
      <c r="C215" s="2" t="s">
        <v>725</v>
      </c>
      <c r="D215" s="2" t="s">
        <v>76</v>
      </c>
      <c r="E215" s="2" t="s">
        <v>51</v>
      </c>
      <c r="F215" s="2" t="s">
        <v>15</v>
      </c>
      <c r="G215" s="2" t="s">
        <v>216</v>
      </c>
      <c r="H215" s="2" t="s">
        <v>33</v>
      </c>
      <c r="I215" s="2" t="str">
        <f>IFERROR(__xludf.DUMMYFUNCTION("GOOGLETRANSLATE(C215,""fr"",""en"")"),"I am satisfied with this offer and the conditions of your insurance
I stay at your disposal you needed to contact me
thank you for everything
Cordially
")</f>
        <v>I am satisfied with this offer and the conditions of your insurance
I stay at your disposal you needed to contact me
thank you for everything
Cordially
</v>
      </c>
    </row>
    <row r="216" ht="15.75" customHeight="1">
      <c r="A216" s="2">
        <v>1.0</v>
      </c>
      <c r="B216" s="2" t="s">
        <v>726</v>
      </c>
      <c r="C216" s="2" t="s">
        <v>727</v>
      </c>
      <c r="D216" s="2" t="s">
        <v>60</v>
      </c>
      <c r="E216" s="2" t="s">
        <v>21</v>
      </c>
      <c r="F216" s="2" t="s">
        <v>15</v>
      </c>
      <c r="G216" s="2" t="s">
        <v>728</v>
      </c>
      <c r="H216" s="2" t="s">
        <v>684</v>
      </c>
      <c r="I216" s="2" t="str">
        <f>IFERROR(__xludf.DUMMYFUNCTION("GOOGLETRANSLATE(C216,""fr"",""en"")"),"Mission Impossible for a buyout of life insurance, they ""wander"" you by always asking for a new document or by asking you with documents that you have already provided. Welcome from Strasbourg nice but ineffective. Customer advisor impossible to reach ("&amp;"Tel/Mail) Employee Local Agency at the limit of rudeness, laying up barely believable arguments to justify .............")</f>
        <v>Mission Impossible for a buyout of life insurance, they "wander" you by always asking for a new document or by asking you with documents that you have already provided. Welcome from Strasbourg nice but ineffective. Customer advisor impossible to reach (Tel/Mail) Employee Local Agency at the limit of rudeness, laying up barely believable arguments to justify .............</v>
      </c>
    </row>
    <row r="217" ht="15.75" customHeight="1">
      <c r="A217" s="2">
        <v>5.0</v>
      </c>
      <c r="B217" s="2" t="s">
        <v>729</v>
      </c>
      <c r="C217" s="2" t="s">
        <v>730</v>
      </c>
      <c r="D217" s="2" t="s">
        <v>211</v>
      </c>
      <c r="E217" s="2" t="s">
        <v>31</v>
      </c>
      <c r="F217" s="2" t="s">
        <v>15</v>
      </c>
      <c r="G217" s="2" t="s">
        <v>731</v>
      </c>
      <c r="H217" s="2" t="s">
        <v>367</v>
      </c>
      <c r="I217" s="2" t="str">
        <f>IFERROR(__xludf.DUMMYFUNCTION("GOOGLETRANSLATE(C217,""fr"",""en"")"),"I am satisfied with the prices and the coverage which unlike others are very competitive.")</f>
        <v>I am satisfied with the prices and the coverage which unlike others are very competitive.</v>
      </c>
    </row>
    <row r="218" ht="15.75" customHeight="1">
      <c r="A218" s="2">
        <v>2.0</v>
      </c>
      <c r="B218" s="2" t="s">
        <v>732</v>
      </c>
      <c r="C218" s="2" t="s">
        <v>733</v>
      </c>
      <c r="D218" s="2" t="s">
        <v>616</v>
      </c>
      <c r="E218" s="2" t="s">
        <v>37</v>
      </c>
      <c r="F218" s="2" t="s">
        <v>15</v>
      </c>
      <c r="G218" s="2" t="s">
        <v>734</v>
      </c>
      <c r="H218" s="2" t="s">
        <v>106</v>
      </c>
      <c r="I218" s="2" t="str">
        <f>IFERROR(__xludf.DUMMYFUNCTION("GOOGLETRANSLATE(C218,""fr"",""en"")"),"Following a burglary of our apartment, we discovered that Groupama to a guarantee exclusion clause called ""value object"".
The latter is not in the ""comfort"" pack which is not the first level of guarantee offered. Consequently, insurance refused to re"&amp;"imburse us with jewelry, species and stolen watches.
On the other hand, the guarantees indicated in the customer area are very generalist and give the impression of having a good level of guarantee, which is not the case.
It is improbable to propose con"&amp;"tracts which go against the interests of his insured by ignorance of the many exclusion clauses which are denominated with a vocabulary of specialist.
I am extremely disappointed with their attitude. TO FLEE
")</f>
        <v>Following a burglary of our apartment, we discovered that Groupama to a guarantee exclusion clause called "value object".
The latter is not in the "comfort" pack which is not the first level of guarantee offered. Consequently, insurance refused to reimburse us with jewelry, species and stolen watches.
On the other hand, the guarantees indicated in the customer area are very generalist and give the impression of having a good level of guarantee, which is not the case.
It is improbable to propose contracts which go against the interests of his insured by ignorance of the many exclusion clauses which are denominated with a vocabulary of specialist.
I am extremely disappointed with their attitude. TO FLEE
</v>
      </c>
    </row>
    <row r="219" ht="15.75" customHeight="1">
      <c r="A219" s="2">
        <v>1.0</v>
      </c>
      <c r="B219" s="2" t="s">
        <v>735</v>
      </c>
      <c r="C219" s="2" t="s">
        <v>736</v>
      </c>
      <c r="D219" s="2" t="s">
        <v>60</v>
      </c>
      <c r="E219" s="2" t="s">
        <v>37</v>
      </c>
      <c r="F219" s="2" t="s">
        <v>15</v>
      </c>
      <c r="G219" s="2" t="s">
        <v>737</v>
      </c>
      <c r="H219" s="2" t="s">
        <v>432</v>
      </c>
      <c r="I219" s="2" t="str">
        <f>IFERROR(__xludf.DUMMYFUNCTION("GOOGLETRANSLATE(C219,""fr"",""en"")"),"Apparently, we all have a common point: having trusted Allianz for home insurance.
I am a disabled adult and I live alone in a T2. I underwent a water damage following a rupture of pipeline in the sanitary garage sale. The local agency does not understan"&amp;"d the decision of Paris which, after having left me more than a month in ignorance, closed the file without coherent explanation and without any compensation. The thing is inhuman and leaves you in the most Grand Desarroi.
")</f>
        <v>Apparently, we all have a common point: having trusted Allianz for home insurance.
I am a disabled adult and I live alone in a T2. I underwent a water damage following a rupture of pipeline in the sanitary garage sale. The local agency does not understand the decision of Paris which, after having left me more than a month in ignorance, closed the file without coherent explanation and without any compensation. The thing is inhuman and leaves you in the most Grand Desarroi.
</v>
      </c>
    </row>
    <row r="220" ht="15.75" customHeight="1">
      <c r="A220" s="2">
        <v>5.0</v>
      </c>
      <c r="B220" s="2" t="s">
        <v>738</v>
      </c>
      <c r="C220" s="2" t="s">
        <v>739</v>
      </c>
      <c r="D220" s="2" t="s">
        <v>88</v>
      </c>
      <c r="E220" s="2" t="s">
        <v>31</v>
      </c>
      <c r="F220" s="2" t="s">
        <v>15</v>
      </c>
      <c r="G220" s="2" t="s">
        <v>527</v>
      </c>
      <c r="H220" s="2" t="s">
        <v>43</v>
      </c>
      <c r="I220" s="2" t="str">
        <f>IFERROR(__xludf.DUMMYFUNCTION("GOOGLETRANSLATE(C220,""fr"",""en"")"),"Hello, I'm starting with Santiane as a new health mutual. I hope to continue to be satisfied. For the moment customer service is excellent.")</f>
        <v>Hello, I'm starting with Santiane as a new health mutual. I hope to continue to be satisfied. For the moment customer service is excellent.</v>
      </c>
    </row>
    <row r="221" ht="15.75" customHeight="1">
      <c r="A221" s="2">
        <v>1.0</v>
      </c>
      <c r="B221" s="2" t="s">
        <v>740</v>
      </c>
      <c r="C221" s="2" t="s">
        <v>741</v>
      </c>
      <c r="D221" s="2" t="s">
        <v>285</v>
      </c>
      <c r="E221" s="2" t="s">
        <v>14</v>
      </c>
      <c r="F221" s="2" t="s">
        <v>15</v>
      </c>
      <c r="G221" s="2" t="s">
        <v>742</v>
      </c>
      <c r="H221" s="2" t="s">
        <v>371</v>
      </c>
      <c r="I221" s="2" t="str">
        <f>IFERROR(__xludf.DUMMYFUNCTION("GOOGLETRANSLATE(C221,""fr"",""en"")"),"After 1 year of insurance, I had the good surprise of an increase of 24.5% of monthly payments. The reason given is an increase in the claims of other insured. I will see elsewhere.")</f>
        <v>After 1 year of insurance, I had the good surprise of an increase of 24.5% of monthly payments. The reason given is an increase in the claims of other insured. I will see elsewhere.</v>
      </c>
    </row>
    <row r="222" ht="15.75" customHeight="1">
      <c r="A222" s="2">
        <v>1.0</v>
      </c>
      <c r="B222" s="2" t="s">
        <v>743</v>
      </c>
      <c r="C222" s="2" t="s">
        <v>744</v>
      </c>
      <c r="D222" s="2" t="s">
        <v>60</v>
      </c>
      <c r="E222" s="2" t="s">
        <v>14</v>
      </c>
      <c r="F222" s="2" t="s">
        <v>15</v>
      </c>
      <c r="G222" s="2" t="s">
        <v>351</v>
      </c>
      <c r="H222" s="2" t="s">
        <v>47</v>
      </c>
      <c r="I222" s="2" t="str">
        <f>IFERROR(__xludf.DUMMYFUNCTION("GOOGLETRANSLATE(C222,""fr"",""en"")"),"Waiting for several tens of minutes each call for no response is scandalous !!!
I subscribed last year to anticipation self insurance for this year because I wanted to change insurer and because the seller was forcing by phone, the contract has not yet s"&amp;"tarted, and I will finally sell my vehicle. We are on 06/21/2021, the contract begins on June 30, and I cannot have them on the phone or by email to terminate this contract which has not even started !!!!
When I see the opinions I realize that I did a "&amp;"stupidity and that I should have seen elsewhere ...")</f>
        <v>Waiting for several tens of minutes each call for no response is scandalous !!!
I subscribed last year to anticipation self insurance for this year because I wanted to change insurer and because the seller was forcing by phone, the contract has not yet started, and I will finally sell my vehicle. We are on 06/21/2021, the contract begins on June 30, and I cannot have them on the phone or by email to terminate this contract which has not even started !!!!
When I see the opinions I realize that I did a stupidity and that I should have seen elsewhere ...</v>
      </c>
    </row>
    <row r="223" ht="15.75" customHeight="1">
      <c r="A223" s="2">
        <v>1.0</v>
      </c>
      <c r="B223" s="2" t="s">
        <v>745</v>
      </c>
      <c r="C223" s="2" t="s">
        <v>746</v>
      </c>
      <c r="D223" s="2" t="s">
        <v>13</v>
      </c>
      <c r="E223" s="2" t="s">
        <v>14</v>
      </c>
      <c r="F223" s="2" t="s">
        <v>15</v>
      </c>
      <c r="G223" s="2" t="s">
        <v>344</v>
      </c>
      <c r="H223" s="2" t="s">
        <v>345</v>
      </c>
      <c r="I223" s="2" t="str">
        <f>IFERROR(__xludf.DUMMYFUNCTION("GOOGLETRANSLATE(C223,""fr"",""en"")"),"Deplorable service, 1 year to receive my updated green card with the number of the new plate !!! On the other hand, they are very present to collect the slightest modification of contract !!! I find this scandalous insurance")</f>
        <v>Deplorable service, 1 year to receive my updated green card with the number of the new plate !!! On the other hand, they are very present to collect the slightest modification of contract !!! I find this scandalous insurance</v>
      </c>
    </row>
    <row r="224" ht="15.75" customHeight="1">
      <c r="A224" s="2">
        <v>2.0</v>
      </c>
      <c r="B224" s="2" t="s">
        <v>747</v>
      </c>
      <c r="C224" s="2" t="s">
        <v>748</v>
      </c>
      <c r="D224" s="2" t="s">
        <v>36</v>
      </c>
      <c r="E224" s="2" t="s">
        <v>14</v>
      </c>
      <c r="F224" s="2" t="s">
        <v>15</v>
      </c>
      <c r="G224" s="2" t="s">
        <v>749</v>
      </c>
      <c r="H224" s="2" t="s">
        <v>171</v>
      </c>
      <c r="I224" s="2" t="str">
        <f>IFERROR(__xludf.DUMMYFUNCTION("GOOGLETRANSLATE(C224,""fr"",""en"")"),"You create too much problem for customers you make promises by prospective television and it is the opposite of what to wait because customers must retransmit all the documents according to the words of your prospective television we had to not worry beca"&amp;"use he transmitted everything but apparently it does not work")</f>
        <v>You create too much problem for customers you make promises by prospective television and it is the opposite of what to wait because customers must retransmit all the documents according to the words of your prospective television we had to not worry because he transmitted everything but apparently it does not work</v>
      </c>
    </row>
    <row r="225" ht="15.75" customHeight="1">
      <c r="A225" s="2">
        <v>3.0</v>
      </c>
      <c r="B225" s="2" t="s">
        <v>750</v>
      </c>
      <c r="C225" s="2" t="s">
        <v>751</v>
      </c>
      <c r="D225" s="2" t="s">
        <v>211</v>
      </c>
      <c r="E225" s="2" t="s">
        <v>31</v>
      </c>
      <c r="F225" s="2" t="s">
        <v>15</v>
      </c>
      <c r="G225" s="2" t="s">
        <v>752</v>
      </c>
      <c r="H225" s="2" t="s">
        <v>436</v>
      </c>
      <c r="I225" s="2" t="str">
        <f>IFERROR(__xludf.DUMMYFUNCTION("GOOGLETRANSLATE(C225,""fr"",""en"")"),"A person contacted me to settle an update of my file that I did not even have at Neoliane she released my name and asked me for my date of birth and when I understood the name again I told her but I am not with you and there she hung me up with the nose h"&amp;"as it happened to you?")</f>
        <v>A person contacted me to settle an update of my file that I did not even have at Neoliane she released my name and asked me for my date of birth and when I understood the name again I told her but I am not with you and there she hung me up with the nose has it happened to you?</v>
      </c>
    </row>
    <row r="226" ht="15.75" customHeight="1">
      <c r="A226" s="2">
        <v>1.0</v>
      </c>
      <c r="B226" s="2" t="s">
        <v>753</v>
      </c>
      <c r="C226" s="2" t="s">
        <v>754</v>
      </c>
      <c r="D226" s="2" t="s">
        <v>211</v>
      </c>
      <c r="E226" s="2" t="s">
        <v>31</v>
      </c>
      <c r="F226" s="2" t="s">
        <v>15</v>
      </c>
      <c r="G226" s="2" t="s">
        <v>755</v>
      </c>
      <c r="H226" s="2" t="s">
        <v>145</v>
      </c>
      <c r="I226" s="2" t="str">
        <f>IFERROR(__xludf.DUMMYFUNCTION("GOOGLETRANSLATE(C226,""fr"",""en"")"),"I do not recommend this mutual. No follow -up. Contract subscribed since May, today teletransmission is still not active. Always asks the same documents already in their possession. Request for payment proofs, invoices for example, while other mutuals acc"&amp;"ept payment proofs such as the CB ticket. Not clear their request clearly, automatic response email. For my part if you are not behind, nothing happens. Worse than an administration")</f>
        <v>I do not recommend this mutual. No follow -up. Contract subscribed since May, today teletransmission is still not active. Always asks the same documents already in their possession. Request for payment proofs, invoices for example, while other mutuals accept payment proofs such as the CB ticket. Not clear their request clearly, automatic response email. For my part if you are not behind, nothing happens. Worse than an administration</v>
      </c>
    </row>
    <row r="227" ht="15.75" customHeight="1">
      <c r="A227" s="2">
        <v>1.0</v>
      </c>
      <c r="B227" s="2" t="s">
        <v>756</v>
      </c>
      <c r="C227" s="2" t="s">
        <v>757</v>
      </c>
      <c r="D227" s="2" t="s">
        <v>211</v>
      </c>
      <c r="E227" s="2" t="s">
        <v>31</v>
      </c>
      <c r="F227" s="2" t="s">
        <v>15</v>
      </c>
      <c r="G227" s="2" t="s">
        <v>758</v>
      </c>
      <c r="H227" s="2" t="s">
        <v>145</v>
      </c>
      <c r="I227" s="2" t="str">
        <f>IFERROR(__xludf.DUMMYFUNCTION("GOOGLETRANSLATE(C227,""fr"",""en"")"),"I should not have changed the mutual this year. Permanently I have to monitor the reimbursements. Transmission by Ameli dated October 12 treated 3 weeks later the sum appears on my Neoliane account but still nothing on my bank. Response from Neoliane we a"&amp;"re delayed in treatments. Professionals are reimbursed immediately. I send a quote from a clinic which imbroglio. I remind them that I respect my contract by being taken every month so please do the same on your side. NEO 23050820")</f>
        <v>I should not have changed the mutual this year. Permanently I have to monitor the reimbursements. Transmission by Ameli dated October 12 treated 3 weeks later the sum appears on my Neoliane account but still nothing on my bank. Response from Neoliane we are delayed in treatments. Professionals are reimbursed immediately. I send a quote from a clinic which imbroglio. I remind them that I respect my contract by being taken every month so please do the same on your side. NEO 23050820</v>
      </c>
    </row>
    <row r="228" ht="15.75" customHeight="1">
      <c r="A228" s="2">
        <v>2.0</v>
      </c>
      <c r="B228" s="2" t="s">
        <v>759</v>
      </c>
      <c r="C228" s="2" t="s">
        <v>760</v>
      </c>
      <c r="D228" s="2" t="s">
        <v>55</v>
      </c>
      <c r="E228" s="2" t="s">
        <v>14</v>
      </c>
      <c r="F228" s="2" t="s">
        <v>15</v>
      </c>
      <c r="G228" s="2" t="s">
        <v>675</v>
      </c>
      <c r="H228" s="2" t="s">
        <v>171</v>
      </c>
      <c r="I228" s="2" t="str">
        <f>IFERROR(__xludf.DUMMYFUNCTION("GOOGLETRANSLATE(C228,""fr"",""en"")"),"Insured at Pacifica for my car since 02/23/2019, without any accident, I had a catastrophic 2020 year (truck rolling strip on the highway in non -responsible January, oil pudd in a roundabout in May 100%, wild boar already struck undoubtedly by a heavy go"&amp;"ods vehicle in the middle of the fields in a straight line in the middle of the night not responsible). It was my last accident that decided me. Indeed, side of the disaster management (global assistance I think) nothing to complain about. On the other ha"&amp;"nd, with the Restriction Covid, a real hassle. My vehicle has taken almost 2 months to be repaired. Since my contract only provides 13 days of vehicle rental (my 2 other accidents I was entitled to the courtesy vehicle 0 costs for insurance), I had to fig"&amp;"ht as not allowed so that in the end it is The garage which obtains the extension of the rental of the rental vehicle for an additional 15 days. Vehicle still not repaired, rebatailing etc for at one point having heard myself by an advisor ""If it had bee"&amp;"n me, I will have declared you 100% responsible for the accident (yes with a wild animal in the middle of a Road on the pretext that already dead; I want to clarify that it was I who called the police because of course the possible heavy goods vehicle tha"&amp;"t would have struck it was not there and that we were in all And for all 3 vehicles to have been taken). And of course, no extension on the pretext that they are already making a flower by extending me 15 days. I specify that the garage where my vehicle w"&amp;"as located is 600kms from My home so for the courtesy vehicle it was just impossible because the garage did not want and I do not do the 600km either (besides I will be mounted how). Obviously that increases but there is not the question. Fortunately I wa"&amp;"s able to take my parents' vehicle time that the R Breeding ends because otherwise I don't know how I could have continued to go to my work (120kms round trip and even that insurance fought ...)
In short, to conclude assurance which as long as you have n"&amp;"o claims with repairs that are dragging you will satisfy you. Otherwise flee.")</f>
        <v>Insured at Pacifica for my car since 02/23/2019, without any accident, I had a catastrophic 2020 year (truck rolling strip on the highway in non -responsible January, oil pudd in a roundabout in May 100%, wild boar already struck undoubtedly by a heavy goods vehicle in the middle of the fields in a straight line in the middle of the night not responsible). It was my last accident that decided me. Indeed, side of the disaster management (global assistance I think) nothing to complain about. On the other hand, with the Restriction Covid, a real hassle. My vehicle has taken almost 2 months to be repaired. Since my contract only provides 13 days of vehicle rental (my 2 other accidents I was entitled to the courtesy vehicle 0 costs for insurance), I had to fight as not allowed so that in the end it is The garage which obtains the extension of the rental of the rental vehicle for an additional 15 days. Vehicle still not repaired, rebatailing etc for at one point having heard myself by an advisor "If it had been me, I will have declared you 100% responsible for the accident (yes with a wild animal in the middle of a Road on the pretext that already dead; I want to clarify that it was I who called the police because of course the possible heavy goods vehicle that would have struck it was not there and that we were in all And for all 3 vehicles to have been taken). And of course, no extension on the pretext that they are already making a flower by extending me 15 days. I specify that the garage where my vehicle was located is 600kms from My home so for the courtesy vehicle it was just impossible because the garage did not want and I do not do the 600km either (besides I will be mounted how). Obviously that increases but there is not the question. Fortunately I was able to take my parents' vehicle time that the R Breeding ends because otherwise I don't know how I could have continued to go to my work (120kms round trip and even that insurance fought ...)
In short, to conclude assurance which as long as you have no claims with repairs that are dragging you will satisfy you. Otherwise flee.</v>
      </c>
    </row>
    <row r="229" ht="15.75" customHeight="1">
      <c r="A229" s="2">
        <v>3.0</v>
      </c>
      <c r="B229" s="2" t="s">
        <v>761</v>
      </c>
      <c r="C229" s="2" t="s">
        <v>762</v>
      </c>
      <c r="D229" s="2" t="s">
        <v>36</v>
      </c>
      <c r="E229" s="2" t="s">
        <v>14</v>
      </c>
      <c r="F229" s="2" t="s">
        <v>15</v>
      </c>
      <c r="G229" s="2" t="s">
        <v>763</v>
      </c>
      <c r="H229" s="2" t="s">
        <v>95</v>
      </c>
      <c r="I229" s="2" t="str">
        <f>IFERROR(__xludf.DUMMYFUNCTION("GOOGLETRANSLATE(C229,""fr"",""en"")"),"I am satisfied with the attractive price service at the top I hope that insurance is up to my requirements and for my family, good day")</f>
        <v>I am satisfied with the attractive price service at the top I hope that insurance is up to my requirements and for my family, good day</v>
      </c>
    </row>
    <row r="230" ht="15.75" customHeight="1">
      <c r="A230" s="2">
        <v>4.0</v>
      </c>
      <c r="B230" s="2" t="s">
        <v>764</v>
      </c>
      <c r="C230" s="2" t="s">
        <v>765</v>
      </c>
      <c r="D230" s="2" t="s">
        <v>36</v>
      </c>
      <c r="E230" s="2" t="s">
        <v>14</v>
      </c>
      <c r="F230" s="2" t="s">
        <v>15</v>
      </c>
      <c r="G230" s="2" t="s">
        <v>766</v>
      </c>
      <c r="H230" s="2" t="s">
        <v>43</v>
      </c>
      <c r="I230" s="2" t="str">
        <f>IFERROR(__xludf.DUMMYFUNCTION("GOOGLETRANSLATE(C230,""fr"",""en"")"),"The subscription price suits me.
I just hope that he will not increase every year.
For the service it will be in the time that I can judge him.
")</f>
        <v>The subscription price suits me.
I just hope that he will not increase every year.
For the service it will be in the time that I can judge him.
</v>
      </c>
    </row>
    <row r="231" ht="15.75" customHeight="1">
      <c r="A231" s="2">
        <v>1.0</v>
      </c>
      <c r="B231" s="2" t="s">
        <v>767</v>
      </c>
      <c r="C231" s="2" t="s">
        <v>768</v>
      </c>
      <c r="D231" s="2" t="s">
        <v>616</v>
      </c>
      <c r="E231" s="2" t="s">
        <v>37</v>
      </c>
      <c r="F231" s="2" t="s">
        <v>15</v>
      </c>
      <c r="G231" s="2" t="s">
        <v>769</v>
      </c>
      <c r="H231" s="2" t="s">
        <v>33</v>
      </c>
      <c r="I231" s="2" t="str">
        <f>IFERROR(__xludf.DUMMYFUNCTION("GOOGLETRANSLATE(C231,""fr"",""en"")"),"to flee! We call to ask for information on a private sinister and they assign the disaster. Then you receive a beautiful letter that we want to make sure.")</f>
        <v>to flee! We call to ask for information on a private sinister and they assign the disaster. Then you receive a beautiful letter that we want to make sure.</v>
      </c>
    </row>
    <row r="232" ht="15.75" customHeight="1">
      <c r="A232" s="2">
        <v>5.0</v>
      </c>
      <c r="B232" s="2" t="s">
        <v>770</v>
      </c>
      <c r="C232" s="2" t="s">
        <v>771</v>
      </c>
      <c r="D232" s="2" t="s">
        <v>199</v>
      </c>
      <c r="E232" s="2" t="s">
        <v>200</v>
      </c>
      <c r="F232" s="2" t="s">
        <v>15</v>
      </c>
      <c r="G232" s="2" t="s">
        <v>772</v>
      </c>
      <c r="H232" s="2" t="s">
        <v>33</v>
      </c>
      <c r="I232" s="2" t="str">
        <f>IFERROR(__xludf.DUMMYFUNCTION("GOOGLETRANSLATE(C232,""fr"",""en"")"),"Very good advisor (Benjamin!), Reactive to Lécoute and supports the customer until the complete signature of the file. I highly recommend ! And very fast to subscribe")</f>
        <v>Very good advisor (Benjamin!), Reactive to Lécoute and supports the customer until the complete signature of the file. I highly recommend ! And very fast to subscribe</v>
      </c>
    </row>
    <row r="233" ht="15.75" customHeight="1">
      <c r="A233" s="2">
        <v>1.0</v>
      </c>
      <c r="B233" s="2" t="s">
        <v>773</v>
      </c>
      <c r="C233" s="2" t="s">
        <v>774</v>
      </c>
      <c r="D233" s="2" t="s">
        <v>414</v>
      </c>
      <c r="E233" s="2" t="s">
        <v>14</v>
      </c>
      <c r="F233" s="2" t="s">
        <v>15</v>
      </c>
      <c r="G233" s="2" t="s">
        <v>156</v>
      </c>
      <c r="H233" s="2" t="s">
        <v>33</v>
      </c>
      <c r="I233" s="2" t="str">
        <f>IFERROR(__xludf.DUMMYFUNCTION("GOOGLETRANSLATE(C233,""fr"",""en"")"),"Following a self -listed disaster dating from March 31, 2021 I am not at all satisfied with the services of MAIF. Following an inadequacy in the declarations I had a dozen interlocutors with as many versions and information given as contact. We have never"&amp;" been recalled and we have always been on the initiative of calls.
After multiple reminders, a member took control of our file to apologize for all the inconsistencies and the processing time, he rules in our favor immediately and attests to our good f"&amp;"aith. (The disaster manager also).
However, an increase will still be applied the following year. In the incomprehension of this decision we decide again to contact customer service and ... Same story we are broken from service to service.
We decide"&amp;" to make a complaint at the address indicated (reclamation@maif.fr) by explaining the situation and requesting the cancellation of the increase. To which we are answered today, to request a review of the file at the same address as above. I join the opini"&amp;"on of a lower member who says that MAIF have dilatory measures aimed at backing down the processing of a file .... to discourage the insured to go after his approach ??
I am always in the incomprehension of the management of files, why redo the same re"&amp;"quest in the same service, why the information given is never the same from one advisor to another.
I am very disappointed with the MAIF services.
")</f>
        <v>Following a self -listed disaster dating from March 31, 2021 I am not at all satisfied with the services of MAIF. Following an inadequacy in the declarations I had a dozen interlocutors with as many versions and information given as contact. We have never been recalled and we have always been on the initiative of calls.
After multiple reminders, a member took control of our file to apologize for all the inconsistencies and the processing time, he rules in our favor immediately and attests to our good faith. (The disaster manager also).
However, an increase will still be applied the following year. In the incomprehension of this decision we decide again to contact customer service and ... Same story we are broken from service to service.
We decide to make a complaint at the address indicated (reclamation@maif.fr) by explaining the situation and requesting the cancellation of the increase. To which we are answered today, to request a review of the file at the same address as above. I join the opinion of a lower member who says that MAIF have dilatory measures aimed at backing down the processing of a file .... to discourage the insured to go after his approach ??
I am always in the incomprehension of the management of files, why redo the same request in the same service, why the information given is never the same from one advisor to another.
I am very disappointed with the MAIF services.
</v>
      </c>
    </row>
    <row r="234" ht="15.75" customHeight="1">
      <c r="A234" s="2">
        <v>1.0</v>
      </c>
      <c r="B234" s="2" t="s">
        <v>775</v>
      </c>
      <c r="C234" s="2" t="s">
        <v>776</v>
      </c>
      <c r="D234" s="2" t="s">
        <v>30</v>
      </c>
      <c r="E234" s="2" t="s">
        <v>31</v>
      </c>
      <c r="F234" s="2" t="s">
        <v>15</v>
      </c>
      <c r="G234" s="2" t="s">
        <v>46</v>
      </c>
      <c r="H234" s="2" t="s">
        <v>47</v>
      </c>
      <c r="I234" s="2" t="str">
        <f>IFERROR(__xludf.DUMMYFUNCTION("GOOGLETRANSLATE(C234,""fr"",""en"")"),"By far the worst insurance, like the others insured no response to messages left via website. I am reassured to see that it is not just me that we hang up on the noses when they do not know the answer by laughing at the nose. I have been waiting for reimb"&amp;"ursements for 6 months of the orthodontist of my children or 700 euros. I have the payments of the other reimbursements which are insignificant but not those. I sent a letter to the mediator who stipulates me that Mercer is a broker and that I must write "&amp;"to the insurer but I do not find the answer because I do not have access to the general conditions. Support someone knows the insurer, I am interested. Courage to all")</f>
        <v>By far the worst insurance, like the others insured no response to messages left via website. I am reassured to see that it is not just me that we hang up on the noses when they do not know the answer by laughing at the nose. I have been waiting for reimbursements for 6 months of the orthodontist of my children or 700 euros. I have the payments of the other reimbursements which are insignificant but not those. I sent a letter to the mediator who stipulates me that Mercer is a broker and that I must write to the insurer but I do not find the answer because I do not have access to the general conditions. Support someone knows the insurer, I am interested. Courage to all</v>
      </c>
    </row>
    <row r="235" ht="15.75" customHeight="1">
      <c r="A235" s="2">
        <v>4.0</v>
      </c>
      <c r="B235" s="2" t="s">
        <v>777</v>
      </c>
      <c r="C235" s="2" t="s">
        <v>778</v>
      </c>
      <c r="D235" s="2" t="s">
        <v>55</v>
      </c>
      <c r="E235" s="2" t="s">
        <v>14</v>
      </c>
      <c r="F235" s="2" t="s">
        <v>15</v>
      </c>
      <c r="G235" s="2" t="s">
        <v>779</v>
      </c>
      <c r="H235" s="2" t="s">
        <v>178</v>
      </c>
      <c r="I235" s="2" t="str">
        <f>IFERROR(__xludf.DUMMYFUNCTION("GOOGLETRANSLATE(C235,""fr"",""en"")"),"Hello.
I asked for my Pacifica insurance, for my chimney insert, (split window) on quote by phone, the sum was available within 48 hours, warm welcome listening to customers and speed of files. I recommend this insurance.")</f>
        <v>Hello.
I asked for my Pacifica insurance, for my chimney insert, (split window) on quote by phone, the sum was available within 48 hours, warm welcome listening to customers and speed of files. I recommend this insurance.</v>
      </c>
    </row>
    <row r="236" ht="15.75" customHeight="1">
      <c r="A236" s="2">
        <v>5.0</v>
      </c>
      <c r="B236" s="2" t="s">
        <v>780</v>
      </c>
      <c r="C236" s="2" t="s">
        <v>781</v>
      </c>
      <c r="D236" s="2" t="s">
        <v>93</v>
      </c>
      <c r="E236" s="2" t="s">
        <v>37</v>
      </c>
      <c r="F236" s="2" t="s">
        <v>15</v>
      </c>
      <c r="G236" s="2" t="s">
        <v>782</v>
      </c>
      <c r="H236" s="2" t="s">
        <v>269</v>
      </c>
      <c r="I236" s="2" t="str">
        <f>IFERROR(__xludf.DUMMYFUNCTION("GOOGLETRANSLATE(C236,""fr"",""en"")"),"We have been in the Matmut for 11 years. We are 100% satisfied. For each question / an answer or a solution to find. Human and benevolent contact at the Matmut avenue de Versailles Paris 75016 agency.")</f>
        <v>We have been in the Matmut for 11 years. We are 100% satisfied. For each question / an answer or a solution to find. Human and benevolent contact at the Matmut avenue de Versailles Paris 75016 agency.</v>
      </c>
    </row>
    <row r="237" ht="15.75" customHeight="1">
      <c r="A237" s="2">
        <v>2.0</v>
      </c>
      <c r="B237" s="2" t="s">
        <v>783</v>
      </c>
      <c r="C237" s="2" t="s">
        <v>784</v>
      </c>
      <c r="D237" s="2" t="s">
        <v>13</v>
      </c>
      <c r="E237" s="2" t="s">
        <v>14</v>
      </c>
      <c r="F237" s="2" t="s">
        <v>15</v>
      </c>
      <c r="G237" s="2" t="s">
        <v>785</v>
      </c>
      <c r="H237" s="2" t="s">
        <v>213</v>
      </c>
      <c r="I237" s="2" t="str">
        <f>IFERROR(__xludf.DUMMYFUNCTION("GOOGLETRANSLATE(C237,""fr"",""en"")"),"Hello, this is the 3rd time that the Olivier Insurance has been exchanging me. I am very disappointed with the after-sales service of this insurance. The employees in general are very friendly and correct but they must obey instructions which are not mora"&amp;"lly and ethically acceptable. I think there are some of the voluntary omissions. When we contract with this insurance, she forces us to pay by bank card immediately for the year and when we wish to monthly the following year we cannot do it. The only solu"&amp;"tion proposed by the olive tree: terminating your contract to take out a new one is paid for another 35 euros in costs.
I was too honest and too stupid: when I realized that I was driving a lot with my new vehicle, I called to have to modify the estimate"&amp;"d number of kilometers in the year and the olive assurance m ' billed 21 euros. I will still have one last to tell you that cost me 20 euros but I will give you the details.")</f>
        <v>Hello, this is the 3rd time that the Olivier Insurance has been exchanging me. I am very disappointed with the after-sales service of this insurance. The employees in general are very friendly and correct but they must obey instructions which are not morally and ethically acceptable. I think there are some of the voluntary omissions. When we contract with this insurance, she forces us to pay by bank card immediately for the year and when we wish to monthly the following year we cannot do it. The only solution proposed by the olive tree: terminating your contract to take out a new one is paid for another 35 euros in costs.
I was too honest and too stupid: when I realized that I was driving a lot with my new vehicle, I called to have to modify the estimated number of kilometers in the year and the olive assurance m ' billed 21 euros. I will still have one last to tell you that cost me 20 euros but I will give you the details.</v>
      </c>
    </row>
    <row r="238" ht="15.75" customHeight="1">
      <c r="A238" s="2">
        <v>4.0</v>
      </c>
      <c r="B238" s="2" t="s">
        <v>786</v>
      </c>
      <c r="C238" s="2" t="s">
        <v>787</v>
      </c>
      <c r="D238" s="2" t="s">
        <v>125</v>
      </c>
      <c r="E238" s="2" t="s">
        <v>14</v>
      </c>
      <c r="F238" s="2" t="s">
        <v>15</v>
      </c>
      <c r="G238" s="2" t="s">
        <v>65</v>
      </c>
      <c r="H238" s="2" t="s">
        <v>43</v>
      </c>
      <c r="I238" s="2" t="str">
        <f>IFERROR(__xludf.DUMMYFUNCTION("GOOGLETRANSLATE(C238,""fr"",""en"")"),"The prices suit me for the moment and are going into my budget! I will redo the point soon to find out if I have other changes to make.")</f>
        <v>The prices suit me for the moment and are going into my budget! I will redo the point soon to find out if I have other changes to make.</v>
      </c>
    </row>
    <row r="239" ht="15.75" customHeight="1">
      <c r="A239" s="2">
        <v>5.0</v>
      </c>
      <c r="B239" s="2" t="s">
        <v>788</v>
      </c>
      <c r="C239" s="2" t="s">
        <v>789</v>
      </c>
      <c r="D239" s="2" t="s">
        <v>790</v>
      </c>
      <c r="E239" s="2" t="s">
        <v>121</v>
      </c>
      <c r="F239" s="2" t="s">
        <v>15</v>
      </c>
      <c r="G239" s="2" t="s">
        <v>791</v>
      </c>
      <c r="H239" s="2" t="s">
        <v>297</v>
      </c>
      <c r="I239" s="2" t="str">
        <f>IFERROR(__xludf.DUMMYFUNCTION("GOOGLETRANSLATE(C239,""fr"",""en"")"),"Very satisfied with my insurance at home, very good borrower insurance, cheap in addition. I recommend this insurance company. It is not for nothing that they are the first insurer of people in France.")</f>
        <v>Very satisfied with my insurance at home, very good borrower insurance, cheap in addition. I recommend this insurance company. It is not for nothing that they are the first insurer of people in France.</v>
      </c>
    </row>
    <row r="240" ht="15.75" customHeight="1">
      <c r="A240" s="2">
        <v>3.0</v>
      </c>
      <c r="B240" s="2" t="s">
        <v>792</v>
      </c>
      <c r="C240" s="2" t="s">
        <v>793</v>
      </c>
      <c r="D240" s="2" t="s">
        <v>576</v>
      </c>
      <c r="E240" s="2" t="s">
        <v>14</v>
      </c>
      <c r="F240" s="2" t="s">
        <v>15</v>
      </c>
      <c r="G240" s="2" t="s">
        <v>794</v>
      </c>
      <c r="H240" s="2" t="s">
        <v>137</v>
      </c>
      <c r="I240" s="2" t="str">
        <f>IFERROR(__xludf.DUMMYFUNCTION("GOOGLETRANSLATE(C240,""fr"",""en"")"),"We called 15 days ago to ensure our new vehicle. We received, following that, an insurance contract for a vehicle that does not exist since they indicated the brand of the new vehicle but the plaque of the old ... New call: categorically refused commercia"&amp;"l gesture, and We are still waiting for the insurance certificate ... So it's been 12 days since we pay insurance for a vehicle that we cannot use ...
Goodbye Eurofil!")</f>
        <v>We called 15 days ago to ensure our new vehicle. We received, following that, an insurance contract for a vehicle that does not exist since they indicated the brand of the new vehicle but the plaque of the old ... New call: categorically refused commercial gesture, and We are still waiting for the insurance certificate ... So it's been 12 days since we pay insurance for a vehicle that we cannot use ...
Goodbye Eurofil!</v>
      </c>
    </row>
    <row r="241" ht="15.75" customHeight="1">
      <c r="A241" s="2">
        <v>4.0</v>
      </c>
      <c r="B241" s="2" t="s">
        <v>795</v>
      </c>
      <c r="C241" s="2" t="s">
        <v>796</v>
      </c>
      <c r="D241" s="2" t="s">
        <v>50</v>
      </c>
      <c r="E241" s="2" t="s">
        <v>51</v>
      </c>
      <c r="F241" s="2" t="s">
        <v>15</v>
      </c>
      <c r="G241" s="2" t="s">
        <v>797</v>
      </c>
      <c r="H241" s="2" t="s">
        <v>85</v>
      </c>
      <c r="I241" s="2" t="str">
        <f>IFERROR(__xludf.DUMMYFUNCTION("GOOGLETRANSLATE(C241,""fr"",""en"")"),"Prices suit me.
The subscription is clear, simple as well as the description of the guarantees.
Hoping that monitoring and support in the event of a disaster or other is just as effective.")</f>
        <v>Prices suit me.
The subscription is clear, simple as well as the description of the guarantees.
Hoping that monitoring and support in the event of a disaster or other is just as effective.</v>
      </c>
    </row>
    <row r="242" ht="15.75" customHeight="1">
      <c r="A242" s="2">
        <v>1.0</v>
      </c>
      <c r="B242" s="2" t="s">
        <v>798</v>
      </c>
      <c r="C242" s="2" t="s">
        <v>799</v>
      </c>
      <c r="D242" s="2" t="s">
        <v>60</v>
      </c>
      <c r="E242" s="2" t="s">
        <v>21</v>
      </c>
      <c r="F242" s="2" t="s">
        <v>15</v>
      </c>
      <c r="G242" s="2" t="s">
        <v>800</v>
      </c>
      <c r="H242" s="2" t="s">
        <v>367</v>
      </c>
      <c r="I242" s="2" t="str">
        <f>IFERROR(__xludf.DUMMYFUNCTION("GOOGLETRANSLATE(C242,""fr"",""en"")"),"In departure, he makes an interesting a little contract, and after he changes you")</f>
        <v>In departure, he makes an interesting a little contract, and after he changes you</v>
      </c>
    </row>
    <row r="243" ht="15.75" customHeight="1">
      <c r="A243" s="2">
        <v>2.0</v>
      </c>
      <c r="B243" s="2" t="s">
        <v>801</v>
      </c>
      <c r="C243" s="2" t="s">
        <v>802</v>
      </c>
      <c r="D243" s="2" t="s">
        <v>36</v>
      </c>
      <c r="E243" s="2" t="s">
        <v>14</v>
      </c>
      <c r="F243" s="2" t="s">
        <v>15</v>
      </c>
      <c r="G243" s="2" t="s">
        <v>749</v>
      </c>
      <c r="H243" s="2" t="s">
        <v>171</v>
      </c>
      <c r="I243" s="2" t="str">
        <f>IFERROR(__xludf.DUMMYFUNCTION("GOOGLETRANSLATE(C243,""fr"",""en"")"),"
I followed prices
I am not satisfied to predress the time currently
In addition I weighed I have resilled the insurance of the apartment boulevard raspail")</f>
        <v>
I followed prices
I am not satisfied to predress the time currently
In addition I weighed I have resilled the insurance of the apartment boulevard raspail</v>
      </c>
    </row>
    <row r="244" ht="15.75" customHeight="1">
      <c r="A244" s="2">
        <v>2.0</v>
      </c>
      <c r="B244" s="2" t="s">
        <v>803</v>
      </c>
      <c r="C244" s="2" t="s">
        <v>804</v>
      </c>
      <c r="D244" s="2" t="s">
        <v>93</v>
      </c>
      <c r="E244" s="2" t="s">
        <v>14</v>
      </c>
      <c r="F244" s="2" t="s">
        <v>15</v>
      </c>
      <c r="G244" s="2" t="s">
        <v>805</v>
      </c>
      <c r="H244" s="2" t="s">
        <v>320</v>
      </c>
      <c r="I244" s="2" t="str">
        <f>IFERROR(__xludf.DUMMYFUNCTION("GOOGLETRANSLATE(C244,""fr"",""en"")"),"After 40 years what disappointment in the treatment of a simple hanging in roundabout when I am not responsible. Simply because it lacks a precision of my opponent who did not mention the change of direction. No response to my recovery following the compl"&amp;"aint, that is to say that I tell them about my disappointment and my intention to leave. Dematerialized exchanges, more customer relationships, treatment of simplified 50/50 dispute. I am disgusted it will cost me 200th while I am for nothing. I will chan"&amp;"ge company, the loyalty is no longer recognized, what it is ultimately used to favor an insurance with offices.")</f>
        <v>After 40 years what disappointment in the treatment of a simple hanging in roundabout when I am not responsible. Simply because it lacks a precision of my opponent who did not mention the change of direction. No response to my recovery following the complaint, that is to say that I tell them about my disappointment and my intention to leave. Dematerialized exchanges, more customer relationships, treatment of simplified 50/50 dispute. I am disgusted it will cost me 200th while I am for nothing. I will change company, the loyalty is no longer recognized, what it is ultimately used to favor an insurance with offices.</v>
      </c>
    </row>
    <row r="245" ht="15.75" customHeight="1">
      <c r="A245" s="2">
        <v>3.0</v>
      </c>
      <c r="B245" s="2" t="s">
        <v>806</v>
      </c>
      <c r="C245" s="2" t="s">
        <v>807</v>
      </c>
      <c r="D245" s="2" t="s">
        <v>36</v>
      </c>
      <c r="E245" s="2" t="s">
        <v>14</v>
      </c>
      <c r="F245" s="2" t="s">
        <v>15</v>
      </c>
      <c r="G245" s="2" t="s">
        <v>808</v>
      </c>
      <c r="H245" s="2" t="s">
        <v>85</v>
      </c>
      <c r="I245" s="2" t="str">
        <f>IFERROR(__xludf.DUMMYFUNCTION("GOOGLETRANSLATE(C245,""fr"",""en"")"),"I am satisfied with the price it suits me and it's more practical
Even if it's slightly expensive, in addition the staff are really attentive")</f>
        <v>I am satisfied with the price it suits me and it's more practical
Even if it's slightly expensive, in addition the staff are really attentive</v>
      </c>
    </row>
    <row r="246" ht="15.75" customHeight="1">
      <c r="A246" s="2">
        <v>1.0</v>
      </c>
      <c r="B246" s="2" t="s">
        <v>809</v>
      </c>
      <c r="C246" s="2" t="s">
        <v>810</v>
      </c>
      <c r="D246" s="2" t="s">
        <v>642</v>
      </c>
      <c r="E246" s="2" t="s">
        <v>31</v>
      </c>
      <c r="F246" s="2" t="s">
        <v>15</v>
      </c>
      <c r="G246" s="2" t="s">
        <v>811</v>
      </c>
      <c r="H246" s="2" t="s">
        <v>137</v>
      </c>
      <c r="I246" s="2" t="str">
        <f>IFERROR(__xludf.DUMMYFUNCTION("GOOGLETRANSLATE(C246,""fr"",""en"")"),"I was at the MGEN for more than 30 years, my observation is the following the reimbursements are average and very little personalized info on our health formula. When you want to resign you we threaten you, you will be removed definitively you can never c"&amp;"ome back again, while in reality you are taken out the red carpet as soon as you want to re -join you even offer more interesting offers than those of the ancients Members to whom we never offer anything more except the increase in contributions! A real s"&amp;"candal! Loyalty is not rewarded for profit")</f>
        <v>I was at the MGEN for more than 30 years, my observation is the following the reimbursements are average and very little personalized info on our health formula. When you want to resign you we threaten you, you will be removed definitively you can never come back again, while in reality you are taken out the red carpet as soon as you want to re -join you even offer more interesting offers than those of the ancients Members to whom we never offer anything more except the increase in contributions! A real scandal! Loyalty is not rewarded for profit</v>
      </c>
    </row>
    <row r="247" ht="15.75" customHeight="1">
      <c r="A247" s="2">
        <v>1.0</v>
      </c>
      <c r="B247" s="2" t="s">
        <v>812</v>
      </c>
      <c r="C247" s="2" t="s">
        <v>813</v>
      </c>
      <c r="D247" s="2" t="s">
        <v>304</v>
      </c>
      <c r="E247" s="2" t="s">
        <v>21</v>
      </c>
      <c r="F247" s="2" t="s">
        <v>15</v>
      </c>
      <c r="G247" s="2" t="s">
        <v>814</v>
      </c>
      <c r="H247" s="2" t="s">
        <v>171</v>
      </c>
      <c r="I247" s="2" t="str">
        <f>IFERROR(__xludf.DUMMYFUNCTION("GOOGLETRANSLATE(C247,""fr"",""en"")"),"File in progress for 3 months. Okay of the missing papers, while all the documents were sent by email and by mail with ar. They drag I do not recommend at all")</f>
        <v>File in progress for 3 months. Okay of the missing papers, while all the documents were sent by email and by mail with ar. They drag I do not recommend at all</v>
      </c>
    </row>
    <row r="248" ht="15.75" customHeight="1">
      <c r="A248" s="2">
        <v>4.0</v>
      </c>
      <c r="B248" s="2" t="s">
        <v>815</v>
      </c>
      <c r="C248" s="2" t="s">
        <v>816</v>
      </c>
      <c r="D248" s="2" t="s">
        <v>36</v>
      </c>
      <c r="E248" s="2" t="s">
        <v>14</v>
      </c>
      <c r="F248" s="2" t="s">
        <v>15</v>
      </c>
      <c r="G248" s="2" t="s">
        <v>817</v>
      </c>
      <c r="H248" s="2" t="s">
        <v>27</v>
      </c>
      <c r="I248" s="2" t="str">
        <f>IFERROR(__xludf.DUMMYFUNCTION("GOOGLETRANSLATE(C248,""fr"",""en"")"),"Level value for price niquel and guaranteed level too, I recommend 100% test OK, I recommend direct insurance for all insured cordially Cyril")</f>
        <v>Level value for price niquel and guaranteed level too, I recommend 100% test OK, I recommend direct insurance for all insured cordially Cyril</v>
      </c>
    </row>
    <row r="249" ht="15.75" customHeight="1">
      <c r="A249" s="2">
        <v>4.0</v>
      </c>
      <c r="B249" s="2" t="s">
        <v>818</v>
      </c>
      <c r="C249" s="2" t="s">
        <v>819</v>
      </c>
      <c r="D249" s="2" t="s">
        <v>13</v>
      </c>
      <c r="E249" s="2" t="s">
        <v>14</v>
      </c>
      <c r="F249" s="2" t="s">
        <v>15</v>
      </c>
      <c r="G249" s="2" t="s">
        <v>820</v>
      </c>
      <c r="H249" s="2" t="s">
        <v>230</v>
      </c>
      <c r="I249" s="2" t="str">
        <f>IFERROR(__xludf.DUMMYFUNCTION("GOOGLETRANSLATE(C249,""fr"",""en"")"),"I am satisfied with service for the PRID is for the service is even for calling telephone. Easy to join the teleconsillers is the platform with a very good explanation of the contracts")</f>
        <v>I am satisfied with service for the PRID is for the service is even for calling telephone. Easy to join the teleconsillers is the platform with a very good explanation of the contracts</v>
      </c>
    </row>
    <row r="250" ht="15.75" customHeight="1">
      <c r="A250" s="2">
        <v>2.0</v>
      </c>
      <c r="B250" s="2" t="s">
        <v>821</v>
      </c>
      <c r="C250" s="2" t="s">
        <v>822</v>
      </c>
      <c r="D250" s="2" t="s">
        <v>36</v>
      </c>
      <c r="E250" s="2" t="s">
        <v>14</v>
      </c>
      <c r="F250" s="2" t="s">
        <v>15</v>
      </c>
      <c r="G250" s="2" t="s">
        <v>823</v>
      </c>
      <c r="H250" s="2" t="s">
        <v>27</v>
      </c>
      <c r="I250" s="2" t="str">
        <f>IFERROR(__xludf.DUMMYFUNCTION("GOOGLETRANSLATE(C250,""fr"",""en"")"),"Not always satisfied because never received my 2021 certificate on my Honda Accord assured at home. I would like the insurance certificate for the following year to be automatic. THANK YOU")</f>
        <v>Not always satisfied because never received my 2021 certificate on my Honda Accord assured at home. I would like the insurance certificate for the following year to be automatic. THANK YOU</v>
      </c>
    </row>
    <row r="251" ht="15.75" customHeight="1">
      <c r="A251" s="2">
        <v>1.0</v>
      </c>
      <c r="B251" s="2" t="s">
        <v>824</v>
      </c>
      <c r="C251" s="2" t="s">
        <v>825</v>
      </c>
      <c r="D251" s="2" t="s">
        <v>826</v>
      </c>
      <c r="E251" s="2" t="s">
        <v>37</v>
      </c>
      <c r="F251" s="2" t="s">
        <v>15</v>
      </c>
      <c r="G251" s="2" t="s">
        <v>827</v>
      </c>
      <c r="H251" s="2" t="s">
        <v>85</v>
      </c>
      <c r="I251" s="2" t="str">
        <f>IFERROR(__xludf.DUMMYFUNCTION("GOOGLETRANSLATE(C251,""fr"",""en"")"),"This insurance, arranges very well so as not to take care of claims ... on a water damage file for example, it is you who serve as an intermediary between the condominium, the neighbors and all other stakeholders so to say that when You are not an expert,"&amp;" it is complicated. Insurance to flee! I have to take it to validate a loan from Société Générale and this is the result")</f>
        <v>This insurance, arranges very well so as not to take care of claims ... on a water damage file for example, it is you who serve as an intermediary between the condominium, the neighbors and all other stakeholders so to say that when You are not an expert, it is complicated. Insurance to flee! I have to take it to validate a loan from Société Générale and this is the result</v>
      </c>
    </row>
    <row r="252" ht="15.75" customHeight="1">
      <c r="A252" s="2">
        <v>3.0</v>
      </c>
      <c r="B252" s="2" t="s">
        <v>828</v>
      </c>
      <c r="C252" s="2" t="s">
        <v>829</v>
      </c>
      <c r="D252" s="2" t="s">
        <v>36</v>
      </c>
      <c r="E252" s="2" t="s">
        <v>14</v>
      </c>
      <c r="F252" s="2" t="s">
        <v>15</v>
      </c>
      <c r="G252" s="2" t="s">
        <v>772</v>
      </c>
      <c r="H252" s="2" t="s">
        <v>33</v>
      </c>
      <c r="I252" s="2" t="str">
        <f>IFERROR(__xludf.DUMMYFUNCTION("GOOGLETRANSLATE(C252,""fr"",""en"")"),"I am satisfied with the services at first but I find the price rather high ...
Hope that the problem of prices will change quickly ...
Thank you for your help")</f>
        <v>I am satisfied with the services at first but I find the price rather high ...
Hope that the problem of prices will change quickly ...
Thank you for your help</v>
      </c>
    </row>
    <row r="253" ht="15.75" customHeight="1">
      <c r="A253" s="2">
        <v>1.0</v>
      </c>
      <c r="B253" s="2" t="s">
        <v>830</v>
      </c>
      <c r="C253" s="2" t="s">
        <v>831</v>
      </c>
      <c r="D253" s="2" t="s">
        <v>60</v>
      </c>
      <c r="E253" s="2" t="s">
        <v>37</v>
      </c>
      <c r="F253" s="2" t="s">
        <v>15</v>
      </c>
      <c r="G253" s="2" t="s">
        <v>832</v>
      </c>
      <c r="H253" s="2" t="s">
        <v>145</v>
      </c>
      <c r="I253" s="2" t="str">
        <f>IFERROR(__xludf.DUMMYFUNCTION("GOOGLETRANSLATE(C253,""fr"",""en"")"),"Home insurance for an apartment of 32 months 29 euros 51, the same home insurance at Crédit Mutuel 9 euros 70.
Always for the same home and the same guarantees see better.
He must have a problem of almost 20 euros.
Over a year I sat on almost 240 euros"&amp;". A shame.")</f>
        <v>Home insurance for an apartment of 32 months 29 euros 51, the same home insurance at Crédit Mutuel 9 euros 70.
Always for the same home and the same guarantees see better.
He must have a problem of almost 20 euros.
Over a year I sat on almost 240 euros. A shame.</v>
      </c>
    </row>
    <row r="254" ht="15.75" customHeight="1">
      <c r="A254" s="2">
        <v>1.0</v>
      </c>
      <c r="B254" s="2" t="s">
        <v>833</v>
      </c>
      <c r="C254" s="2" t="s">
        <v>834</v>
      </c>
      <c r="D254" s="2" t="s">
        <v>20</v>
      </c>
      <c r="E254" s="2" t="s">
        <v>14</v>
      </c>
      <c r="F254" s="2" t="s">
        <v>15</v>
      </c>
      <c r="G254" s="2" t="s">
        <v>835</v>
      </c>
      <c r="H254" s="2" t="s">
        <v>47</v>
      </c>
      <c r="I254" s="2" t="str">
        <f>IFERROR(__xludf.DUMMYFUNCTION("GOOGLETRANSLATE(C254,""fr"",""en"")"),"After a non -responsible disaster on my part AXA was reimbursed the garage costs by opposing insurance and do not pay the repairs. Total more than 1,200 euros at my charge while I have always paid my contributions and no claim in several years. If someone"&amp;" could help me style a lawyer it would be cool I have a child no employment and I struggle it is disgusting you have to do this insurance
Mon Tel 0614740982")</f>
        <v>After a non -responsible disaster on my part AXA was reimbursed the garage costs by opposing insurance and do not pay the repairs. Total more than 1,200 euros at my charge while I have always paid my contributions and no claim in several years. If someone could help me style a lawyer it would be cool I have a child no employment and I struggle it is disgusting you have to do this insurance
Mon Tel 0614740982</v>
      </c>
    </row>
    <row r="255" ht="15.75" customHeight="1">
      <c r="A255" s="2">
        <v>2.0</v>
      </c>
      <c r="B255" s="2" t="s">
        <v>836</v>
      </c>
      <c r="C255" s="2" t="s">
        <v>837</v>
      </c>
      <c r="D255" s="2" t="s">
        <v>838</v>
      </c>
      <c r="E255" s="2" t="s">
        <v>200</v>
      </c>
      <c r="F255" s="2" t="s">
        <v>15</v>
      </c>
      <c r="G255" s="2" t="s">
        <v>839</v>
      </c>
      <c r="H255" s="2" t="s">
        <v>297</v>
      </c>
      <c r="I255" s="2" t="str">
        <f>IFERROR(__xludf.DUMMYFUNCTION("GOOGLETRANSLATE(C255,""fr"",""en"")")," I signed an Metlife insurance contract for a mortgage in 2015. I would like to make a loan buyback from another banking establishment and I need documents that I have been asking since September 2019. I sent Another email, on January 29 to request an ins"&amp;"urance delegation to finalize my acquisition and I have still received nothing ... It is only a receipt of reception .... I don't know how to do it. ...")</f>
        <v> I signed an Metlife insurance contract for a mortgage in 2015. I would like to make a loan buyback from another banking establishment and I need documents that I have been asking since September 2019. I sent Another email, on January 29 to request an insurance delegation to finalize my acquisition and I have still received nothing ... It is only a receipt of reception .... I don't know how to do it. ...</v>
      </c>
    </row>
    <row r="256" ht="15.75" customHeight="1">
      <c r="A256" s="2">
        <v>2.0</v>
      </c>
      <c r="B256" s="2" t="s">
        <v>840</v>
      </c>
      <c r="C256" s="2" t="s">
        <v>841</v>
      </c>
      <c r="D256" s="2" t="s">
        <v>842</v>
      </c>
      <c r="E256" s="2" t="s">
        <v>31</v>
      </c>
      <c r="F256" s="2" t="s">
        <v>15</v>
      </c>
      <c r="G256" s="2" t="s">
        <v>843</v>
      </c>
      <c r="H256" s="2" t="s">
        <v>171</v>
      </c>
      <c r="I256" s="2" t="str">
        <f>IFERROR(__xludf.DUMMYFUNCTION("GOOGLETRANSLATE(C256,""fr"",""en"")"),"I was fully satisfied with the Mutual of the Midi with humanist values, warm contacts, real humans, since the AG2R recovered this mutual, the service is no longer the same, the computer platform a nightmare where we turn In the round, the impossibility of"&amp;" having proof for the year, no response to my emails, the impossibility of having a advice to change contracts, I recently received a commercial telephone call without taking in Count of my needs, all this while I am not sick, in short, I just have to loo"&amp;"k for a more satisfactory and above all more human mutual.")</f>
        <v>I was fully satisfied with the Mutual of the Midi with humanist values, warm contacts, real humans, since the AG2R recovered this mutual, the service is no longer the same, the computer platform a nightmare where we turn In the round, the impossibility of having proof for the year, no response to my emails, the impossibility of having a advice to change contracts, I recently received a commercial telephone call without taking in Count of my needs, all this while I am not sick, in short, I just have to look for a more satisfactory and above all more human mutual.</v>
      </c>
    </row>
    <row r="257" ht="15.75" customHeight="1">
      <c r="A257" s="2">
        <v>2.0</v>
      </c>
      <c r="B257" s="2" t="s">
        <v>844</v>
      </c>
      <c r="C257" s="2" t="s">
        <v>845</v>
      </c>
      <c r="D257" s="2" t="s">
        <v>60</v>
      </c>
      <c r="E257" s="2" t="s">
        <v>14</v>
      </c>
      <c r="F257" s="2" t="s">
        <v>15</v>
      </c>
      <c r="G257" s="2" t="s">
        <v>846</v>
      </c>
      <c r="H257" s="2" t="s">
        <v>149</v>
      </c>
      <c r="I257" s="2" t="str">
        <f>IFERROR(__xludf.DUMMYFUNCTION("GOOGLETRANSLATE(C257,""fr"",""en"")"),"0 pointed, unreachable whatever the service. After 5 years of insurance, I have terminated within 1 month (Lohamon) and always without news for 2 weeks. Falls down once, they must be joined as a priority to have their agreement, but always their stressful"&amp;" music, waiting scheduled 3 ', 17' after hangs up. Une shame, we pay to have a sticker to lean the police. All.
I found the happiness of obtaining an advisor at my new insurer 3 € less monthly and assistance 0km and not 50.")</f>
        <v>0 pointed, unreachable whatever the service. After 5 years of insurance, I have terminated within 1 month (Lohamon) and always without news for 2 weeks. Falls down once, they must be joined as a priority to have their agreement, but always their stressful music, waiting scheduled 3 ', 17' after hangs up. Une shame, we pay to have a sticker to lean the police. All.
I found the happiness of obtaining an advisor at my new insurer 3 € less monthly and assistance 0km and not 50.</v>
      </c>
    </row>
    <row r="258" ht="15.75" customHeight="1">
      <c r="A258" s="2">
        <v>3.0</v>
      </c>
      <c r="B258" s="2" t="s">
        <v>847</v>
      </c>
      <c r="C258" s="2" t="s">
        <v>848</v>
      </c>
      <c r="D258" s="2" t="s">
        <v>36</v>
      </c>
      <c r="E258" s="2" t="s">
        <v>14</v>
      </c>
      <c r="F258" s="2" t="s">
        <v>15</v>
      </c>
      <c r="G258" s="2" t="s">
        <v>849</v>
      </c>
      <c r="H258" s="2" t="s">
        <v>27</v>
      </c>
      <c r="I258" s="2" t="str">
        <f>IFERROR(__xludf.DUMMYFUNCTION("GOOGLETRANSLATE(C258,""fr"",""en"")"),"Prices seem normal to me in order to pay insurance that would be fided to the duties hoped for a third party or not broken with ice too")</f>
        <v>Prices seem normal to me in order to pay insurance that would be fided to the duties hoped for a third party or not broken with ice too</v>
      </c>
    </row>
    <row r="259" ht="15.75" customHeight="1">
      <c r="A259" s="2">
        <v>4.0</v>
      </c>
      <c r="B259" s="2" t="s">
        <v>850</v>
      </c>
      <c r="C259" s="2" t="s">
        <v>851</v>
      </c>
      <c r="D259" s="2" t="s">
        <v>125</v>
      </c>
      <c r="E259" s="2" t="s">
        <v>14</v>
      </c>
      <c r="F259" s="2" t="s">
        <v>15</v>
      </c>
      <c r="G259" s="2" t="s">
        <v>852</v>
      </c>
      <c r="H259" s="2" t="s">
        <v>356</v>
      </c>
      <c r="I259" s="2" t="str">
        <f>IFERROR(__xludf.DUMMYFUNCTION("GOOGLETRANSLATE(C259,""fr"",""en"")"),"Very old solid insurance with responsible offices and valid management. Nothing is overlooked and I am living proof, on the other hand its membership in Covea is a guarantee of seriousness and financial solidity")</f>
        <v>Very old solid insurance with responsible offices and valid management. Nothing is overlooked and I am living proof, on the other hand its membership in Covea is a guarantee of seriousness and financial solidity</v>
      </c>
    </row>
    <row r="260" ht="15.75" customHeight="1">
      <c r="A260" s="2">
        <v>1.0</v>
      </c>
      <c r="B260" s="2" t="s">
        <v>853</v>
      </c>
      <c r="C260" s="2" t="s">
        <v>854</v>
      </c>
      <c r="D260" s="2" t="s">
        <v>842</v>
      </c>
      <c r="E260" s="2" t="s">
        <v>31</v>
      </c>
      <c r="F260" s="2" t="s">
        <v>15</v>
      </c>
      <c r="G260" s="2" t="s">
        <v>855</v>
      </c>
      <c r="H260" s="2" t="s">
        <v>320</v>
      </c>
      <c r="I260" s="2" t="str">
        <f>IFERROR(__xludf.DUMMYFUNCTION("GOOGLETRANSLATE(C260,""fr"",""en"")"),"Insurance too expensive an increase at the start of the year reimbursements when they have time.
Result we changed my mutual insurance company with a saving of € 450 annual for 2 people.
Legal increase according to the person on the phone, she had nothi"&amp;"ng to do !!!!
")</f>
        <v>Insurance too expensive an increase at the start of the year reimbursements when they have time.
Result we changed my mutual insurance company with a saving of € 450 annual for 2 people.
Legal increase according to the person on the phone, she had nothing to do !!!!
</v>
      </c>
    </row>
    <row r="261" ht="15.75" customHeight="1">
      <c r="A261" s="2">
        <v>4.0</v>
      </c>
      <c r="B261" s="2" t="s">
        <v>856</v>
      </c>
      <c r="C261" s="2" t="s">
        <v>857</v>
      </c>
      <c r="D261" s="2" t="s">
        <v>36</v>
      </c>
      <c r="E261" s="2" t="s">
        <v>14</v>
      </c>
      <c r="F261" s="2" t="s">
        <v>15</v>
      </c>
      <c r="G261" s="2" t="s">
        <v>858</v>
      </c>
      <c r="H261" s="2" t="s">
        <v>85</v>
      </c>
      <c r="I261" s="2" t="str">
        <f>IFERROR(__xludf.DUMMYFUNCTION("GOOGLETRANSLATE(C261,""fr"",""en"")"),"It would take more date of authorization to take place on current files because blocking a date which no longer corresponds to the date of payment of the salary is very complicated")</f>
        <v>It would take more date of authorization to take place on current files because blocking a date which no longer corresponds to the date of payment of the salary is very complicated</v>
      </c>
    </row>
    <row r="262" ht="15.75" customHeight="1">
      <c r="A262" s="2">
        <v>4.0</v>
      </c>
      <c r="B262" s="2" t="s">
        <v>859</v>
      </c>
      <c r="C262" s="2" t="s">
        <v>860</v>
      </c>
      <c r="D262" s="2" t="s">
        <v>36</v>
      </c>
      <c r="E262" s="2" t="s">
        <v>14</v>
      </c>
      <c r="F262" s="2" t="s">
        <v>15</v>
      </c>
      <c r="G262" s="2" t="s">
        <v>861</v>
      </c>
      <c r="H262" s="2" t="s">
        <v>43</v>
      </c>
      <c r="I262" s="2" t="str">
        <f>IFERROR(__xludf.DUMMYFUNCTION("GOOGLETRANSLATE(C262,""fr"",""en"")"),"Simple and practical the price suits me and satisfied with the service and very kind personal they are at your disposal and informs you correctly thank you to them")</f>
        <v>Simple and practical the price suits me and satisfied with the service and very kind personal they are at your disposal and informs you correctly thank you to them</v>
      </c>
    </row>
    <row r="263" ht="15.75" customHeight="1">
      <c r="A263" s="2">
        <v>5.0</v>
      </c>
      <c r="B263" s="2" t="s">
        <v>862</v>
      </c>
      <c r="C263" s="2" t="s">
        <v>863</v>
      </c>
      <c r="D263" s="2" t="s">
        <v>300</v>
      </c>
      <c r="E263" s="2" t="s">
        <v>121</v>
      </c>
      <c r="F263" s="2" t="s">
        <v>15</v>
      </c>
      <c r="G263" s="2" t="s">
        <v>309</v>
      </c>
      <c r="H263" s="2" t="s">
        <v>43</v>
      </c>
      <c r="I263" s="2" t="str">
        <f>IFERROR(__xludf.DUMMYFUNCTION("GOOGLETRANSLATE(C263,""fr"",""en"")"),"I came into contact following a death, the gentleman who came to my house advised me very well so that I stay with you with life insurance. This person is always present when you need information. Except at the time of the holidays but I had an email addr"&amp;"ess in Neuilly and no problem everything was solved very quickly.")</f>
        <v>I came into contact following a death, the gentleman who came to my house advised me very well so that I stay with you with life insurance. This person is always present when you need information. Except at the time of the holidays but I had an email address in Neuilly and no problem everything was solved very quickly.</v>
      </c>
    </row>
    <row r="264" ht="15.75" customHeight="1">
      <c r="A264" s="2">
        <v>3.0</v>
      </c>
      <c r="B264" s="2" t="s">
        <v>864</v>
      </c>
      <c r="C264" s="2" t="s">
        <v>865</v>
      </c>
      <c r="D264" s="2" t="s">
        <v>50</v>
      </c>
      <c r="E264" s="2" t="s">
        <v>51</v>
      </c>
      <c r="F264" s="2" t="s">
        <v>15</v>
      </c>
      <c r="G264" s="2" t="s">
        <v>113</v>
      </c>
      <c r="H264" s="2" t="s">
        <v>43</v>
      </c>
      <c r="I264" s="2" t="str">
        <f>IFERROR(__xludf.DUMMYFUNCTION("GOOGLETRANSLATE(C264,""fr"",""en"")"),"Super fairly fast price we will see the quality and efficiency of the insurance afterwards but for the moment quite fast anyway but my opinion must make volume alor I finish with a sentence without interest")</f>
        <v>Super fairly fast price we will see the quality and efficiency of the insurance afterwards but for the moment quite fast anyway but my opinion must make volume alor I finish with a sentence without interest</v>
      </c>
    </row>
    <row r="265" ht="15.75" customHeight="1">
      <c r="A265" s="2">
        <v>4.0</v>
      </c>
      <c r="B265" s="2" t="s">
        <v>866</v>
      </c>
      <c r="C265" s="2" t="s">
        <v>867</v>
      </c>
      <c r="D265" s="2" t="s">
        <v>616</v>
      </c>
      <c r="E265" s="2" t="s">
        <v>37</v>
      </c>
      <c r="F265" s="2" t="s">
        <v>15</v>
      </c>
      <c r="G265" s="2" t="s">
        <v>868</v>
      </c>
      <c r="H265" s="2" t="s">
        <v>276</v>
      </c>
      <c r="I265" s="2" t="str">
        <f>IFERROR(__xludf.DUMMYFUNCTION("GOOGLETRANSLATE(C265,""fr"",""en"")"),"Absolutely delighted with Groupama, my advice is very responsive, I think that in the group of a group (Groupama or other) the quality of the advisor clearly makes the difference. Mine at Groupama is perfect.")</f>
        <v>Absolutely delighted with Groupama, my advice is very responsive, I think that in the group of a group (Groupama or other) the quality of the advisor clearly makes the difference. Mine at Groupama is perfect.</v>
      </c>
    </row>
    <row r="266" ht="15.75" customHeight="1">
      <c r="A266" s="2">
        <v>4.0</v>
      </c>
      <c r="B266" s="2" t="s">
        <v>869</v>
      </c>
      <c r="C266" s="2" t="s">
        <v>870</v>
      </c>
      <c r="D266" s="2" t="s">
        <v>13</v>
      </c>
      <c r="E266" s="2" t="s">
        <v>14</v>
      </c>
      <c r="F266" s="2" t="s">
        <v>15</v>
      </c>
      <c r="G266" s="2" t="s">
        <v>871</v>
      </c>
      <c r="H266" s="2" t="s">
        <v>145</v>
      </c>
      <c r="I266" s="2" t="str">
        <f>IFERROR(__xludf.DUMMYFUNCTION("GOOGLETRANSLATE(C266,""fr"",""en"")"),"Nothing to say satisfied with quality and responsiveness. Not concern for me my wife and I are happy with the kindness of the interlocutors thank you")</f>
        <v>Nothing to say satisfied with quality and responsiveness. Not concern for me my wife and I are happy with the kindness of the interlocutors thank you</v>
      </c>
    </row>
    <row r="267" ht="15.75" customHeight="1">
      <c r="A267" s="2">
        <v>2.0</v>
      </c>
      <c r="B267" s="2" t="s">
        <v>872</v>
      </c>
      <c r="C267" s="2" t="s">
        <v>873</v>
      </c>
      <c r="D267" s="2" t="s">
        <v>93</v>
      </c>
      <c r="E267" s="2" t="s">
        <v>37</v>
      </c>
      <c r="F267" s="2" t="s">
        <v>15</v>
      </c>
      <c r="G267" s="2" t="s">
        <v>326</v>
      </c>
      <c r="H267" s="2" t="s">
        <v>73</v>
      </c>
      <c r="I267" s="2" t="str">
        <f>IFERROR(__xludf.DUMMYFUNCTION("GOOGLETRANSLATE(C267,""fr"",""en"")"),"Insured at home for a long time, I had a problem of forcing my gateway in January 2019.
Today in July 2020 still not reimbursed for the intervention billed 500 euros, despite sending the said invoice on several occasions, inadmissible!")</f>
        <v>Insured at home for a long time, I had a problem of forcing my gateway in January 2019.
Today in July 2020 still not reimbursed for the intervention billed 500 euros, despite sending the said invoice on several occasions, inadmissible!</v>
      </c>
    </row>
    <row r="268" ht="15.75" customHeight="1">
      <c r="A268" s="2">
        <v>3.0</v>
      </c>
      <c r="B268" s="2" t="s">
        <v>874</v>
      </c>
      <c r="C268" s="2" t="s">
        <v>875</v>
      </c>
      <c r="D268" s="2" t="s">
        <v>13</v>
      </c>
      <c r="E268" s="2" t="s">
        <v>14</v>
      </c>
      <c r="F268" s="2" t="s">
        <v>15</v>
      </c>
      <c r="G268" s="2" t="s">
        <v>876</v>
      </c>
      <c r="H268" s="2" t="s">
        <v>33</v>
      </c>
      <c r="I268" s="2" t="str">
        <f>IFERROR(__xludf.DUMMYFUNCTION("GOOGLETRANSLATE(C268,""fr"",""en"")"),"The prices suits me, for the moment all went well, I will see later how it will go. I admit that I am a little worried.")</f>
        <v>The prices suits me, for the moment all went well, I will see later how it will go. I admit that I am a little worried.</v>
      </c>
    </row>
    <row r="269" ht="15.75" customHeight="1">
      <c r="A269" s="2">
        <v>2.0</v>
      </c>
      <c r="B269" s="2" t="s">
        <v>877</v>
      </c>
      <c r="C269" s="2" t="s">
        <v>878</v>
      </c>
      <c r="D269" s="2" t="s">
        <v>430</v>
      </c>
      <c r="E269" s="2" t="s">
        <v>14</v>
      </c>
      <c r="F269" s="2" t="s">
        <v>15</v>
      </c>
      <c r="G269" s="2" t="s">
        <v>879</v>
      </c>
      <c r="H269" s="2" t="s">
        <v>880</v>
      </c>
      <c r="I269" s="2" t="str">
        <f>IFERROR(__xludf.DUMMYFUNCTION("GOOGLETRANSLATE(C269,""fr"",""en"")"),"I leave this insurance which is zero! I am never found when I call on the phone when I am insured with them")</f>
        <v>I leave this insurance which is zero! I am never found when I call on the phone when I am insured with them</v>
      </c>
    </row>
    <row r="270" ht="15.75" customHeight="1">
      <c r="A270" s="2">
        <v>3.0</v>
      </c>
      <c r="B270" s="2" t="s">
        <v>881</v>
      </c>
      <c r="C270" s="2" t="s">
        <v>882</v>
      </c>
      <c r="D270" s="2" t="s">
        <v>128</v>
      </c>
      <c r="E270" s="2" t="s">
        <v>51</v>
      </c>
      <c r="F270" s="2" t="s">
        <v>15</v>
      </c>
      <c r="G270" s="2" t="s">
        <v>883</v>
      </c>
      <c r="H270" s="2" t="s">
        <v>213</v>
      </c>
      <c r="I270" s="2" t="str">
        <f>IFERROR(__xludf.DUMMYFUNCTION("GOOGLETRANSLATE(C270,""fr"",""en"")"),"Contact details to offer to the interested parties !!!!!!!!!!!!!!!!!!!!!!!!!!!!!!!!!")</f>
        <v>Contact details to offer to the interested parties !!!!!!!!!!!!!!!!!!!!!!!!!!!!!!!!!</v>
      </c>
    </row>
    <row r="271" ht="15.75" customHeight="1">
      <c r="A271" s="2">
        <v>3.0</v>
      </c>
      <c r="B271" s="2" t="s">
        <v>884</v>
      </c>
      <c r="C271" s="2" t="s">
        <v>885</v>
      </c>
      <c r="D271" s="2" t="s">
        <v>60</v>
      </c>
      <c r="E271" s="2" t="s">
        <v>21</v>
      </c>
      <c r="F271" s="2" t="s">
        <v>15</v>
      </c>
      <c r="G271" s="2" t="s">
        <v>886</v>
      </c>
      <c r="H271" s="2" t="s">
        <v>436</v>
      </c>
      <c r="I271" s="2" t="str">
        <f>IFERROR(__xludf.DUMMYFUNCTION("GOOGLETRANSLATE(C271,""fr"",""en"")"),"Negative profitability 30% of loss of capital when requesting payment of my PERP. . Three mos to have imprecise answers.")</f>
        <v>Negative profitability 30% of loss of capital when requesting payment of my PERP. . Three mos to have imprecise answers.</v>
      </c>
    </row>
    <row r="272" ht="15.75" customHeight="1">
      <c r="A272" s="2">
        <v>4.0</v>
      </c>
      <c r="B272" s="2" t="s">
        <v>887</v>
      </c>
      <c r="C272" s="2" t="s">
        <v>888</v>
      </c>
      <c r="D272" s="2" t="s">
        <v>36</v>
      </c>
      <c r="E272" s="2" t="s">
        <v>14</v>
      </c>
      <c r="F272" s="2" t="s">
        <v>15</v>
      </c>
      <c r="G272" s="2" t="s">
        <v>216</v>
      </c>
      <c r="H272" s="2" t="s">
        <v>33</v>
      </c>
      <c r="I272" s="2" t="str">
        <f>IFERROR(__xludf.DUMMYFUNCTION("GOOGLETRANSLATE(C272,""fr"",""en"")"),"I am satisfied to be able to make the request by internet and at any time and day. Simple and clear questionnaire and more to no longer take the termination procedures.")</f>
        <v>I am satisfied to be able to make the request by internet and at any time and day. Simple and clear questionnaire and more to no longer take the termination procedures.</v>
      </c>
    </row>
    <row r="273" ht="15.75" customHeight="1">
      <c r="A273" s="2">
        <v>2.0</v>
      </c>
      <c r="B273" s="2" t="s">
        <v>889</v>
      </c>
      <c r="C273" s="2" t="s">
        <v>890</v>
      </c>
      <c r="D273" s="2" t="s">
        <v>636</v>
      </c>
      <c r="E273" s="2" t="s">
        <v>31</v>
      </c>
      <c r="F273" s="2" t="s">
        <v>15</v>
      </c>
      <c r="G273" s="2" t="s">
        <v>891</v>
      </c>
      <c r="H273" s="2" t="s">
        <v>230</v>
      </c>
      <c r="I273" s="2" t="str">
        <f>IFERROR(__xludf.DUMMYFUNCTION("GOOGLETRANSLATE(C273,""fr"",""en"")"),"Radied, without being warned, beware of the tel tells you anything, makes me blocked in me the time my ACS. Incompetent. I had a 100th debt I send a RIB I am a schedule on March 11 and canceled on March 1?")</f>
        <v>Radied, without being warned, beware of the tel tells you anything, makes me blocked in me the time my ACS. Incompetent. I had a 100th debt I send a RIB I am a schedule on March 11 and canceled on March 1?</v>
      </c>
    </row>
    <row r="274" ht="15.75" customHeight="1">
      <c r="A274" s="2">
        <v>2.0</v>
      </c>
      <c r="B274" s="2" t="s">
        <v>892</v>
      </c>
      <c r="C274" s="2" t="s">
        <v>893</v>
      </c>
      <c r="D274" s="2" t="s">
        <v>36</v>
      </c>
      <c r="E274" s="2" t="s">
        <v>14</v>
      </c>
      <c r="F274" s="2" t="s">
        <v>15</v>
      </c>
      <c r="G274" s="2" t="s">
        <v>282</v>
      </c>
      <c r="H274" s="2" t="s">
        <v>27</v>
      </c>
      <c r="I274" s="2" t="str">
        <f>IFERROR(__xludf.DUMMYFUNCTION("GOOGLETRANSLATE(C274,""fr"",""en"")"),"I am satisfied with direct insurance, also the price but by adding certain options it becomes expensive but concerning the services there is nothing to say it is worth the price")</f>
        <v>I am satisfied with direct insurance, also the price but by adding certain options it becomes expensive but concerning the services there is nothing to say it is worth the price</v>
      </c>
    </row>
    <row r="275" ht="15.75" customHeight="1">
      <c r="A275" s="2">
        <v>4.0</v>
      </c>
      <c r="B275" s="2" t="s">
        <v>894</v>
      </c>
      <c r="C275" s="2" t="s">
        <v>895</v>
      </c>
      <c r="D275" s="2" t="s">
        <v>104</v>
      </c>
      <c r="E275" s="2" t="s">
        <v>31</v>
      </c>
      <c r="F275" s="2" t="s">
        <v>15</v>
      </c>
      <c r="G275" s="2" t="s">
        <v>649</v>
      </c>
      <c r="H275" s="2" t="s">
        <v>320</v>
      </c>
      <c r="I275" s="2" t="str">
        <f>IFERROR(__xludf.DUMMYFUNCTION("GOOGLETRANSLATE(C275,""fr"",""en"")"),"Available and efficient service.
Pleasant conversations by phone.
Viewers are friendly and explain their answers to our requests in a clear way.
Fully satisfied")</f>
        <v>Available and efficient service.
Pleasant conversations by phone.
Viewers are friendly and explain their answers to our requests in a clear way.
Fully satisfied</v>
      </c>
    </row>
    <row r="276" ht="15.75" customHeight="1">
      <c r="A276" s="2">
        <v>4.0</v>
      </c>
      <c r="B276" s="2" t="s">
        <v>896</v>
      </c>
      <c r="C276" s="2" t="s">
        <v>897</v>
      </c>
      <c r="D276" s="2" t="s">
        <v>13</v>
      </c>
      <c r="E276" s="2" t="s">
        <v>14</v>
      </c>
      <c r="F276" s="2" t="s">
        <v>15</v>
      </c>
      <c r="G276" s="2" t="s">
        <v>43</v>
      </c>
      <c r="H276" s="2" t="s">
        <v>43</v>
      </c>
      <c r="I276" s="2" t="str">
        <f>IFERROR(__xludf.DUMMYFUNCTION("GOOGLETRANSLATE(C276,""fr"",""en"")"),"Instant management of my subscription request. Clear and explicit advisor on expected information. The price is always a lever to improve.")</f>
        <v>Instant management of my subscription request. Clear and explicit advisor on expected information. The price is always a lever to improve.</v>
      </c>
    </row>
    <row r="277" ht="15.75" customHeight="1">
      <c r="A277" s="2">
        <v>1.0</v>
      </c>
      <c r="B277" s="2" t="s">
        <v>898</v>
      </c>
      <c r="C277" s="2" t="s">
        <v>899</v>
      </c>
      <c r="D277" s="2" t="s">
        <v>55</v>
      </c>
      <c r="E277" s="2" t="s">
        <v>37</v>
      </c>
      <c r="F277" s="2" t="s">
        <v>15</v>
      </c>
      <c r="G277" s="2" t="s">
        <v>900</v>
      </c>
      <c r="H277" s="2" t="s">
        <v>684</v>
      </c>
      <c r="I277" s="2" t="str">
        <f>IFERROR(__xludf.DUMMYFUNCTION("GOOGLETRANSLATE(C277,""fr"",""en"")"),"After a sinister natural disaster, passage of an expert who comes to make bureaucracy, not really his job, he does not even listen to what we tell him, the photos he does not care, no notes or photos, sloppy expertise ...
After sending an email to explai"&amp;"n our disagreement ....
No answer, no call, zero follow -up
I only understand with a service like this that they are noted ...
To flee")</f>
        <v>After a sinister natural disaster, passage of an expert who comes to make bureaucracy, not really his job, he does not even listen to what we tell him, the photos he does not care, no notes or photos, sloppy expertise ...
After sending an email to explain our disagreement ....
No answer, no call, zero follow -up
I only understand with a service like this that they are noted ...
To flee</v>
      </c>
    </row>
    <row r="278" ht="15.75" customHeight="1">
      <c r="A278" s="2">
        <v>5.0</v>
      </c>
      <c r="B278" s="2" t="s">
        <v>901</v>
      </c>
      <c r="C278" s="2" t="s">
        <v>902</v>
      </c>
      <c r="D278" s="2" t="s">
        <v>211</v>
      </c>
      <c r="E278" s="2" t="s">
        <v>31</v>
      </c>
      <c r="F278" s="2" t="s">
        <v>15</v>
      </c>
      <c r="G278" s="2" t="s">
        <v>903</v>
      </c>
      <c r="H278" s="2" t="s">
        <v>69</v>
      </c>
      <c r="I278" s="2" t="str">
        <f>IFERROR(__xludf.DUMMYFUNCTION("GOOGLETRANSLATE(C278,""fr"",""en"")"),"I am very satisfied with the services rendered by my mutual and available on the phone I find that the satisfaction guaranteed easy has changed with the operator nothing to signs satisfied with my Garentie")</f>
        <v>I am very satisfied with the services rendered by my mutual and available on the phone I find that the satisfaction guaranteed easy has changed with the operator nothing to signs satisfied with my Garentie</v>
      </c>
    </row>
    <row r="279" ht="15.75" customHeight="1">
      <c r="A279" s="2">
        <v>1.0</v>
      </c>
      <c r="B279" s="2" t="s">
        <v>904</v>
      </c>
      <c r="C279" s="2" t="s">
        <v>905</v>
      </c>
      <c r="D279" s="2" t="s">
        <v>13</v>
      </c>
      <c r="E279" s="2" t="s">
        <v>14</v>
      </c>
      <c r="F279" s="2" t="s">
        <v>15</v>
      </c>
      <c r="G279" s="2" t="s">
        <v>906</v>
      </c>
      <c r="H279" s="2" t="s">
        <v>73</v>
      </c>
      <c r="I279" s="2" t="str">
        <f>IFERROR(__xludf.DUMMYFUNCTION("GOOGLETRANSLATE(C279,""fr"",""en"")"),"Hello
I have a very bad experience with this insurer (the olive tree)
Indeed my car broke down not far from a garage, so I pushed my car until the garage to have it repaired, what an error on my part I had not made it !!!!
Indeed I called the Olivier A"&amp;"ssurance who explained to me that as I had not called on a tow truck, he could not lend me a car, so to summarize, he preferred to pay a Depanneur to be able to lend me a car,
Consequently I am Pieton and I have to rent a car for 15 days for repairs ...."&amp;"
Thank you the Olivier, it is certain that in the 1st occasion I would leave this insurers and would continue to post on all the forums a negative opinion on an insurer who does not wish to help one of his customers who pay these monthly payments in time"&amp;" for several already years
No thanks")</f>
        <v>Hello
I have a very bad experience with this insurer (the olive tree)
Indeed my car broke down not far from a garage, so I pushed my car until the garage to have it repaired, what an error on my part I had not made it !!!!
Indeed I called the Olivier Assurance who explained to me that as I had not called on a tow truck, he could not lend me a car, so to summarize, he preferred to pay a Depanneur to be able to lend me a car,
Consequently I am Pieton and I have to rent a car for 15 days for repairs ....
Thank you the Olivier, it is certain that in the 1st occasion I would leave this insurers and would continue to post on all the forums a negative opinion on an insurer who does not wish to help one of his customers who pay these monthly payments in time for several already years
No thanks</v>
      </c>
    </row>
    <row r="280" ht="15.75" customHeight="1">
      <c r="A280" s="2">
        <v>3.0</v>
      </c>
      <c r="B280" s="2" t="s">
        <v>907</v>
      </c>
      <c r="C280" s="2" t="s">
        <v>908</v>
      </c>
      <c r="D280" s="2" t="s">
        <v>55</v>
      </c>
      <c r="E280" s="2" t="s">
        <v>14</v>
      </c>
      <c r="F280" s="2" t="s">
        <v>15</v>
      </c>
      <c r="G280" s="2" t="s">
        <v>909</v>
      </c>
      <c r="H280" s="2" t="s">
        <v>213</v>
      </c>
      <c r="I280" s="2" t="str">
        <f>IFERROR(__xludf.DUMMYFUNCTION("GOOGLETRANSLATE(C280,""fr"",""en"")"),"Super contract. Good support and guarantees much higher compared to their competitors. I RECOMMEND !!!")</f>
        <v>Super contract. Good support and guarantees much higher compared to their competitors. I RECOMMEND !!!</v>
      </c>
    </row>
    <row r="281" ht="15.75" customHeight="1">
      <c r="A281" s="2">
        <v>4.0</v>
      </c>
      <c r="B281" s="2" t="s">
        <v>910</v>
      </c>
      <c r="C281" s="2" t="s">
        <v>911</v>
      </c>
      <c r="D281" s="2" t="s">
        <v>36</v>
      </c>
      <c r="E281" s="2" t="s">
        <v>14</v>
      </c>
      <c r="F281" s="2" t="s">
        <v>15</v>
      </c>
      <c r="G281" s="2" t="s">
        <v>912</v>
      </c>
      <c r="H281" s="2" t="s">
        <v>27</v>
      </c>
      <c r="I281" s="2" t="str">
        <f>IFERROR(__xludf.DUMMYFUNCTION("GOOGLETRANSLATE(C281,""fr"",""en"")"),"Simple and practical indeed, the prices are much lower than those of my former insurer so I am satisfied, I particularly appreciate the email concerning the quote of the contract where documents are provided to us. In particular the ""Guide to your guaran"&amp;"tees"" which allows you to really understand the details of the contract! :)")</f>
        <v>Simple and practical indeed, the prices are much lower than those of my former insurer so I am satisfied, I particularly appreciate the email concerning the quote of the contract where documents are provided to us. In particular the "Guide to your guarantees" which allows you to really understand the details of the contract! :)</v>
      </c>
    </row>
    <row r="282" ht="15.75" customHeight="1">
      <c r="A282" s="2">
        <v>1.0</v>
      </c>
      <c r="B282" s="2" t="s">
        <v>913</v>
      </c>
      <c r="C282" s="2" t="s">
        <v>914</v>
      </c>
      <c r="D282" s="2" t="s">
        <v>80</v>
      </c>
      <c r="E282" s="2" t="s">
        <v>37</v>
      </c>
      <c r="F282" s="2" t="s">
        <v>15</v>
      </c>
      <c r="G282" s="2" t="s">
        <v>915</v>
      </c>
      <c r="H282" s="2" t="s">
        <v>167</v>
      </c>
      <c r="I282" s="2" t="str">
        <f>IFERROR(__xludf.DUMMYFUNCTION("GOOGLETRANSLATE(C282,""fr"",""en"")"),"MAAF customer for over 20 years. We unfortunately had 2 small claims (current cuts) in 2017 and in 2018. Well they all just fired us ... it does not matter we now have best guarantees for cheaper ... bye bye")</f>
        <v>MAAF customer for over 20 years. We unfortunately had 2 small claims (current cuts) in 2017 and in 2018. Well they all just fired us ... it does not matter we now have best guarantees for cheaper ... bye bye</v>
      </c>
    </row>
    <row r="283" ht="15.75" customHeight="1">
      <c r="A283" s="2">
        <v>2.0</v>
      </c>
      <c r="B283" s="2" t="s">
        <v>916</v>
      </c>
      <c r="C283" s="2" t="s">
        <v>917</v>
      </c>
      <c r="D283" s="2" t="s">
        <v>36</v>
      </c>
      <c r="E283" s="2" t="s">
        <v>14</v>
      </c>
      <c r="F283" s="2" t="s">
        <v>15</v>
      </c>
      <c r="G283" s="2" t="s">
        <v>918</v>
      </c>
      <c r="H283" s="2" t="s">
        <v>57</v>
      </c>
      <c r="I283" s="2" t="str">
        <f>IFERROR(__xludf.DUMMYFUNCTION("GOOGLETRANSLATE(C283,""fr"",""en"")"),"Lamentable.
15 days to find a garage ready to make repairs. More than incompetent sinister service and assistance. DA refuses to give us a replacement vehicle! Obliged to rent !!!")</f>
        <v>Lamentable.
15 days to find a garage ready to make repairs. More than incompetent sinister service and assistance. DA refuses to give us a replacement vehicle! Obliged to rent !!!</v>
      </c>
    </row>
    <row r="284" ht="15.75" customHeight="1">
      <c r="A284" s="2">
        <v>1.0</v>
      </c>
      <c r="B284" s="2" t="s">
        <v>919</v>
      </c>
      <c r="C284" s="2" t="s">
        <v>920</v>
      </c>
      <c r="D284" s="2" t="s">
        <v>36</v>
      </c>
      <c r="E284" s="2" t="s">
        <v>14</v>
      </c>
      <c r="F284" s="2" t="s">
        <v>15</v>
      </c>
      <c r="G284" s="2" t="s">
        <v>212</v>
      </c>
      <c r="H284" s="2" t="s">
        <v>213</v>
      </c>
      <c r="I284" s="2" t="str">
        <f>IFERROR(__xludf.DUMMYFUNCTION("GOOGLETRANSLATE(C284,""fr"",""en"")"),"An increase of 20% without anything in return
No claims I honored my time
Direct Insurance advisor found no arguments for this abusive increase")</f>
        <v>An increase of 20% without anything in return
No claims I honored my time
Direct Insurance advisor found no arguments for this abusive increase</v>
      </c>
    </row>
    <row r="285" ht="15.75" customHeight="1">
      <c r="A285" s="2">
        <v>3.0</v>
      </c>
      <c r="B285" s="2" t="s">
        <v>921</v>
      </c>
      <c r="C285" s="2" t="s">
        <v>922</v>
      </c>
      <c r="D285" s="2" t="s">
        <v>36</v>
      </c>
      <c r="E285" s="2" t="s">
        <v>14</v>
      </c>
      <c r="F285" s="2" t="s">
        <v>15</v>
      </c>
      <c r="G285" s="2" t="s">
        <v>923</v>
      </c>
      <c r="H285" s="2" t="s">
        <v>33</v>
      </c>
      <c r="I285" s="2" t="str">
        <f>IFERROR(__xludf.DUMMYFUNCTION("GOOGLETRANSLATE(C285,""fr"",""en"")"),"I am satisfied very well price level content nothing to say I would recommend direct insurance in my entourage and my knowledge thank you internet service")</f>
        <v>I am satisfied very well price level content nothing to say I would recommend direct insurance in my entourage and my knowledge thank you internet service</v>
      </c>
    </row>
    <row r="286" ht="15.75" customHeight="1">
      <c r="A286" s="2">
        <v>3.0</v>
      </c>
      <c r="B286" s="2" t="s">
        <v>924</v>
      </c>
      <c r="C286" s="2" t="s">
        <v>925</v>
      </c>
      <c r="D286" s="2" t="s">
        <v>20</v>
      </c>
      <c r="E286" s="2" t="s">
        <v>37</v>
      </c>
      <c r="F286" s="2" t="s">
        <v>15</v>
      </c>
      <c r="G286" s="2" t="s">
        <v>926</v>
      </c>
      <c r="H286" s="2" t="s">
        <v>436</v>
      </c>
      <c r="I286" s="2" t="str">
        <f>IFERROR(__xludf.DUMMYFUNCTION("GOOGLETRANSLATE(C286,""fr"",""en"")"),"Interesting insurance compared to its competitors. Having had no claim, I cannot judge its effectiveness in the event of a problem.")</f>
        <v>Interesting insurance compared to its competitors. Having had no claim, I cannot judge its effectiveness in the event of a problem.</v>
      </c>
    </row>
    <row r="287" ht="15.75" customHeight="1">
      <c r="A287" s="2">
        <v>5.0</v>
      </c>
      <c r="B287" s="2" t="s">
        <v>927</v>
      </c>
      <c r="C287" s="2" t="s">
        <v>928</v>
      </c>
      <c r="D287" s="2" t="s">
        <v>36</v>
      </c>
      <c r="E287" s="2" t="s">
        <v>14</v>
      </c>
      <c r="F287" s="2" t="s">
        <v>15</v>
      </c>
      <c r="G287" s="2" t="s">
        <v>823</v>
      </c>
      <c r="H287" s="2" t="s">
        <v>27</v>
      </c>
      <c r="I287" s="2" t="str">
        <f>IFERROR(__xludf.DUMMYFUNCTION("GOOGLETRANSLATE(C287,""fr"",""en"")"),"I am satisfied with the service.
Quick to ensure the house
To see in time the services of this insurance. Given the attractive prices hope it is up to it when needed")</f>
        <v>I am satisfied with the service.
Quick to ensure the house
To see in time the services of this insurance. Given the attractive prices hope it is up to it when needed</v>
      </c>
    </row>
    <row r="288" ht="15.75" customHeight="1">
      <c r="A288" s="2">
        <v>5.0</v>
      </c>
      <c r="B288" s="2" t="s">
        <v>929</v>
      </c>
      <c r="C288" s="2" t="s">
        <v>930</v>
      </c>
      <c r="D288" s="2" t="s">
        <v>36</v>
      </c>
      <c r="E288" s="2" t="s">
        <v>14</v>
      </c>
      <c r="F288" s="2" t="s">
        <v>15</v>
      </c>
      <c r="G288" s="2" t="s">
        <v>931</v>
      </c>
      <c r="H288" s="2" t="s">
        <v>43</v>
      </c>
      <c r="I288" s="2" t="str">
        <f>IFERROR(__xludf.DUMMYFUNCTION("GOOGLETRANSLATE(C288,""fr"",""en"")"),"I am very satisfied with the welcome that I received very warmly from my intermediary. The explanations for clear.")</f>
        <v>I am very satisfied with the welcome that I received very warmly from my intermediary. The explanations for clear.</v>
      </c>
    </row>
    <row r="289" ht="15.75" customHeight="1">
      <c r="A289" s="2">
        <v>1.0</v>
      </c>
      <c r="B289" s="2" t="s">
        <v>932</v>
      </c>
      <c r="C289" s="2" t="s">
        <v>933</v>
      </c>
      <c r="D289" s="2" t="s">
        <v>88</v>
      </c>
      <c r="E289" s="2" t="s">
        <v>31</v>
      </c>
      <c r="F289" s="2" t="s">
        <v>15</v>
      </c>
      <c r="G289" s="2" t="s">
        <v>934</v>
      </c>
      <c r="H289" s="2" t="s">
        <v>367</v>
      </c>
      <c r="I289" s="2" t="str">
        <f>IFERROR(__xludf.DUMMYFUNCTION("GOOGLETRANSLATE(C289,""fr"",""en"")"),"Quote made on a comparator. No time to open the quote that already the mutual a name ... horrible interlocutor which does not even leave time to place a word. I just explained to him that if I wanted more info I will call ... and from that moment it was a"&amp;" horror. I called for my daughter, and this person believed that we must have been the same age and it is allowed a lot of things in these words !!!!! fortunately that we are called before subscribing at least we already see a 1st Society overview.")</f>
        <v>Quote made on a comparator. No time to open the quote that already the mutual a name ... horrible interlocutor which does not even leave time to place a word. I just explained to him that if I wanted more info I will call ... and from that moment it was a horror. I called for my daughter, and this person believed that we must have been the same age and it is allowed a lot of things in these words !!!!! fortunately that we are called before subscribing at least we already see a 1st Society overview.</v>
      </c>
    </row>
    <row r="290" ht="15.75" customHeight="1">
      <c r="A290" s="2">
        <v>1.0</v>
      </c>
      <c r="B290" s="2" t="s">
        <v>935</v>
      </c>
      <c r="C290" s="2" t="s">
        <v>936</v>
      </c>
      <c r="D290" s="2" t="s">
        <v>20</v>
      </c>
      <c r="E290" s="2" t="s">
        <v>14</v>
      </c>
      <c r="F290" s="2" t="s">
        <v>15</v>
      </c>
      <c r="G290" s="2" t="s">
        <v>937</v>
      </c>
      <c r="H290" s="2" t="s">
        <v>462</v>
      </c>
      <c r="I290" s="2" t="str">
        <f>IFERROR(__xludf.DUMMYFUNCTION("GOOGLETRANSLATE(C290,""fr"",""en"")"),"I had a small accident (broken retro). All of the invoice had to be paid by me because it was high. Despite that I find myself with 6% of the penalty when I had 20% bonus. I end up with monthly payments impossible to pay for me ... Student ...")</f>
        <v>I had a small accident (broken retro). All of the invoice had to be paid by me because it was high. Despite that I find myself with 6% of the penalty when I had 20% bonus. I end up with monthly payments impossible to pay for me ... Student ...</v>
      </c>
    </row>
    <row r="291" ht="15.75" customHeight="1">
      <c r="A291" s="2">
        <v>3.0</v>
      </c>
      <c r="B291" s="2" t="s">
        <v>938</v>
      </c>
      <c r="C291" s="2" t="s">
        <v>939</v>
      </c>
      <c r="D291" s="2" t="s">
        <v>88</v>
      </c>
      <c r="E291" s="2" t="s">
        <v>31</v>
      </c>
      <c r="F291" s="2" t="s">
        <v>15</v>
      </c>
      <c r="G291" s="2" t="s">
        <v>940</v>
      </c>
      <c r="H291" s="2" t="s">
        <v>306</v>
      </c>
      <c r="I291" s="2" t="str">
        <f>IFERROR(__xludf.DUMMYFUNCTION("GOOGLETRANSLATE(C291,""fr"",""en"")"),"So stop telling your salespeople that the third party paying your Mutuel Neoliane is carte blanche because it is false your quote is not updated and I officially announce that your third party paid is no longer carte blanche but Viamedis .
It is still cr"&amp;"azy that it is me who teures it to you;)
")</f>
        <v>So stop telling your salespeople that the third party paying your Mutuel Neoliane is carte blanche because it is false your quote is not updated and I officially announce that your third party paid is no longer carte blanche but Viamedis .
It is still crazy that it is me who teures it to you;)
</v>
      </c>
    </row>
    <row r="292" ht="15.75" customHeight="1">
      <c r="A292" s="2">
        <v>5.0</v>
      </c>
      <c r="B292" s="2" t="s">
        <v>941</v>
      </c>
      <c r="C292" s="2" t="s">
        <v>942</v>
      </c>
      <c r="D292" s="2" t="s">
        <v>13</v>
      </c>
      <c r="E292" s="2" t="s">
        <v>14</v>
      </c>
      <c r="F292" s="2" t="s">
        <v>15</v>
      </c>
      <c r="G292" s="2" t="s">
        <v>380</v>
      </c>
      <c r="H292" s="2" t="s">
        <v>313</v>
      </c>
      <c r="I292" s="2" t="str">
        <f>IFERROR(__xludf.DUMMYFUNCTION("GOOGLETRANSLATE(C292,""fr"",""en"")"),"I chose the olive assurance car because it was the cheapest on the market at that time. They were very fast for setting up the contract. I had a disaster and the management was very fast and correct. I'm satisfied.")</f>
        <v>I chose the olive assurance car because it was the cheapest on the market at that time. They were very fast for setting up the contract. I had a disaster and the management was very fast and correct. I'm satisfied.</v>
      </c>
    </row>
    <row r="293" ht="15.75" customHeight="1">
      <c r="A293" s="2">
        <v>2.0</v>
      </c>
      <c r="B293" s="2" t="s">
        <v>943</v>
      </c>
      <c r="C293" s="2" t="s">
        <v>944</v>
      </c>
      <c r="D293" s="2" t="s">
        <v>576</v>
      </c>
      <c r="E293" s="2" t="s">
        <v>14</v>
      </c>
      <c r="F293" s="2" t="s">
        <v>15</v>
      </c>
      <c r="G293" s="2" t="s">
        <v>945</v>
      </c>
      <c r="H293" s="2" t="s">
        <v>117</v>
      </c>
      <c r="I293" s="2" t="str">
        <f>IFERROR(__xludf.DUMMYFUNCTION("GOOGLETRANSLATE(C293,""fr"",""en"")")," Hello being a customer at Eurofil I had an accident in April who did not apply my responsibility in view of the report but for my insurance I was 100 % attempt I learned from the opposing party who have classified the rest as their 100 % responsible cust"&amp;"omer I am very disappointed with this Eurofil insurance to avoid")</f>
        <v> Hello being a customer at Eurofil I had an accident in April who did not apply my responsibility in view of the report but for my insurance I was 100 % attempt I learned from the opposing party who have classified the rest as their 100 % responsible customer I am very disappointed with this Eurofil insurance to avoid</v>
      </c>
    </row>
    <row r="294" ht="15.75" customHeight="1">
      <c r="A294" s="2">
        <v>3.0</v>
      </c>
      <c r="B294" s="2" t="s">
        <v>946</v>
      </c>
      <c r="C294" s="2" t="s">
        <v>947</v>
      </c>
      <c r="D294" s="2" t="s">
        <v>576</v>
      </c>
      <c r="E294" s="2" t="s">
        <v>14</v>
      </c>
      <c r="F294" s="2" t="s">
        <v>15</v>
      </c>
      <c r="G294" s="2" t="s">
        <v>948</v>
      </c>
      <c r="H294" s="2" t="s">
        <v>73</v>
      </c>
      <c r="I294" s="2" t="str">
        <f>IFERROR(__xludf.DUMMYFUNCTION("GOOGLETRANSLATE(C294,""fr"",""en"")"),"Ashamed. Insured for 3 years, driver for 13 years, with a bonus at 060, I was unlucky to be the subject of 2 non -responsible claims in the space of 3 months. 1 year later, I receive an AR announcing me the termination of my contract in 2 months, on the p"&amp;"retext of ""the inadequacy of the risk with regard to the company's acceptance policy"". Mail accompanied of course of the contact details of Assurpeople, a broker partner of Aviva ... No exchange prior to this letter, allowing to find an amicable solutio"&amp;"n; No possible appeal and of course customer service is unreachable via the telephone standard, which stipulates ""that an advisor can be reached during the week from 8:45 am to 8:00 pm"". We are on a Thursday, it is 3:08 p.m., and the standard hanging au"&amp;"tomatically. Insurer to flee")</f>
        <v>Ashamed. Insured for 3 years, driver for 13 years, with a bonus at 060, I was unlucky to be the subject of 2 non -responsible claims in the space of 3 months. 1 year later, I receive an AR announcing me the termination of my contract in 2 months, on the pretext of "the inadequacy of the risk with regard to the company's acceptance policy". Mail accompanied of course of the contact details of Assurpeople, a broker partner of Aviva ... No exchange prior to this letter, allowing to find an amicable solution; No possible appeal and of course customer service is unreachable via the telephone standard, which stipulates "that an advisor can be reached during the week from 8:45 am to 8:00 pm". We are on a Thursday, it is 3:08 p.m., and the standard hanging automatically. Insurer to flee</v>
      </c>
    </row>
    <row r="295" ht="15.75" customHeight="1">
      <c r="A295" s="2">
        <v>1.0</v>
      </c>
      <c r="B295" s="2" t="s">
        <v>949</v>
      </c>
      <c r="C295" s="2" t="s">
        <v>950</v>
      </c>
      <c r="D295" s="2" t="s">
        <v>13</v>
      </c>
      <c r="E295" s="2" t="s">
        <v>14</v>
      </c>
      <c r="F295" s="2" t="s">
        <v>15</v>
      </c>
      <c r="G295" s="2" t="s">
        <v>951</v>
      </c>
      <c r="H295" s="2" t="s">
        <v>145</v>
      </c>
      <c r="I295" s="2" t="str">
        <f>IFERROR(__xludf.DUMMYFUNCTION("GOOGLETRANSLATE(C295,""fr"",""en"")"),"Everything is fine in the best of worlds as long as you have no claim!
I am assured of any risk, around € 1,000 per year for my main car.
Yesterday morning I found my car on 4 concrete blocks. I was stolen the 4 rims.
No insurance support, because OK f"&amp;"or theft but excluding tires. Thanks!
No loc for location, no towing ...
My tire quote amounts to € 3,000. I can no longer go to work either because my car with a heavy foot.
Morality: you have to choose the cheapest insurance as possible because the"&amp;" day you have a glitch, they are not at the appointment. Always a small clause to your disadvantage.
Dear friends the olive tree, in 2 months, I will leave you, with my 2 cars")</f>
        <v>Everything is fine in the best of worlds as long as you have no claim!
I am assured of any risk, around € 1,000 per year for my main car.
Yesterday morning I found my car on 4 concrete blocks. I was stolen the 4 rims.
No insurance support, because OK for theft but excluding tires. Thanks!
No loc for location, no towing ...
My tire quote amounts to € 3,000. I can no longer go to work either because my car with a heavy foot.
Morality: you have to choose the cheapest insurance as possible because the day you have a glitch, they are not at the appointment. Always a small clause to your disadvantage.
Dear friends the olive tree, in 2 months, I will leave you, with my 2 cars</v>
      </c>
    </row>
    <row r="296" ht="15.75" customHeight="1">
      <c r="A296" s="2">
        <v>1.0</v>
      </c>
      <c r="B296" s="2" t="s">
        <v>952</v>
      </c>
      <c r="C296" s="2" t="s">
        <v>953</v>
      </c>
      <c r="D296" s="2" t="s">
        <v>36</v>
      </c>
      <c r="E296" s="2" t="s">
        <v>14</v>
      </c>
      <c r="F296" s="2" t="s">
        <v>15</v>
      </c>
      <c r="G296" s="2" t="s">
        <v>820</v>
      </c>
      <c r="H296" s="2" t="s">
        <v>230</v>
      </c>
      <c r="I296" s="2" t="str">
        <f>IFERROR(__xludf.DUMMYFUNCTION("GOOGLETRANSLATE(C296,""fr"",""en"")"),"not satisfied. Insurance in progress since the end of 2019. File still in progress since mid 2020, no follow -up communication.
session that closes after validation of my letter for complaint yesterday
Everything to do this day again.")</f>
        <v>not satisfied. Insurance in progress since the end of 2019. File still in progress since mid 2020, no follow -up communication.
session that closes after validation of my letter for complaint yesterday
Everything to do this day again.</v>
      </c>
    </row>
    <row r="297" ht="15.75" customHeight="1">
      <c r="A297" s="2">
        <v>4.0</v>
      </c>
      <c r="B297" s="2" t="s">
        <v>954</v>
      </c>
      <c r="C297" s="2" t="s">
        <v>955</v>
      </c>
      <c r="D297" s="2" t="s">
        <v>13</v>
      </c>
      <c r="E297" s="2" t="s">
        <v>14</v>
      </c>
      <c r="F297" s="2" t="s">
        <v>15</v>
      </c>
      <c r="G297" s="2" t="s">
        <v>956</v>
      </c>
      <c r="H297" s="2" t="s">
        <v>269</v>
      </c>
      <c r="I297" s="2" t="str">
        <f>IFERROR(__xludf.DUMMYFUNCTION("GOOGLETRANSLATE(C297,""fr"",""en"")"),"Very friendly and competent staff, pleasant service that answers all questions. Excellent transparency of the well explained contract, and good suggestion!")</f>
        <v>Very friendly and competent staff, pleasant service that answers all questions. Excellent transparency of the well explained contract, and good suggestion!</v>
      </c>
    </row>
    <row r="298" ht="15.75" customHeight="1">
      <c r="A298" s="2">
        <v>2.0</v>
      </c>
      <c r="B298" s="2" t="s">
        <v>957</v>
      </c>
      <c r="C298" s="2" t="s">
        <v>958</v>
      </c>
      <c r="D298" s="2" t="s">
        <v>13</v>
      </c>
      <c r="E298" s="2" t="s">
        <v>14</v>
      </c>
      <c r="F298" s="2" t="s">
        <v>15</v>
      </c>
      <c r="G298" s="2" t="s">
        <v>959</v>
      </c>
      <c r="H298" s="2" t="s">
        <v>117</v>
      </c>
      <c r="I298" s="2" t="str">
        <f>IFERROR(__xludf.DUMMYFUNCTION("GOOGLETRANSLATE(C298,""fr"",""en"")"),"I did not really appreciate that the expert searches my car, how I know, my mechanic had made me a quote for the repair, and the quote was in the glove box, and the expert gave exactly the sum, knowing that If I had been in their designated garage it woul"&amp;"d have cost more than double, from the accident to the repair for 2 months, and again if my mechanic did not call the expert, the repair would not yet be done, I have paid the bill, And I have returned by recommended for reimbursement, hoping that I shoul"&amp;"d not wait for months, hanging or I am entitled")</f>
        <v>I did not really appreciate that the expert searches my car, how I know, my mechanic had made me a quote for the repair, and the quote was in the glove box, and the expert gave exactly the sum, knowing that If I had been in their designated garage it would have cost more than double, from the accident to the repair for 2 months, and again if my mechanic did not call the expert, the repair would not yet be done, I have paid the bill, And I have returned by recommended for reimbursement, hoping that I should not wait for months, hanging or I am entitled</v>
      </c>
    </row>
    <row r="299" ht="15.75" customHeight="1">
      <c r="A299" s="2">
        <v>4.0</v>
      </c>
      <c r="B299" s="2" t="s">
        <v>960</v>
      </c>
      <c r="C299" s="2" t="s">
        <v>961</v>
      </c>
      <c r="D299" s="2" t="s">
        <v>13</v>
      </c>
      <c r="E299" s="2" t="s">
        <v>14</v>
      </c>
      <c r="F299" s="2" t="s">
        <v>15</v>
      </c>
      <c r="G299" s="2" t="s">
        <v>962</v>
      </c>
      <c r="H299" s="2" t="s">
        <v>85</v>
      </c>
      <c r="I299" s="2" t="str">
        <f>IFERROR(__xludf.DUMMYFUNCTION("GOOGLETRANSLATE(C299,""fr"",""en"")"),"Step, at price level and fast online, good site overall. But I would like to be assured in all risks, the site obliges me to take a third party.")</f>
        <v>Step, at price level and fast online, good site overall. But I would like to be assured in all risks, the site obliges me to take a third party.</v>
      </c>
    </row>
    <row r="300" ht="15.75" customHeight="1">
      <c r="A300" s="2">
        <v>5.0</v>
      </c>
      <c r="B300" s="2" t="s">
        <v>963</v>
      </c>
      <c r="C300" s="2" t="s">
        <v>964</v>
      </c>
      <c r="D300" s="2" t="s">
        <v>13</v>
      </c>
      <c r="E300" s="2" t="s">
        <v>14</v>
      </c>
      <c r="F300" s="2" t="s">
        <v>15</v>
      </c>
      <c r="G300" s="2" t="s">
        <v>965</v>
      </c>
      <c r="H300" s="2" t="s">
        <v>85</v>
      </c>
      <c r="I300" s="2" t="str">
        <f>IFERROR(__xludf.DUMMYFUNCTION("GOOGLETRANSLATE(C300,""fr"",""en"")"),"Satisfied. I recommend this insurance, a very attentive after -sales service of our requests and quick responses in the next minutes calls it. I highly recommend.")</f>
        <v>Satisfied. I recommend this insurance, a very attentive after -sales service of our requests and quick responses in the next minutes calls it. I highly recommend.</v>
      </c>
    </row>
    <row r="301" ht="15.75" customHeight="1">
      <c r="A301" s="2">
        <v>5.0</v>
      </c>
      <c r="B301" s="2" t="s">
        <v>966</v>
      </c>
      <c r="C301" s="2" t="s">
        <v>967</v>
      </c>
      <c r="D301" s="2" t="s">
        <v>13</v>
      </c>
      <c r="E301" s="2" t="s">
        <v>14</v>
      </c>
      <c r="F301" s="2" t="s">
        <v>15</v>
      </c>
      <c r="G301" s="2" t="s">
        <v>652</v>
      </c>
      <c r="H301" s="2" t="s">
        <v>230</v>
      </c>
      <c r="I301" s="2" t="str">
        <f>IFERROR(__xludf.DUMMYFUNCTION("GOOGLETRANSLATE(C301,""fr"",""en"")"),"This is the lowest price I found for basic insurance. After my search on the Internet and my request for a quote, the service was fast and efficient by phone.")</f>
        <v>This is the lowest price I found for basic insurance. After my search on the Internet and my request for a quote, the service was fast and efficient by phone.</v>
      </c>
    </row>
    <row r="302" ht="15.75" customHeight="1">
      <c r="A302" s="2">
        <v>1.0</v>
      </c>
      <c r="B302" s="2" t="s">
        <v>968</v>
      </c>
      <c r="C302" s="2" t="s">
        <v>969</v>
      </c>
      <c r="D302" s="2" t="s">
        <v>36</v>
      </c>
      <c r="E302" s="2" t="s">
        <v>14</v>
      </c>
      <c r="F302" s="2" t="s">
        <v>15</v>
      </c>
      <c r="G302" s="2" t="s">
        <v>970</v>
      </c>
      <c r="H302" s="2" t="s">
        <v>171</v>
      </c>
      <c r="I302" s="2" t="str">
        <f>IFERROR(__xludf.DUMMYFUNCTION("GOOGLETRANSLATE(C302,""fr"",""en"")"),"With Direct Insurance it had agreed a premium in an annual amount of around € 425
And in the end I am with an annual bonus more than € 475 I am not
All happy.
Gabriel Mario
")</f>
        <v>With Direct Insurance it had agreed a premium in an annual amount of around € 425
And in the end I am with an annual bonus more than € 475 I am not
All happy.
Gabriel Mario
</v>
      </c>
    </row>
    <row r="303" ht="15.75" customHeight="1">
      <c r="A303" s="2">
        <v>4.0</v>
      </c>
      <c r="B303" s="2" t="s">
        <v>971</v>
      </c>
      <c r="C303" s="2" t="s">
        <v>972</v>
      </c>
      <c r="D303" s="2" t="s">
        <v>88</v>
      </c>
      <c r="E303" s="2" t="s">
        <v>31</v>
      </c>
      <c r="F303" s="2" t="s">
        <v>15</v>
      </c>
      <c r="G303" s="2" t="s">
        <v>424</v>
      </c>
      <c r="H303" s="2" t="s">
        <v>230</v>
      </c>
      <c r="I303" s="2" t="str">
        <f>IFERROR(__xludf.DUMMYFUNCTION("GOOGLETRANSLATE(C303,""fr"",""en"")"),"Hello,
Thursday April 13 following my telephone complaint, I had an angelic interlocutor who informed me about my complaint, I want to thank him.
Cordially
J.Nectoux")</f>
        <v>Hello,
Thursday April 13 following my telephone complaint, I had an angelic interlocutor who informed me about my complaint, I want to thank him.
Cordially
J.Nectoux</v>
      </c>
    </row>
    <row r="304" ht="15.75" customHeight="1">
      <c r="A304" s="2">
        <v>3.0</v>
      </c>
      <c r="B304" s="2" t="s">
        <v>973</v>
      </c>
      <c r="C304" s="2" t="s">
        <v>974</v>
      </c>
      <c r="D304" s="2" t="s">
        <v>238</v>
      </c>
      <c r="E304" s="2" t="s">
        <v>31</v>
      </c>
      <c r="F304" s="2" t="s">
        <v>15</v>
      </c>
      <c r="G304" s="2" t="s">
        <v>975</v>
      </c>
      <c r="H304" s="2" t="s">
        <v>400</v>
      </c>
      <c r="I304" s="2" t="str">
        <f>IFERROR(__xludf.DUMMYFUNCTION("GOOGLETRANSLATE(C304,""fr"",""en"")"),"Refunds that are delaying, mutual imposed by the employer, I have never had such a shabby mutual and I have soon 40 years of work")</f>
        <v>Refunds that are delaying, mutual imposed by the employer, I have never had such a shabby mutual and I have soon 40 years of work</v>
      </c>
    </row>
    <row r="305" ht="15.75" customHeight="1">
      <c r="A305" s="2">
        <v>4.0</v>
      </c>
      <c r="B305" s="2" t="s">
        <v>976</v>
      </c>
      <c r="C305" s="2" t="s">
        <v>977</v>
      </c>
      <c r="D305" s="2" t="s">
        <v>36</v>
      </c>
      <c r="E305" s="2" t="s">
        <v>14</v>
      </c>
      <c r="F305" s="2" t="s">
        <v>15</v>
      </c>
      <c r="G305" s="2" t="s">
        <v>978</v>
      </c>
      <c r="H305" s="2" t="s">
        <v>27</v>
      </c>
      <c r="I305" s="2" t="str">
        <f>IFERROR(__xludf.DUMMYFUNCTION("GOOGLETRANSLATE(C305,""fr"",""en"")"),"The prices are correct even cheaper compared to other car insurance.
The explanations are clear and the website is easy to use.")</f>
        <v>The prices are correct even cheaper compared to other car insurance.
The explanations are clear and the website is easy to use.</v>
      </c>
    </row>
    <row r="306" ht="15.75" customHeight="1">
      <c r="A306" s="2">
        <v>2.0</v>
      </c>
      <c r="B306" s="2" t="s">
        <v>979</v>
      </c>
      <c r="C306" s="2" t="s">
        <v>980</v>
      </c>
      <c r="D306" s="2" t="s">
        <v>36</v>
      </c>
      <c r="E306" s="2" t="s">
        <v>14</v>
      </c>
      <c r="F306" s="2" t="s">
        <v>15</v>
      </c>
      <c r="G306" s="2" t="s">
        <v>981</v>
      </c>
      <c r="H306" s="2" t="s">
        <v>230</v>
      </c>
      <c r="I306" s="2" t="str">
        <f>IFERROR(__xludf.DUMMYFUNCTION("GOOGLETRANSLATE(C306,""fr"",""en"")"),"I am satisfied with the services provided by Direct Insurance. Ease of consultation and modification of contracts via my online personal space,")</f>
        <v>I am satisfied with the services provided by Direct Insurance. Ease of consultation and modification of contracts via my online personal space,</v>
      </c>
    </row>
    <row r="307" ht="15.75" customHeight="1">
      <c r="A307" s="2">
        <v>2.0</v>
      </c>
      <c r="B307" s="2" t="s">
        <v>982</v>
      </c>
      <c r="C307" s="2" t="s">
        <v>983</v>
      </c>
      <c r="D307" s="2" t="s">
        <v>285</v>
      </c>
      <c r="E307" s="2" t="s">
        <v>14</v>
      </c>
      <c r="F307" s="2" t="s">
        <v>15</v>
      </c>
      <c r="G307" s="2" t="s">
        <v>984</v>
      </c>
      <c r="H307" s="2" t="s">
        <v>167</v>
      </c>
      <c r="I307" s="2" t="str">
        <f>IFERROR(__xludf.DUMMYFUNCTION("GOOGLETRANSLATE(C307,""fr"",""en"")"),"First car, first insurance: find insurance to the least as expensive as possible. Thing done with active insurance. Less than 70th per month for a 206. Insurance is good but has few guarantees. Vandalism is not covered for example. But otherwise 0km assis"&amp;"tance is included. For a breakdown, do not wait for the insurance (no compensation). But the assistance is good (the least of things?). The big problem was the reception time for the green sticker. I took a year to receive it and once received, it was per"&amp;"meated in barely a month. But the following arrived a few days after fortunately.")</f>
        <v>First car, first insurance: find insurance to the least as expensive as possible. Thing done with active insurance. Less than 70th per month for a 206. Insurance is good but has few guarantees. Vandalism is not covered for example. But otherwise 0km assistance is included. For a breakdown, do not wait for the insurance (no compensation). But the assistance is good (the least of things?). The big problem was the reception time for the green sticker. I took a year to receive it and once received, it was permeated in barely a month. But the following arrived a few days after fortunately.</v>
      </c>
    </row>
    <row r="308" ht="15.75" customHeight="1">
      <c r="A308" s="2">
        <v>2.0</v>
      </c>
      <c r="B308" s="2" t="s">
        <v>985</v>
      </c>
      <c r="C308" s="2" t="s">
        <v>986</v>
      </c>
      <c r="D308" s="2" t="s">
        <v>842</v>
      </c>
      <c r="E308" s="2" t="s">
        <v>121</v>
      </c>
      <c r="F308" s="2" t="s">
        <v>15</v>
      </c>
      <c r="G308" s="2" t="s">
        <v>987</v>
      </c>
      <c r="H308" s="2" t="s">
        <v>432</v>
      </c>
      <c r="I308" s="2" t="str">
        <f>IFERROR(__xludf.DUMMYFUNCTION("GOOGLETRANSLATE(C308,""fr"",""en"")"),"Benefit of a disability annuity We are never paid on fixed dates which leads to discharges of bank direct debits and heavy bank costs and therefore participates in debt")</f>
        <v>Benefit of a disability annuity We are never paid on fixed dates which leads to discharges of bank direct debits and heavy bank costs and therefore participates in debt</v>
      </c>
    </row>
    <row r="309" ht="15.75" customHeight="1">
      <c r="A309" s="2">
        <v>5.0</v>
      </c>
      <c r="B309" s="2" t="s">
        <v>988</v>
      </c>
      <c r="C309" s="2" t="s">
        <v>989</v>
      </c>
      <c r="D309" s="2" t="s">
        <v>13</v>
      </c>
      <c r="E309" s="2" t="s">
        <v>14</v>
      </c>
      <c r="F309" s="2" t="s">
        <v>15</v>
      </c>
      <c r="G309" s="2" t="s">
        <v>46</v>
      </c>
      <c r="H309" s="2" t="s">
        <v>47</v>
      </c>
      <c r="I309" s="2" t="str">
        <f>IFERROR(__xludf.DUMMYFUNCTION("GOOGLETRANSLATE(C309,""fr"",""en"")"),"Satisfied for the moment, waiting to see for the real insurance service service
In any case, the sales department has been extremely effective.")</f>
        <v>Satisfied for the moment, waiting to see for the real insurance service service
In any case, the sales department has been extremely effective.</v>
      </c>
    </row>
    <row r="310" ht="15.75" customHeight="1">
      <c r="A310" s="2">
        <v>5.0</v>
      </c>
      <c r="B310" s="2" t="s">
        <v>990</v>
      </c>
      <c r="C310" s="2" t="s">
        <v>991</v>
      </c>
      <c r="D310" s="2" t="s">
        <v>36</v>
      </c>
      <c r="E310" s="2" t="s">
        <v>14</v>
      </c>
      <c r="F310" s="2" t="s">
        <v>15</v>
      </c>
      <c r="G310" s="2" t="s">
        <v>992</v>
      </c>
      <c r="H310" s="2" t="s">
        <v>43</v>
      </c>
      <c r="I310" s="2" t="str">
        <f>IFERROR(__xludf.DUMMYFUNCTION("GOOGLETRANSLATE(C310,""fr"",""en"")"),"Super very happy with the rapiditis and the management of my quote. My sister send me to your client insurance for several years she has never had any problems")</f>
        <v>Super very happy with the rapiditis and the management of my quote. My sister send me to your client insurance for several years she has never had any problems</v>
      </c>
    </row>
    <row r="311" ht="15.75" customHeight="1">
      <c r="A311" s="2">
        <v>5.0</v>
      </c>
      <c r="B311" s="2" t="s">
        <v>993</v>
      </c>
      <c r="C311" s="2" t="s">
        <v>994</v>
      </c>
      <c r="D311" s="2" t="s">
        <v>13</v>
      </c>
      <c r="E311" s="2" t="s">
        <v>14</v>
      </c>
      <c r="F311" s="2" t="s">
        <v>15</v>
      </c>
      <c r="G311" s="2" t="s">
        <v>458</v>
      </c>
      <c r="H311" s="2" t="s">
        <v>33</v>
      </c>
      <c r="I311" s="2" t="str">
        <f>IFERROR(__xludf.DUMMYFUNCTION("GOOGLETRANSLATE(C311,""fr"",""en"")"),"Very satisfied with the commercial part, the explanations and the applied price. and his first administrative procedures. I'm going to continue them on other contracts ;-)
")</f>
        <v>Very satisfied with the commercial part, the explanations and the applied price. and his first administrative procedures. I'm going to continue them on other contracts ;-)
</v>
      </c>
    </row>
    <row r="312" ht="15.75" customHeight="1">
      <c r="A312" s="2">
        <v>3.0</v>
      </c>
      <c r="B312" s="2" t="s">
        <v>995</v>
      </c>
      <c r="C312" s="2" t="s">
        <v>996</v>
      </c>
      <c r="D312" s="2" t="s">
        <v>80</v>
      </c>
      <c r="E312" s="2" t="s">
        <v>37</v>
      </c>
      <c r="F312" s="2" t="s">
        <v>15</v>
      </c>
      <c r="G312" s="2" t="s">
        <v>997</v>
      </c>
      <c r="H312" s="2" t="s">
        <v>998</v>
      </c>
      <c r="I312" s="2" t="str">
        <f>IFERROR(__xludf.DUMMYFUNCTION("GOOGLETRANSLATE(C312,""fr"",""en"")"),"The MAAF turns its customers at the slightest claim. I paid the price for a car disaster and another for the house")</f>
        <v>The MAAF turns its customers at the slightest claim. I paid the price for a car disaster and another for the house</v>
      </c>
    </row>
    <row r="313" ht="15.75" customHeight="1">
      <c r="A313" s="2">
        <v>2.0</v>
      </c>
      <c r="B313" s="2" t="s">
        <v>999</v>
      </c>
      <c r="C313" s="2" t="s">
        <v>1000</v>
      </c>
      <c r="D313" s="2" t="s">
        <v>93</v>
      </c>
      <c r="E313" s="2" t="s">
        <v>14</v>
      </c>
      <c r="F313" s="2" t="s">
        <v>15</v>
      </c>
      <c r="G313" s="2" t="s">
        <v>1001</v>
      </c>
      <c r="H313" s="2" t="s">
        <v>145</v>
      </c>
      <c r="I313" s="2" t="str">
        <f>IFERROR(__xludf.DUMMYFUNCTION("GOOGLETRANSLATE(C313,""fr"",""en"")"),"Having no answers to my requests (important information on a claim) using the site, I tried to call the Matmut directly in order to have an advisor. After trying to call for 4 days (ten times a day, at any time, and 4 different matmut agencies), I underst"&amp;"ood that it was almost impossible to have an answer to my questions as soon as possible decents.
I finally had an advisor who knew how to answer my questions, but after so much effort and loss of time. I strongly advise against.")</f>
        <v>Having no answers to my requests (important information on a claim) using the site, I tried to call the Matmut directly in order to have an advisor. After trying to call for 4 days (ten times a day, at any time, and 4 different matmut agencies), I understood that it was almost impossible to have an answer to my questions as soon as possible decents.
I finally had an advisor who knew how to answer my questions, but after so much effort and loss of time. I strongly advise against.</v>
      </c>
    </row>
    <row r="314" ht="15.75" customHeight="1">
      <c r="A314" s="2">
        <v>1.0</v>
      </c>
      <c r="B314" s="2" t="s">
        <v>1002</v>
      </c>
      <c r="C314" s="2" t="s">
        <v>1003</v>
      </c>
      <c r="D314" s="2" t="s">
        <v>842</v>
      </c>
      <c r="E314" s="2" t="s">
        <v>31</v>
      </c>
      <c r="F314" s="2" t="s">
        <v>15</v>
      </c>
      <c r="G314" s="2" t="s">
        <v>1004</v>
      </c>
      <c r="H314" s="2" t="s">
        <v>62</v>
      </c>
      <c r="I314" s="2" t="str">
        <f>IFERROR(__xludf.DUMMYFUNCTION("GOOGLETRANSLATE(C314,""fr"",""en"")"),"Employees, both commercial and customer service, royally care for months to validate the membership, even the membership made, you are asked for documents already provided, send a schedule that does not correspond to the contract hung on the nose of the c"&amp;"ustomer delayed reimbursements of the delayed reimbursements fact of the incompetence of the employees regrets having subscribed to AG2R")</f>
        <v>Employees, both commercial and customer service, royally care for months to validate the membership, even the membership made, you are asked for documents already provided, send a schedule that does not correspond to the contract hung on the nose of the customer delayed reimbursements of the delayed reimbursements fact of the incompetence of the employees regrets having subscribed to AG2R</v>
      </c>
    </row>
    <row r="315" ht="15.75" customHeight="1">
      <c r="A315" s="2">
        <v>5.0</v>
      </c>
      <c r="B315" s="2" t="s">
        <v>1005</v>
      </c>
      <c r="C315" s="2" t="s">
        <v>1006</v>
      </c>
      <c r="D315" s="2" t="s">
        <v>13</v>
      </c>
      <c r="E315" s="2" t="s">
        <v>14</v>
      </c>
      <c r="F315" s="2" t="s">
        <v>15</v>
      </c>
      <c r="G315" s="2" t="s">
        <v>1007</v>
      </c>
      <c r="H315" s="2" t="s">
        <v>47</v>
      </c>
      <c r="I315" s="2" t="str">
        <f>IFERROR(__xludf.DUMMYFUNCTION("GOOGLETRANSLATE(C315,""fr"",""en"")"),"I am satisfied with the service of this perfect and responsive insurance as well as very welcoming thank you for your service")</f>
        <v>I am satisfied with the service of this perfect and responsive insurance as well as very welcoming thank you for your service</v>
      </c>
    </row>
    <row r="316" ht="15.75" customHeight="1">
      <c r="A316" s="2">
        <v>1.0</v>
      </c>
      <c r="B316" s="2" t="s">
        <v>1008</v>
      </c>
      <c r="C316" s="2" t="s">
        <v>1009</v>
      </c>
      <c r="D316" s="2" t="s">
        <v>1010</v>
      </c>
      <c r="E316" s="2" t="s">
        <v>21</v>
      </c>
      <c r="F316" s="2" t="s">
        <v>15</v>
      </c>
      <c r="G316" s="2" t="s">
        <v>1011</v>
      </c>
      <c r="H316" s="2" t="s">
        <v>23</v>
      </c>
      <c r="I316" s="2" t="str">
        <f>IFERROR(__xludf.DUMMYFUNCTION("GOOGLETRANSLATE(C316,""fr"",""en"")"),"After being contacted in early December by this ""insurer"", as part of their search for beneficiaries of contracts, we sent the documents and supporting documents in early January, 2 times by email and two recommended ... still no news!")</f>
        <v>After being contacted in early December by this "insurer", as part of their search for beneficiaries of contracts, we sent the documents and supporting documents in early January, 2 times by email and two recommended ... still no news!</v>
      </c>
    </row>
    <row r="317" ht="15.75" customHeight="1">
      <c r="A317" s="2">
        <v>2.0</v>
      </c>
      <c r="B317" s="2" t="s">
        <v>1012</v>
      </c>
      <c r="C317" s="2" t="s">
        <v>1013</v>
      </c>
      <c r="D317" s="2" t="s">
        <v>80</v>
      </c>
      <c r="E317" s="2" t="s">
        <v>14</v>
      </c>
      <c r="F317" s="2" t="s">
        <v>15</v>
      </c>
      <c r="G317" s="2" t="s">
        <v>1014</v>
      </c>
      <c r="H317" s="2" t="s">
        <v>167</v>
      </c>
      <c r="I317" s="2" t="str">
        <f>IFERROR(__xludf.DUMMYFUNCTION("GOOGLETRANSLATE(C317,""fr"",""en"")"),"Following a non -responsible RC disaster in early not compensation that is unreachable sinister service do not answer emails. My email with the requested parts sent 3 weeks ago has still not been treated
Pitiful")</f>
        <v>Following a non -responsible RC disaster in early not compensation that is unreachable sinister service do not answer emails. My email with the requested parts sent 3 weeks ago has still not been treated
Pitiful</v>
      </c>
    </row>
    <row r="318" ht="15.75" customHeight="1">
      <c r="A318" s="2">
        <v>2.0</v>
      </c>
      <c r="B318" s="2" t="s">
        <v>1015</v>
      </c>
      <c r="C318" s="2" t="s">
        <v>1016</v>
      </c>
      <c r="D318" s="2" t="s">
        <v>36</v>
      </c>
      <c r="E318" s="2" t="s">
        <v>14</v>
      </c>
      <c r="F318" s="2" t="s">
        <v>15</v>
      </c>
      <c r="G318" s="2" t="s">
        <v>196</v>
      </c>
      <c r="H318" s="2" t="s">
        <v>171</v>
      </c>
      <c r="I318" s="2" t="str">
        <f>IFERROR(__xludf.DUMMYFUNCTION("GOOGLETRANSLATE(C318,""fr"",""en"")"),"Too high price
No information for the young driver
Too high price
No information for the young driver
Too high price
No information for the young driver")</f>
        <v>Too high price
No information for the young driver
Too high price
No information for the young driver
Too high price
No information for the young driver</v>
      </c>
    </row>
    <row r="319" ht="15.75" customHeight="1">
      <c r="A319" s="2">
        <v>1.0</v>
      </c>
      <c r="B319" s="2" t="s">
        <v>1017</v>
      </c>
      <c r="C319" s="2" t="s">
        <v>1018</v>
      </c>
      <c r="D319" s="2" t="s">
        <v>80</v>
      </c>
      <c r="E319" s="2" t="s">
        <v>14</v>
      </c>
      <c r="F319" s="2" t="s">
        <v>15</v>
      </c>
      <c r="G319" s="2" t="s">
        <v>1019</v>
      </c>
      <c r="H319" s="2" t="s">
        <v>400</v>
      </c>
      <c r="I319" s="2" t="str">
        <f>IFERROR(__xludf.DUMMYFUNCTION("GOOGLETRANSLATE(C319,""fr"",""en"")"),"I changed my car, I was before at LCL Assurance, and I wanted to change my insurance for my new car. I was advised the maaf, but when I went to the agency informing him I was ""kindly"" said that as I do not know anyone who evening assured at the maaf he "&amp;"could do nothing for me. When I arrived I was just asked ""Do you have a family member insured with us?"" "", I answered no and I was told sorry we can do nothing for you ... really disappointed .. it's a bit stupid not to want new customers")</f>
        <v>I changed my car, I was before at LCL Assurance, and I wanted to change my insurance for my new car. I was advised the maaf, but when I went to the agency informing him I was "kindly" said that as I do not know anyone who evening assured at the maaf he could do nothing for me. When I arrived I was just asked "Do you have a family member insured with us?" ", I answered no and I was told sorry we can do nothing for you ... really disappointed .. it's a bit stupid not to want new customers</v>
      </c>
    </row>
    <row r="320" ht="15.75" customHeight="1">
      <c r="A320" s="2">
        <v>4.0</v>
      </c>
      <c r="B320" s="2" t="s">
        <v>1020</v>
      </c>
      <c r="C320" s="2" t="s">
        <v>1021</v>
      </c>
      <c r="D320" s="2" t="s">
        <v>13</v>
      </c>
      <c r="E320" s="2" t="s">
        <v>14</v>
      </c>
      <c r="F320" s="2" t="s">
        <v>15</v>
      </c>
      <c r="G320" s="2" t="s">
        <v>193</v>
      </c>
      <c r="H320" s="2" t="s">
        <v>27</v>
      </c>
      <c r="I320" s="2" t="str">
        <f>IFERROR(__xludf.DUMMYFUNCTION("GOOGLETRANSLATE(C320,""fr"",""en"")"),"I am satisfied with the service by phone and the signature of documents, it's easy. Then the speed of management of my request too ...")</f>
        <v>I am satisfied with the service by phone and the signature of documents, it's easy. Then the speed of management of my request too ...</v>
      </c>
    </row>
    <row r="321" ht="15.75" customHeight="1">
      <c r="A321" s="2">
        <v>4.0</v>
      </c>
      <c r="B321" s="2" t="s">
        <v>1022</v>
      </c>
      <c r="C321" s="2" t="s">
        <v>1023</v>
      </c>
      <c r="D321" s="2" t="s">
        <v>36</v>
      </c>
      <c r="E321" s="2" t="s">
        <v>14</v>
      </c>
      <c r="F321" s="2" t="s">
        <v>15</v>
      </c>
      <c r="G321" s="2" t="s">
        <v>1024</v>
      </c>
      <c r="H321" s="2" t="s">
        <v>73</v>
      </c>
      <c r="I321" s="2" t="str">
        <f>IFERROR(__xludf.DUMMYFUNCTION("GOOGLETRANSLATE(C321,""fr"",""en"")"),"Perfectly what I need!
I am not disappointed with the visit. I highly recommend direct insurance.
So I put 5 stars.")</f>
        <v>Perfectly what I need!
I am not disappointed with the visit. I highly recommend direct insurance.
So I put 5 stars.</v>
      </c>
    </row>
    <row r="322" ht="15.75" customHeight="1">
      <c r="A322" s="2">
        <v>5.0</v>
      </c>
      <c r="B322" s="2" t="s">
        <v>1025</v>
      </c>
      <c r="C322" s="2" t="s">
        <v>1026</v>
      </c>
      <c r="D322" s="2" t="s">
        <v>36</v>
      </c>
      <c r="E322" s="2" t="s">
        <v>14</v>
      </c>
      <c r="F322" s="2" t="s">
        <v>15</v>
      </c>
      <c r="G322" s="2" t="s">
        <v>1027</v>
      </c>
      <c r="H322" s="2" t="s">
        <v>171</v>
      </c>
      <c r="I322" s="2" t="str">
        <f>IFERROR(__xludf.DUMMYFUNCTION("GOOGLETRANSLATE(C322,""fr"",""en"")"),"I am very happy with the service offered as much as a price as a practical side. The cheapest and simple and quick service. Thank you for the whole Direct Insurance Team.")</f>
        <v>I am very happy with the service offered as much as a price as a practical side. The cheapest and simple and quick service. Thank you for the whole Direct Insurance Team.</v>
      </c>
    </row>
    <row r="323" ht="15.75" customHeight="1">
      <c r="A323" s="2">
        <v>2.0</v>
      </c>
      <c r="B323" s="2" t="s">
        <v>1028</v>
      </c>
      <c r="C323" s="2" t="s">
        <v>1029</v>
      </c>
      <c r="D323" s="2" t="s">
        <v>430</v>
      </c>
      <c r="E323" s="2" t="s">
        <v>14</v>
      </c>
      <c r="F323" s="2" t="s">
        <v>15</v>
      </c>
      <c r="G323" s="2" t="s">
        <v>1030</v>
      </c>
      <c r="H323" s="2" t="s">
        <v>213</v>
      </c>
      <c r="I323" s="2" t="str">
        <f>IFERROR(__xludf.DUMMYFUNCTION("GOOGLETRANSLATE(C323,""fr"",""en"")"),"il ne  faut pas avoir besoin de son assureur, ils encaissent les primes  ensuite sauve qui peur en cas de sinistre xxxxxxxxxxxxxxxxxxxxxxxxxxxxxxxxxxxxxxxxxxxxxxxxxxxxxxxxxxxxx
 ")</f>
        <v>il ne  faut pas avoir besoin de son assureur, ils encaissent les primes  ensuite sauve qui peur en cas de sinistre xxxxxxxxxxxxxxxxxxxxxxxxxxxxxxxxxxxxxxxxxxxxxxxxxxxxxxxxxxxxx
 </v>
      </c>
    </row>
    <row r="324" ht="15.75" customHeight="1">
      <c r="A324" s="2">
        <v>5.0</v>
      </c>
      <c r="B324" s="2" t="s">
        <v>1031</v>
      </c>
      <c r="C324" s="2" t="s">
        <v>1032</v>
      </c>
      <c r="D324" s="2" t="s">
        <v>36</v>
      </c>
      <c r="E324" s="2" t="s">
        <v>14</v>
      </c>
      <c r="F324" s="2" t="s">
        <v>15</v>
      </c>
      <c r="G324" s="2" t="s">
        <v>201</v>
      </c>
      <c r="H324" s="2" t="s">
        <v>33</v>
      </c>
      <c r="I324" s="2" t="str">
        <f>IFERROR(__xludf.DUMMYFUNCTION("GOOGLETRANSLATE(C324,""fr"",""en"")"),"I am very satisfied and I had to do with sympathetic people by emails.
The prices are very competitive and I will recommend this insurer to my loved ones
")</f>
        <v>I am very satisfied and I had to do with sympathetic people by emails.
The prices are very competitive and I will recommend this insurer to my loved ones
</v>
      </c>
    </row>
    <row r="325" ht="15.75" customHeight="1">
      <c r="A325" s="2">
        <v>5.0</v>
      </c>
      <c r="B325" s="2" t="s">
        <v>1033</v>
      </c>
      <c r="C325" s="2" t="s">
        <v>1034</v>
      </c>
      <c r="D325" s="2" t="s">
        <v>76</v>
      </c>
      <c r="E325" s="2" t="s">
        <v>51</v>
      </c>
      <c r="F325" s="2" t="s">
        <v>15</v>
      </c>
      <c r="G325" s="2" t="s">
        <v>427</v>
      </c>
      <c r="H325" s="2" t="s">
        <v>33</v>
      </c>
      <c r="I325" s="2" t="str">
        <f>IFERROR(__xludf.DUMMYFUNCTION("GOOGLETRANSLATE(C325,""fr"",""en"")"),"BJRS always Competant and Direct kindly stunned by Telp Word of biker cordially very well advisable and advising each friend biker")</f>
        <v>BJRS always Competant and Direct kindly stunned by Telp Word of biker cordially very well advisable and advising each friend biker</v>
      </c>
    </row>
    <row r="326" ht="15.75" customHeight="1">
      <c r="A326" s="2">
        <v>1.0</v>
      </c>
      <c r="B326" s="2" t="s">
        <v>1035</v>
      </c>
      <c r="C326" s="2" t="s">
        <v>1036</v>
      </c>
      <c r="D326" s="2" t="s">
        <v>636</v>
      </c>
      <c r="E326" s="2" t="s">
        <v>31</v>
      </c>
      <c r="F326" s="2" t="s">
        <v>15</v>
      </c>
      <c r="G326" s="2" t="s">
        <v>156</v>
      </c>
      <c r="H326" s="2" t="s">
        <v>33</v>
      </c>
      <c r="I326" s="2" t="str">
        <f>IFERROR(__xludf.DUMMYFUNCTION("GOOGLETRANSLATE(C326,""fr"",""en"")"),"Mutual to flee, withdrawals carried out wrongly since contract terminated in good and due to form and after 2 months still no refund .... We tell you on the phone the reimbursement is triggered and nothing, must be called every week. To take the samples f"&amp;"rom your account, they know .... for advice and refunds for care or other, there is no one anymore .... Flee")</f>
        <v>Mutual to flee, withdrawals carried out wrongly since contract terminated in good and due to form and after 2 months still no refund .... We tell you on the phone the reimbursement is triggered and nothing, must be called every week. To take the samples from your account, they know .... for advice and refunds for care or other, there is no one anymore .... Flee</v>
      </c>
    </row>
    <row r="327" ht="15.75" customHeight="1">
      <c r="A327" s="2">
        <v>3.0</v>
      </c>
      <c r="B327" s="2" t="s">
        <v>1037</v>
      </c>
      <c r="C327" s="2" t="s">
        <v>1038</v>
      </c>
      <c r="D327" s="2" t="s">
        <v>13</v>
      </c>
      <c r="E327" s="2" t="s">
        <v>14</v>
      </c>
      <c r="F327" s="2" t="s">
        <v>15</v>
      </c>
      <c r="G327" s="2" t="s">
        <v>1039</v>
      </c>
      <c r="H327" s="2" t="s">
        <v>47</v>
      </c>
      <c r="I327" s="2" t="str">
        <f>IFERROR(__xludf.DUMMYFUNCTION("GOOGLETRANSLATE(C327,""fr"",""en"")"),"Already provided at the Ollivier but no advantage on the price and always the same information to provide and repeat. Obviously digitization has its limits")</f>
        <v>Already provided at the Ollivier but no advantage on the price and always the same information to provide and repeat. Obviously digitization has its limits</v>
      </c>
    </row>
    <row r="328" ht="15.75" customHeight="1">
      <c r="A328" s="2">
        <v>2.0</v>
      </c>
      <c r="B328" s="2" t="s">
        <v>1040</v>
      </c>
      <c r="C328" s="2" t="s">
        <v>1041</v>
      </c>
      <c r="D328" s="2" t="s">
        <v>80</v>
      </c>
      <c r="E328" s="2" t="s">
        <v>14</v>
      </c>
      <c r="F328" s="2" t="s">
        <v>15</v>
      </c>
      <c r="G328" s="2" t="s">
        <v>1042</v>
      </c>
      <c r="H328" s="2" t="s">
        <v>471</v>
      </c>
      <c r="I328" s="2" t="str">
        <f>IFERROR(__xludf.DUMMYFUNCTION("GOOGLETRANSLATE(C328,""fr"",""en"")"),"On contract we have a replacement vehicle! Except that when we need it, they refuse it !!! We have to break the car to be entitled to it !!! It is not stipulated zero by on the documents in our possession. And we had stipulated that we wanted this replace"&amp;"ment vehicle when signing the contract! (We are mafré with cars, a lot of breakdown)")</f>
        <v>On contract we have a replacement vehicle! Except that when we need it, they refuse it !!! We have to break the car to be entitled to it !!! It is not stipulated zero by on the documents in our possession. And we had stipulated that we wanted this replacement vehicle when signing the contract! (We are mafré with cars, a lot of breakdown)</v>
      </c>
    </row>
    <row r="329" ht="15.75" customHeight="1">
      <c r="A329" s="2">
        <v>4.0</v>
      </c>
      <c r="B329" s="2" t="s">
        <v>1043</v>
      </c>
      <c r="C329" s="2" t="s">
        <v>1044</v>
      </c>
      <c r="D329" s="2" t="s">
        <v>50</v>
      </c>
      <c r="E329" s="2" t="s">
        <v>51</v>
      </c>
      <c r="F329" s="2" t="s">
        <v>15</v>
      </c>
      <c r="G329" s="2" t="s">
        <v>1045</v>
      </c>
      <c r="H329" s="2" t="s">
        <v>47</v>
      </c>
      <c r="I329" s="2" t="str">
        <f>IFERROR(__xludf.DUMMYFUNCTION("GOOGLETRANSLATE(C329,""fr"",""en"")"),"Offering a monthly payment is not negligible, little insurance does not offer it!
Leave the customer of the subscription method, telephone or internet, do not force the customer.")</f>
        <v>Offering a monthly payment is not negligible, little insurance does not offer it!
Leave the customer of the subscription method, telephone or internet, do not force the customer.</v>
      </c>
    </row>
    <row r="330" ht="15.75" customHeight="1">
      <c r="A330" s="2">
        <v>5.0</v>
      </c>
      <c r="B330" s="2" t="s">
        <v>1046</v>
      </c>
      <c r="C330" s="2" t="s">
        <v>1047</v>
      </c>
      <c r="D330" s="2" t="s">
        <v>36</v>
      </c>
      <c r="E330" s="2" t="s">
        <v>14</v>
      </c>
      <c r="F330" s="2" t="s">
        <v>15</v>
      </c>
      <c r="G330" s="2" t="s">
        <v>1048</v>
      </c>
      <c r="H330" s="2" t="s">
        <v>171</v>
      </c>
      <c r="I330" s="2" t="str">
        <f>IFERROR(__xludf.DUMMYFUNCTION("GOOGLETRANSLATE(C330,""fr"",""en"")"),"Very satisfactory service. Very good value for money. Reception of very satisfactory interlocutors. I recommend direct insurance to my loved ones.")</f>
        <v>Very satisfactory service. Very good value for money. Reception of very satisfactory interlocutors. I recommend direct insurance to my loved ones.</v>
      </c>
    </row>
    <row r="331" ht="15.75" customHeight="1">
      <c r="A331" s="2">
        <v>3.0</v>
      </c>
      <c r="B331" s="2" t="s">
        <v>1049</v>
      </c>
      <c r="C331" s="2" t="s">
        <v>1050</v>
      </c>
      <c r="D331" s="2" t="s">
        <v>36</v>
      </c>
      <c r="E331" s="2" t="s">
        <v>14</v>
      </c>
      <c r="F331" s="2" t="s">
        <v>15</v>
      </c>
      <c r="G331" s="2" t="s">
        <v>923</v>
      </c>
      <c r="H331" s="2" t="s">
        <v>33</v>
      </c>
      <c r="I331" s="2" t="str">
        <f>IFERROR(__xludf.DUMMYFUNCTION("GOOGLETRANSLATE(C331,""fr"",""en"")"),"Simple and practical but I hope I have no bad surprises when you have a problem. I recommend without hesitation to subscribe this insurance")</f>
        <v>Simple and practical but I hope I have no bad surprises when you have a problem. I recommend without hesitation to subscribe this insurance</v>
      </c>
    </row>
    <row r="332" ht="15.75" customHeight="1">
      <c r="A332" s="2">
        <v>4.0</v>
      </c>
      <c r="B332" s="2" t="s">
        <v>1051</v>
      </c>
      <c r="C332" s="2" t="s">
        <v>1052</v>
      </c>
      <c r="D332" s="2" t="s">
        <v>76</v>
      </c>
      <c r="E332" s="2" t="s">
        <v>51</v>
      </c>
      <c r="F332" s="2" t="s">
        <v>15</v>
      </c>
      <c r="G332" s="2" t="s">
        <v>1053</v>
      </c>
      <c r="H332" s="2" t="s">
        <v>998</v>
      </c>
      <c r="I332" s="2" t="str">
        <f>IFERROR(__xludf.DUMMYFUNCTION("GOOGLETRANSLATE(C332,""fr"",""en"")"),"What would be good to be able to edit green card
In are personal account in web")</f>
        <v>What would be good to be able to edit green card
In are personal account in web</v>
      </c>
    </row>
    <row r="333" ht="15.75" customHeight="1">
      <c r="A333" s="2">
        <v>2.0</v>
      </c>
      <c r="B333" s="2" t="s">
        <v>1054</v>
      </c>
      <c r="C333" s="2" t="s">
        <v>1055</v>
      </c>
      <c r="D333" s="2" t="s">
        <v>125</v>
      </c>
      <c r="E333" s="2" t="s">
        <v>14</v>
      </c>
      <c r="F333" s="2" t="s">
        <v>15</v>
      </c>
      <c r="G333" s="2" t="s">
        <v>1056</v>
      </c>
      <c r="H333" s="2" t="s">
        <v>117</v>
      </c>
      <c r="I333" s="2" t="str">
        <f>IFERROR(__xludf.DUMMYFUNCTION("GOOGLETRANSLATE(C333,""fr"",""en"")"),"In 2018 guys ask you to send a fax! So they even show bad faith by saying that they did not receive it! Especially since I sent my loss file to a followed letter which arrived the same day I wasted my time with them on the phone ... for a fax not received"&amp;"! Few agency in rural areas unlike Groupama or other Maif.")</f>
        <v>In 2018 guys ask you to send a fax! So they even show bad faith by saying that they did not receive it! Especially since I sent my loss file to a followed letter which arrived the same day I wasted my time with them on the phone ... for a fax not received! Few agency in rural areas unlike Groupama or other Maif.</v>
      </c>
    </row>
    <row r="334" ht="15.75" customHeight="1">
      <c r="A334" s="2">
        <v>5.0</v>
      </c>
      <c r="B334" s="2" t="s">
        <v>1057</v>
      </c>
      <c r="C334" s="2" t="s">
        <v>1058</v>
      </c>
      <c r="D334" s="2" t="s">
        <v>354</v>
      </c>
      <c r="E334" s="2" t="s">
        <v>37</v>
      </c>
      <c r="F334" s="2" t="s">
        <v>15</v>
      </c>
      <c r="G334" s="2" t="s">
        <v>1059</v>
      </c>
      <c r="H334" s="2" t="s">
        <v>69</v>
      </c>
      <c r="I334" s="2" t="str">
        <f>IFERROR(__xludf.DUMMYFUNCTION("GOOGLETRANSLATE(C334,""fr"",""en"")"),"Perfect claims management A quick and easy communication a precise detailed consideration.
rapid compensation
We take care of the customer and his disaster")</f>
        <v>Perfect claims management A quick and easy communication a precise detailed consideration.
rapid compensation
We take care of the customer and his disaster</v>
      </c>
    </row>
    <row r="335" ht="15.75" customHeight="1">
      <c r="A335" s="2">
        <v>2.0</v>
      </c>
      <c r="B335" s="2" t="s">
        <v>1060</v>
      </c>
      <c r="C335" s="2" t="s">
        <v>1061</v>
      </c>
      <c r="D335" s="2" t="s">
        <v>414</v>
      </c>
      <c r="E335" s="2" t="s">
        <v>37</v>
      </c>
      <c r="F335" s="2" t="s">
        <v>15</v>
      </c>
      <c r="G335" s="2" t="s">
        <v>1062</v>
      </c>
      <c r="H335" s="2" t="s">
        <v>287</v>
      </c>
      <c r="I335" s="2" t="str">
        <f>IFERROR(__xludf.DUMMYFUNCTION("GOOGLETRANSLATE(C335,""fr"",""en"")"),"MAIF members for many years, we have 4 contracts at home. Today, insured for over 25 years, we have undergone our first disaster !!! Well for a first, we served !!
We therefore declare a water damage (not predictable, rupture of an underground pipe under"&amp;" the bathroom), to our insurer. After the visit of a company mandated by the MAIF in order to carry out a leak search, the MAIF decides to involve an ""expert"". During his visit, he was kind enough to take into account the damage linked to the disaster i"&amp;"n the rooms, the corridor and the toilets, but not in the bathroom. His explanation, too much damage following the flight !!
Immediately his departure, I carried a complaint and I contacted the manager of our disaster to inform him of our complaint. The "&amp;"latter told me that the expert will have to come back to take into account all the damage. For now 2, 5 months we are walking around and we are not ignored, no possibility of meeting a person everything is adjusted by phone. Even the maif delegate tried t"&amp;"o get answers, but he too is hit the indifference of his own colleagues !! They recognize that the expert has committed a fault in order to limit the amount of compensation, but offers no solution.
We arrived in time when even the advisor of our agency n"&amp;"o longer seeks to defend his own box !!
It's a shame !!!")</f>
        <v>MAIF members for many years, we have 4 contracts at home. Today, insured for over 25 years, we have undergone our first disaster !!! Well for a first, we served !!
We therefore declare a water damage (not predictable, rupture of an underground pipe under the bathroom), to our insurer. After the visit of a company mandated by the MAIF in order to carry out a leak search, the MAIF decides to involve an "expert". During his visit, he was kind enough to take into account the damage linked to the disaster in the rooms, the corridor and the toilets, but not in the bathroom. His explanation, too much damage following the flight !!
Immediately his departure, I carried a complaint and I contacted the manager of our disaster to inform him of our complaint. The latter told me that the expert will have to come back to take into account all the damage. For now 2, 5 months we are walking around and we are not ignored, no possibility of meeting a person everything is adjusted by phone. Even the maif delegate tried to get answers, but he too is hit the indifference of his own colleagues !! They recognize that the expert has committed a fault in order to limit the amount of compensation, but offers no solution.
We arrived in time when even the advisor of our agency no longer seeks to defend his own box !!
It's a shame !!!</v>
      </c>
    </row>
    <row r="336" ht="15.75" customHeight="1">
      <c r="A336" s="2">
        <v>5.0</v>
      </c>
      <c r="B336" s="2" t="s">
        <v>1063</v>
      </c>
      <c r="C336" s="2" t="s">
        <v>1064</v>
      </c>
      <c r="D336" s="2" t="s">
        <v>36</v>
      </c>
      <c r="E336" s="2" t="s">
        <v>14</v>
      </c>
      <c r="F336" s="2" t="s">
        <v>15</v>
      </c>
      <c r="G336" s="2" t="s">
        <v>219</v>
      </c>
      <c r="H336" s="2" t="s">
        <v>171</v>
      </c>
      <c r="I336" s="2" t="str">
        <f>IFERROR(__xludf.DUMMYFUNCTION("GOOGLETRANSLATE(C336,""fr"",""en"")"),"Simple and quick subscription!
Attractive prices and the suggestion of relevant contract, I am happy to have joined this insurance company")</f>
        <v>Simple and quick subscription!
Attractive prices and the suggestion of relevant contract, I am happy to have joined this insurance company</v>
      </c>
    </row>
    <row r="337" ht="15.75" customHeight="1">
      <c r="A337" s="2">
        <v>4.0</v>
      </c>
      <c r="B337" s="2" t="s">
        <v>1065</v>
      </c>
      <c r="C337" s="2" t="s">
        <v>1066</v>
      </c>
      <c r="D337" s="2" t="s">
        <v>13</v>
      </c>
      <c r="E337" s="2" t="s">
        <v>14</v>
      </c>
      <c r="F337" s="2" t="s">
        <v>15</v>
      </c>
      <c r="G337" s="2" t="s">
        <v>243</v>
      </c>
      <c r="H337" s="2" t="s">
        <v>47</v>
      </c>
      <c r="I337" s="2" t="str">
        <f>IFERROR(__xludf.DUMMYFUNCTION("GOOGLETRANSLATE(C337,""fr"",""en"")"),"Prices suit me. The after -sales service is pleasant and fast. The site is easy to access and easy to use. I recommend your insurance to my loved ones.
")</f>
        <v>Prices suit me. The after -sales service is pleasant and fast. The site is easy to access and easy to use. I recommend your insurance to my loved ones.
</v>
      </c>
    </row>
    <row r="338" ht="15.75" customHeight="1">
      <c r="A338" s="2">
        <v>5.0</v>
      </c>
      <c r="B338" s="2" t="s">
        <v>1067</v>
      </c>
      <c r="C338" s="2" t="s">
        <v>1068</v>
      </c>
      <c r="D338" s="2" t="s">
        <v>125</v>
      </c>
      <c r="E338" s="2" t="s">
        <v>14</v>
      </c>
      <c r="F338" s="2" t="s">
        <v>15</v>
      </c>
      <c r="G338" s="2" t="s">
        <v>1069</v>
      </c>
      <c r="H338" s="2" t="s">
        <v>684</v>
      </c>
      <c r="I338" s="2" t="str">
        <f>IFERROR(__xludf.DUMMYFUNCTION("GOOGLETRANSLATE(C338,""fr"",""en"")"),"I recommend GMF Best GMF insurance from all Insurance in France and especially the cheapest at all levels I really keep formulating it to all my colleagues
Thank you GMF
")</f>
        <v>I recommend GMF Best GMF insurance from all Insurance in France and especially the cheapest at all levels I really keep formulating it to all my colleagues
Thank you GMF
</v>
      </c>
    </row>
    <row r="339" ht="15.75" customHeight="1">
      <c r="A339" s="2">
        <v>1.0</v>
      </c>
      <c r="B339" s="2" t="s">
        <v>1070</v>
      </c>
      <c r="C339" s="2" t="s">
        <v>1071</v>
      </c>
      <c r="D339" s="2" t="s">
        <v>414</v>
      </c>
      <c r="E339" s="2" t="s">
        <v>37</v>
      </c>
      <c r="F339" s="2" t="s">
        <v>15</v>
      </c>
      <c r="G339" s="2" t="s">
        <v>1072</v>
      </c>
      <c r="H339" s="2" t="s">
        <v>69</v>
      </c>
      <c r="I339" s="2" t="str">
        <f>IFERROR(__xludf.DUMMYFUNCTION("GOOGLETRANSLATE(C339,""fr"",""en"")"),"I was robbed of September 2018. I called to declare it, I have everything I was told to do. 3 Seamine after I had no news I called and I was sent by email the sheet for the letimation of the biesn degraded and stolen. What I returned by email, 1 month has"&amp;" passed when I am explained to me that the invoices must be sent by stolen goods. 2 months after I am not in order to spend by mail the PV, (he had disguised him the beginning by email) and that he lacked on this PV the details of stolen goods, so I see t"&amp;"he complement of PV, and 20/11/18 or 2 months 1/2 after it informs me too much inconsistency. I just made it told to do. The prejudice does not interest them. They drag the file so as not to settle. It's a shame")</f>
        <v>I was robbed of September 2018. I called to declare it, I have everything I was told to do. 3 Seamine after I had no news I called and I was sent by email the sheet for the letimation of the biesn degraded and stolen. What I returned by email, 1 month has passed when I am explained to me that the invoices must be sent by stolen goods. 2 months after I am not in order to spend by mail the PV, (he had disguised him the beginning by email) and that he lacked on this PV the details of stolen goods, so I see the complement of PV, and 20/11/18 or 2 months 1/2 after it informs me too much inconsistency. I just made it told to do. The prejudice does not interest them. They drag the file so as not to settle. It's a shame</v>
      </c>
    </row>
    <row r="340" ht="15.75" customHeight="1">
      <c r="A340" s="2">
        <v>1.0</v>
      </c>
      <c r="B340" s="2" t="s">
        <v>1073</v>
      </c>
      <c r="C340" s="2" t="s">
        <v>1074</v>
      </c>
      <c r="D340" s="2" t="s">
        <v>1075</v>
      </c>
      <c r="E340" s="2" t="s">
        <v>51</v>
      </c>
      <c r="F340" s="2" t="s">
        <v>15</v>
      </c>
      <c r="G340" s="2" t="s">
        <v>539</v>
      </c>
      <c r="H340" s="2" t="s">
        <v>171</v>
      </c>
      <c r="I340" s="2" t="str">
        <f>IFERROR(__xludf.DUMMYFUNCTION("GOOGLETRANSLATE(C340,""fr"",""en"")"),"30 years of motorcycles. No responsible accident. 3 motorcycles and a guaranteed car. Increase of more than 15 % !!!!! While the year 2020 was what we know with the confinements. After having contacted them I had no information that could justify this inc"&amp;"rease. I'm looking for a new insurer !!!
")</f>
        <v>30 years of motorcycles. No responsible accident. 3 motorcycles and a guaranteed car. Increase of more than 15 % !!!!! While the year 2020 was what we know with the confinements. After having contacted them I had no information that could justify this increase. I'm looking for a new insurer !!!
</v>
      </c>
    </row>
    <row r="341" ht="15.75" customHeight="1">
      <c r="A341" s="2">
        <v>4.0</v>
      </c>
      <c r="B341" s="2" t="s">
        <v>1076</v>
      </c>
      <c r="C341" s="2" t="s">
        <v>1077</v>
      </c>
      <c r="D341" s="2" t="s">
        <v>13</v>
      </c>
      <c r="E341" s="2" t="s">
        <v>14</v>
      </c>
      <c r="F341" s="2" t="s">
        <v>15</v>
      </c>
      <c r="G341" s="2" t="s">
        <v>377</v>
      </c>
      <c r="H341" s="2" t="s">
        <v>85</v>
      </c>
      <c r="I341" s="2" t="str">
        <f>IFERROR(__xludf.DUMMYFUNCTION("GOOGLETRANSLATE(C341,""fr"",""en"")"),"I am satisfied with the service and the price level. The approach to subscribe to the contract is fast, simplified. I highly recommend the olive assurance.")</f>
        <v>I am satisfied with the service and the price level. The approach to subscribe to the contract is fast, simplified. I highly recommend the olive assurance.</v>
      </c>
    </row>
    <row r="342" ht="15.75" customHeight="1">
      <c r="A342" s="2">
        <v>4.0</v>
      </c>
      <c r="B342" s="2" t="s">
        <v>1078</v>
      </c>
      <c r="C342" s="2" t="s">
        <v>1079</v>
      </c>
      <c r="D342" s="2" t="s">
        <v>36</v>
      </c>
      <c r="E342" s="2" t="s">
        <v>14</v>
      </c>
      <c r="F342" s="2" t="s">
        <v>15</v>
      </c>
      <c r="G342" s="2" t="s">
        <v>970</v>
      </c>
      <c r="H342" s="2" t="s">
        <v>171</v>
      </c>
      <c r="I342" s="2" t="str">
        <f>IFERROR(__xludf.DUMMYFUNCTION("GOOGLETRANSLATE(C342,""fr"",""en"")"),"Perfect, fast, clear and relevant.
After a connection concern resulting from my internet connection; One answer by phone allowed me to subscribe online without stress thank you")</f>
        <v>Perfect, fast, clear and relevant.
After a connection concern resulting from my internet connection; One answer by phone allowed me to subscribe online without stress thank you</v>
      </c>
    </row>
    <row r="343" ht="15.75" customHeight="1">
      <c r="A343" s="2">
        <v>5.0</v>
      </c>
      <c r="B343" s="2" t="s">
        <v>1080</v>
      </c>
      <c r="C343" s="2" t="s">
        <v>1081</v>
      </c>
      <c r="D343" s="2" t="s">
        <v>199</v>
      </c>
      <c r="E343" s="2" t="s">
        <v>200</v>
      </c>
      <c r="F343" s="2" t="s">
        <v>15</v>
      </c>
      <c r="G343" s="2" t="s">
        <v>47</v>
      </c>
      <c r="H343" s="2" t="s">
        <v>47</v>
      </c>
      <c r="I343" s="2" t="str">
        <f>IFERROR(__xludf.DUMMYFUNCTION("GOOGLETRANSLATE(C343,""fr"",""en"")")," I took for the second time borrower insurance via Zen Up for my new real estate credit
My first was reimbursed in advance and the first insurance was closed")</f>
        <v> I took for the second time borrower insurance via Zen Up for my new real estate credit
My first was reimbursed in advance and the first insurance was closed</v>
      </c>
    </row>
    <row r="344" ht="15.75" customHeight="1">
      <c r="A344" s="2">
        <v>3.0</v>
      </c>
      <c r="B344" s="2" t="s">
        <v>1082</v>
      </c>
      <c r="C344" s="2" t="s">
        <v>1083</v>
      </c>
      <c r="D344" s="2" t="s">
        <v>88</v>
      </c>
      <c r="E344" s="2" t="s">
        <v>31</v>
      </c>
      <c r="F344" s="2" t="s">
        <v>15</v>
      </c>
      <c r="G344" s="2" t="s">
        <v>663</v>
      </c>
      <c r="H344" s="2" t="s">
        <v>504</v>
      </c>
      <c r="I344" s="2" t="str">
        <f>IFERROR(__xludf.DUMMYFUNCTION("GOOGLETRANSLATE(C344,""fr"",""en"")"),"I just had an interview with Khalid following my membership in this mutual. My former mutual insurance company refused me the termination of my contract. Following our discussion, I received by email the necessary papers to make this termination")</f>
        <v>I just had an interview with Khalid following my membership in this mutual. My former mutual insurance company refused me the termination of my contract. Following our discussion, I received by email the necessary papers to make this termination</v>
      </c>
    </row>
    <row r="345" ht="15.75" customHeight="1">
      <c r="A345" s="2">
        <v>2.0</v>
      </c>
      <c r="B345" s="2" t="s">
        <v>1084</v>
      </c>
      <c r="C345" s="2" t="s">
        <v>1085</v>
      </c>
      <c r="D345" s="2" t="s">
        <v>430</v>
      </c>
      <c r="E345" s="2" t="s">
        <v>37</v>
      </c>
      <c r="F345" s="2" t="s">
        <v>15</v>
      </c>
      <c r="G345" s="2" t="s">
        <v>1086</v>
      </c>
      <c r="H345" s="2" t="s">
        <v>578</v>
      </c>
      <c r="I345" s="2" t="str">
        <f>IFERROR(__xludf.DUMMYFUNCTION("GOOGLETRANSLATE(C345,""fr"",""en"")"),"Customer of the Macif for 23 years, I have just had a fairly traumatic experience since I was robbed at 11 a.m. while I was in my apartment. The Macif refuses any refund because, even if doors and windows were closed, the shutters should have been (I remi"&amp;"nd you that I was at home). My contract dates from 2016. The general conditions to date have evolved (it is now closed windows or shutters, and no longer and) but it does not apply to me !!! While we are always talking about the protective option home con"&amp;"tract.
Conclusion: Better not to be an old client and faithful to the Macif.")</f>
        <v>Customer of the Macif for 23 years, I have just had a fairly traumatic experience since I was robbed at 11 a.m. while I was in my apartment. The Macif refuses any refund because, even if doors and windows were closed, the shutters should have been (I remind you that I was at home). My contract dates from 2016. The general conditions to date have evolved (it is now closed windows or shutters, and no longer and) but it does not apply to me !!! While we are always talking about the protective option home contract.
Conclusion: Better not to be an old client and faithful to the Macif.</v>
      </c>
    </row>
    <row r="346" ht="15.75" customHeight="1">
      <c r="A346" s="2">
        <v>5.0</v>
      </c>
      <c r="B346" s="2" t="s">
        <v>1087</v>
      </c>
      <c r="C346" s="2" t="s">
        <v>1088</v>
      </c>
      <c r="D346" s="2" t="s">
        <v>13</v>
      </c>
      <c r="E346" s="2" t="s">
        <v>14</v>
      </c>
      <c r="F346" s="2" t="s">
        <v>15</v>
      </c>
      <c r="G346" s="2" t="s">
        <v>1089</v>
      </c>
      <c r="H346" s="2" t="s">
        <v>85</v>
      </c>
      <c r="I346" s="2" t="str">
        <f>IFERROR(__xludf.DUMMYFUNCTION("GOOGLETRANSLATE(C346,""fr"",""en"")"),"I am satisfied with the service
The price seems EtrD Corecte
We will then see good and happy day coordinally")</f>
        <v>I am satisfied with the service
The price seems EtrD Corecte
We will then see good and happy day coordinally</v>
      </c>
    </row>
    <row r="347" ht="15.75" customHeight="1">
      <c r="A347" s="2">
        <v>2.0</v>
      </c>
      <c r="B347" s="2" t="s">
        <v>1090</v>
      </c>
      <c r="C347" s="2" t="s">
        <v>1091</v>
      </c>
      <c r="D347" s="2" t="s">
        <v>238</v>
      </c>
      <c r="E347" s="2" t="s">
        <v>31</v>
      </c>
      <c r="F347" s="2" t="s">
        <v>15</v>
      </c>
      <c r="G347" s="2" t="s">
        <v>261</v>
      </c>
      <c r="H347" s="2" t="s">
        <v>27</v>
      </c>
      <c r="I347" s="2" t="str">
        <f>IFERROR(__xludf.DUMMYFUNCTION("GOOGLETRANSLATE(C347,""fr"",""en"")"),"As usual we pay insurance, but when it comes to benefiting from the services, we do not enter the boxes! Lack of information and time too short.")</f>
        <v>As usual we pay insurance, but when it comes to benefiting from the services, we do not enter the boxes! Lack of information and time too short.</v>
      </c>
    </row>
    <row r="348" ht="15.75" customHeight="1">
      <c r="A348" s="2">
        <v>4.0</v>
      </c>
      <c r="B348" s="2" t="s">
        <v>1092</v>
      </c>
      <c r="C348" s="2" t="s">
        <v>1093</v>
      </c>
      <c r="D348" s="2" t="s">
        <v>13</v>
      </c>
      <c r="E348" s="2" t="s">
        <v>14</v>
      </c>
      <c r="F348" s="2" t="s">
        <v>15</v>
      </c>
      <c r="G348" s="2" t="s">
        <v>332</v>
      </c>
      <c r="H348" s="2" t="s">
        <v>47</v>
      </c>
      <c r="I348" s="2" t="str">
        <f>IFERROR(__xludf.DUMMYFUNCTION("GOOGLETRANSLATE(C348,""fr"",""en"")"),"I am satisfied with the price. Thank you for being there, to serve customers. Do not increase your prices, for fear of losing customers. In all areas the customers is king.")</f>
        <v>I am satisfied with the price. Thank you for being there, to serve customers. Do not increase your prices, for fear of losing customers. In all areas the customers is king.</v>
      </c>
    </row>
    <row r="349" ht="15.75" customHeight="1">
      <c r="A349" s="2">
        <v>1.0</v>
      </c>
      <c r="B349" s="2" t="s">
        <v>1094</v>
      </c>
      <c r="C349" s="2" t="s">
        <v>1095</v>
      </c>
      <c r="D349" s="2" t="s">
        <v>211</v>
      </c>
      <c r="E349" s="2" t="s">
        <v>31</v>
      </c>
      <c r="F349" s="2" t="s">
        <v>15</v>
      </c>
      <c r="G349" s="2" t="s">
        <v>731</v>
      </c>
      <c r="H349" s="2" t="s">
        <v>367</v>
      </c>
      <c r="I349" s="2" t="str">
        <f>IFERROR(__xludf.DUMMYFUNCTION("GOOGLETRANSLATE(C349,""fr"",""en"")"),"I received a formal notice from my hospital which cannot be reimbursed for the few Néoliane fees.
So I repeatedly wrote to Néoliane via my member space but Néoliane does not answer me.
I had to pay the 2 invoices (126.40).
On the other hand, the monthl"&amp;"y samples of my contributions (130.1) work very well.
I tried to join Néoliane on the messaging mutua-gestion@mutua.fr, on monitoring-client@neoliane.fr but obviously, they should not be disturbed on these emails.
Néoliane ended up answering them to con"&amp;"tact them via https://www.neoliane.fr/demande-rappel.php and at the same time, I received a message from Santiane company who asked me to contact Néoliane via http: //www.santiane.fr/Service-Client, which I just did.
But I am exhausted from so many compl"&amp;"ications.
I understand that intermediaries must earn money in passing but still members ...
I am happy that for some, Neoliane's customer service is serious and fast ...")</f>
        <v>I received a formal notice from my hospital which cannot be reimbursed for the few Néoliane fees.
So I repeatedly wrote to Néoliane via my member space but Néoliane does not answer me.
I had to pay the 2 invoices (126.40).
On the other hand, the monthly samples of my contributions (130.1) work very well.
I tried to join Néoliane on the messaging mutua-gestion@mutua.fr, on monitoring-client@neoliane.fr but obviously, they should not be disturbed on these emails.
Néoliane ended up answering them to contact them via https://www.neoliane.fr/demande-rappel.php and at the same time, I received a message from Santiane company who asked me to contact Néoliane via http: //www.santiane.fr/Service-Client, which I just did.
But I am exhausted from so many complications.
I understand that intermediaries must earn money in passing but still members ...
I am happy that for some, Neoliane's customer service is serious and fast ...</v>
      </c>
    </row>
    <row r="350" ht="15.75" customHeight="1">
      <c r="A350" s="2">
        <v>5.0</v>
      </c>
      <c r="B350" s="2" t="s">
        <v>1096</v>
      </c>
      <c r="C350" s="2" t="s">
        <v>1097</v>
      </c>
      <c r="D350" s="2" t="s">
        <v>36</v>
      </c>
      <c r="E350" s="2" t="s">
        <v>14</v>
      </c>
      <c r="F350" s="2" t="s">
        <v>15</v>
      </c>
      <c r="G350" s="2" t="s">
        <v>1098</v>
      </c>
      <c r="H350" s="2" t="s">
        <v>27</v>
      </c>
      <c r="I350" s="2" t="str">
        <f>IFERROR(__xludf.DUMMYFUNCTION("GOOGLETRANSLATE(C350,""fr"",""en"")"),"I am satisfied with the prices offered at views of the protections
The site is very intuitive
Quotes are clear
I hope to be fully satisfied in the future")</f>
        <v>I am satisfied with the prices offered at views of the protections
The site is very intuitive
Quotes are clear
I hope to be fully satisfied in the future</v>
      </c>
    </row>
    <row r="351" ht="15.75" customHeight="1">
      <c r="A351" s="2">
        <v>5.0</v>
      </c>
      <c r="B351" s="2" t="s">
        <v>1099</v>
      </c>
      <c r="C351" s="2" t="s">
        <v>1100</v>
      </c>
      <c r="D351" s="2" t="s">
        <v>13</v>
      </c>
      <c r="E351" s="2" t="s">
        <v>14</v>
      </c>
      <c r="F351" s="2" t="s">
        <v>15</v>
      </c>
      <c r="G351" s="2" t="s">
        <v>309</v>
      </c>
      <c r="H351" s="2" t="s">
        <v>43</v>
      </c>
      <c r="I351" s="2" t="str">
        <f>IFERROR(__xludf.DUMMYFUNCTION("GOOGLETRANSLATE(C351,""fr"",""en"")"),"I am satisfied with the service and prices of my car insurance at the Olivier Insurance.
Everything is well explained during a suspension of insurance with people in relation.")</f>
        <v>I am satisfied with the service and prices of my car insurance at the Olivier Insurance.
Everything is well explained during a suspension of insurance with people in relation.</v>
      </c>
    </row>
    <row r="352" ht="15.75" customHeight="1">
      <c r="A352" s="2">
        <v>5.0</v>
      </c>
      <c r="B352" s="2" t="s">
        <v>1101</v>
      </c>
      <c r="C352" s="2" t="s">
        <v>1102</v>
      </c>
      <c r="D352" s="2" t="s">
        <v>128</v>
      </c>
      <c r="E352" s="2" t="s">
        <v>51</v>
      </c>
      <c r="F352" s="2" t="s">
        <v>15</v>
      </c>
      <c r="G352" s="2" t="s">
        <v>1103</v>
      </c>
      <c r="H352" s="2" t="s">
        <v>73</v>
      </c>
      <c r="I352" s="2" t="str">
        <f>IFERROR(__xludf.DUMMYFUNCTION("GOOGLETRANSLATE(C352,""fr"",""en"")"),"Thank you very much for your help and time. I don't understand much about these stories of assured and Sylvain explained to me when I needed. Its very pro and efic on.
See you soon friends")</f>
        <v>Thank you very much for your help and time. I don't understand much about these stories of assured and Sylvain explained to me when I needed. Its very pro and efic on.
See you soon friends</v>
      </c>
    </row>
    <row r="353" ht="15.75" customHeight="1">
      <c r="A353" s="2">
        <v>1.0</v>
      </c>
      <c r="B353" s="2" t="s">
        <v>1104</v>
      </c>
      <c r="C353" s="2" t="s">
        <v>1105</v>
      </c>
      <c r="D353" s="2" t="s">
        <v>285</v>
      </c>
      <c r="E353" s="2" t="s">
        <v>14</v>
      </c>
      <c r="F353" s="2" t="s">
        <v>15</v>
      </c>
      <c r="G353" s="2" t="s">
        <v>1106</v>
      </c>
      <c r="H353" s="2" t="s">
        <v>504</v>
      </c>
      <c r="I353" s="2" t="str">
        <f>IFERROR(__xludf.DUMMYFUNCTION("GOOGLETRANSLATE(C353,""fr"",""en"")"),"Assurance not serious to avoid absolutely
We are on October 30, 2019, I just called customer service for address modification and make a quote to reduce the price of my insurance seen that I am offered cheaper elsewhere and customer service just hang u"&amp;"p on the nose !
Already that I call for the second time for the change of address seen that it is not done properly and in addition in my nose for a request.
Customer service and insurance really not serious and too expensive ...")</f>
        <v>Assurance not serious to avoid absolutely
We are on October 30, 2019, I just called customer service for address modification and make a quote to reduce the price of my insurance seen that I am offered cheaper elsewhere and customer service just hang up on the nose !
Already that I call for the second time for the change of address seen that it is not done properly and in addition in my nose for a request.
Customer service and insurance really not serious and too expensive ...</v>
      </c>
    </row>
    <row r="354" ht="15.75" customHeight="1">
      <c r="A354" s="2">
        <v>2.0</v>
      </c>
      <c r="B354" s="2" t="s">
        <v>1107</v>
      </c>
      <c r="C354" s="2" t="s">
        <v>1108</v>
      </c>
      <c r="D354" s="2" t="s">
        <v>430</v>
      </c>
      <c r="E354" s="2" t="s">
        <v>37</v>
      </c>
      <c r="F354" s="2" t="s">
        <v>15</v>
      </c>
      <c r="G354" s="2" t="s">
        <v>1109</v>
      </c>
      <c r="H354" s="2" t="s">
        <v>153</v>
      </c>
      <c r="I354" s="2" t="str">
        <f>IFERROR(__xludf.DUMMYFUNCTION("GOOGLETRANSLATE(C354,""fr"",""en"")"),"I point out a claim on July 10 in agency, telling me that I should be contacted by phone for the monitoring of the disaster .... no call ... I contacted by phone on July 24 which tells me that the expert must me Contact by phone in the 48 hour and 2 days "&amp;"after I receive an SMS from a person who sets me an appointment on August 17 at 9:15 am ..... I dream ... A month after the disaster (it is about an entry door) and I have no choice of day and nor an hour ....")</f>
        <v>I point out a claim on July 10 in agency, telling me that I should be contacted by phone for the monitoring of the disaster .... no call ... I contacted by phone on July 24 which tells me that the expert must me Contact by phone in the 48 hour and 2 days after I receive an SMS from a person who sets me an appointment on August 17 at 9:15 am ..... I dream ... A month after the disaster (it is about an entry door) and I have no choice of day and nor an hour ....</v>
      </c>
    </row>
    <row r="355" ht="15.75" customHeight="1">
      <c r="A355" s="2">
        <v>2.0</v>
      </c>
      <c r="B355" s="2" t="s">
        <v>1110</v>
      </c>
      <c r="C355" s="2" t="s">
        <v>1111</v>
      </c>
      <c r="D355" s="2" t="s">
        <v>264</v>
      </c>
      <c r="E355" s="2" t="s">
        <v>31</v>
      </c>
      <c r="F355" s="2" t="s">
        <v>15</v>
      </c>
      <c r="G355" s="2" t="s">
        <v>594</v>
      </c>
      <c r="H355" s="2" t="s">
        <v>230</v>
      </c>
      <c r="I355" s="2" t="str">
        <f>IFERROR(__xludf.DUMMYFUNCTION("GOOGLETRANSLATE(C355,""fr"",""en"")"),"In Cegema since January 2021, what a disappointment. She never responded to the request for care of March 23 of an intervention that I had to undergo on April 14 and at my exit I acquitted the ""remaining dependent"". To date, still no sign of life despit"&amp;"e the telephone reminders and message from the Hueber de Tarbes broker who ""praised"" me the qualities of this mutual. I have just obtained an email address: servicereclamations@cegema.com, which does not appear on any of the documents delivered and I ho"&amp;"pe that my message, but without illusion, will make things happen!")</f>
        <v>In Cegema since January 2021, what a disappointment. She never responded to the request for care of March 23 of an intervention that I had to undergo on April 14 and at my exit I acquitted the "remaining dependent". To date, still no sign of life despite the telephone reminders and message from the Hueber de Tarbes broker who "praised" me the qualities of this mutual. I have just obtained an email address: servicereclamations@cegema.com, which does not appear on any of the documents delivered and I hope that my message, but without illusion, will make things happen!</v>
      </c>
    </row>
    <row r="356" ht="15.75" customHeight="1">
      <c r="A356" s="2">
        <v>5.0</v>
      </c>
      <c r="B356" s="2" t="s">
        <v>1112</v>
      </c>
      <c r="C356" s="2" t="s">
        <v>1113</v>
      </c>
      <c r="D356" s="2" t="s">
        <v>790</v>
      </c>
      <c r="E356" s="2" t="s">
        <v>121</v>
      </c>
      <c r="F356" s="2" t="s">
        <v>15</v>
      </c>
      <c r="G356" s="2" t="s">
        <v>1114</v>
      </c>
      <c r="H356" s="2" t="s">
        <v>591</v>
      </c>
      <c r="I356" s="2" t="str">
        <f>IFERROR(__xludf.DUMMYFUNCTION("GOOGLETRANSLATE(C356,""fr"",""en"")"),"No problem supported by my file and then top customer service. Suffice to send the requested documents well. The most difficult was to make my bank wait. I strongly recommend the CNP.")</f>
        <v>No problem supported by my file and then top customer service. Suffice to send the requested documents well. The most difficult was to make my bank wait. I strongly recommend the CNP.</v>
      </c>
    </row>
    <row r="357" ht="15.75" customHeight="1">
      <c r="A357" s="2">
        <v>3.0</v>
      </c>
      <c r="B357" s="2" t="s">
        <v>1115</v>
      </c>
      <c r="C357" s="2" t="s">
        <v>1116</v>
      </c>
      <c r="D357" s="2" t="s">
        <v>60</v>
      </c>
      <c r="E357" s="2" t="s">
        <v>14</v>
      </c>
      <c r="F357" s="2" t="s">
        <v>15</v>
      </c>
      <c r="G357" s="2" t="s">
        <v>287</v>
      </c>
      <c r="H357" s="2" t="s">
        <v>287</v>
      </c>
      <c r="I357" s="2" t="str">
        <f>IFERROR(__xludf.DUMMYFUNCTION("GOOGLETRANSLATE(C357,""fr"",""en"")"),"Exceptional, the agent of the insurance firm himself, himself, advises me to change insurer while I have been assured for 10 years my vehicle with them (34 euros/month 10 years ago - today 186 euros/ month).
He does not understand why the software has in"&amp;"creased as much.
In compensation; Nothing is like that. The agent hides behind the seat. He says he is ashamed that I was taken for a "".......""
As of today I get out !!!!!")</f>
        <v>Exceptional, the agent of the insurance firm himself, himself, advises me to change insurer while I have been assured for 10 years my vehicle with them (34 euros/month 10 years ago - today 186 euros/ month).
He does not understand why the software has increased as much.
In compensation; Nothing is like that. The agent hides behind the seat. He says he is ashamed that I was taken for a "......."
As of today I get out !!!!!</v>
      </c>
    </row>
    <row r="358" ht="15.75" customHeight="1">
      <c r="A358" s="2">
        <v>5.0</v>
      </c>
      <c r="B358" s="2" t="s">
        <v>1117</v>
      </c>
      <c r="C358" s="2" t="s">
        <v>1118</v>
      </c>
      <c r="D358" s="2" t="s">
        <v>13</v>
      </c>
      <c r="E358" s="2" t="s">
        <v>14</v>
      </c>
      <c r="F358" s="2" t="s">
        <v>15</v>
      </c>
      <c r="G358" s="2" t="s">
        <v>1119</v>
      </c>
      <c r="H358" s="2" t="s">
        <v>43</v>
      </c>
      <c r="I358" s="2" t="str">
        <f>IFERROR(__xludf.DUMMYFUNCTION("GOOGLETRANSLATE(C358,""fr"",""en"")"),"Fast, personal service available and attentive.
When subscribing, I had questions concerning the termination of my previous contract, everything was taken care of for me.")</f>
        <v>Fast, personal service available and attentive.
When subscribing, I had questions concerning the termination of my previous contract, everything was taken care of for me.</v>
      </c>
    </row>
    <row r="359" ht="15.75" customHeight="1">
      <c r="A359" s="2">
        <v>2.0</v>
      </c>
      <c r="B359" s="2" t="s">
        <v>1120</v>
      </c>
      <c r="C359" s="2" t="s">
        <v>1121</v>
      </c>
      <c r="D359" s="2" t="s">
        <v>76</v>
      </c>
      <c r="E359" s="2" t="s">
        <v>51</v>
      </c>
      <c r="F359" s="2" t="s">
        <v>15</v>
      </c>
      <c r="G359" s="2" t="s">
        <v>1122</v>
      </c>
      <c r="H359" s="2" t="s">
        <v>297</v>
      </c>
      <c r="I359" s="2" t="str">
        <f>IFERROR(__xludf.DUMMYFUNCTION("GOOGLETRANSLATE(C359,""fr"",""en"")"),"At the start I had noted this insurance well because they were reactive .. but now I realize that they like to take customers for fools and wander from left to right .. I had a sinister flight on 08/10/2019 .. Since I was asked to send the vehicle documen"&amp;"ts, the complaint and the famous proof of purchase. Having exchanged my car + 3000th in cash for a new Tmax 530 to a private individual, I am asked Proof that I withdrew 3000th .. so I provide my bank statements (almost 2 months to obtain them because it "&amp;"is an online account) that I send via the AMV platform .. but no it's not good you have to Original in pdf format .. and if I do not call it I am not told .. so processing of execrable files, bad times to the maximum, and no consideration for customers .."&amp;" so I take a lawyer tomorrow and it will take care of everything and I will go to the end of the process. To collect the under every month they did not ask for a ton of paper but now that they must reimburse .. it takes 1 ton of documents .. and icing on "&amp;"the cake, from the loss they continue to take me every month")</f>
        <v>At the start I had noted this insurance well because they were reactive .. but now I realize that they like to take customers for fools and wander from left to right .. I had a sinister flight on 08/10/2019 .. Since I was asked to send the vehicle documents, the complaint and the famous proof of purchase. Having exchanged my car + 3000th in cash for a new Tmax 530 to a private individual, I am asked Proof that I withdrew 3000th .. so I provide my bank statements (almost 2 months to obtain them because it is an online account) that I send via the AMV platform .. but no it's not good you have to Original in pdf format .. and if I do not call it I am not told .. so processing of execrable files, bad times to the maximum, and no consideration for customers .. so I take a lawyer tomorrow and it will take care of everything and I will go to the end of the process. To collect the under every month they did not ask for a ton of paper but now that they must reimburse .. it takes 1 ton of documents .. and icing on the cake, from the loss they continue to take me every month</v>
      </c>
    </row>
    <row r="360" ht="15.75" customHeight="1">
      <c r="A360" s="2">
        <v>5.0</v>
      </c>
      <c r="B360" s="2" t="s">
        <v>1123</v>
      </c>
      <c r="C360" s="2" t="s">
        <v>1124</v>
      </c>
      <c r="D360" s="2" t="s">
        <v>36</v>
      </c>
      <c r="E360" s="2" t="s">
        <v>14</v>
      </c>
      <c r="F360" s="2" t="s">
        <v>15</v>
      </c>
      <c r="G360" s="2" t="s">
        <v>249</v>
      </c>
      <c r="H360" s="2" t="s">
        <v>43</v>
      </c>
      <c r="I360" s="2" t="str">
        <f>IFERROR(__xludf.DUMMYFUNCTION("GOOGLETRANSLATE(C360,""fr"",""en"")"),"I am very satisfied with this car insurance, the prices are very attractive I highly recommend this car insurance. Fast simple effective everything you need!")</f>
        <v>I am very satisfied with this car insurance, the prices are very attractive I highly recommend this car insurance. Fast simple effective everything you need!</v>
      </c>
    </row>
    <row r="361" ht="15.75" customHeight="1">
      <c r="A361" s="2">
        <v>1.0</v>
      </c>
      <c r="B361" s="2" t="s">
        <v>1125</v>
      </c>
      <c r="C361" s="2" t="s">
        <v>1126</v>
      </c>
      <c r="D361" s="2" t="s">
        <v>842</v>
      </c>
      <c r="E361" s="2" t="s">
        <v>31</v>
      </c>
      <c r="F361" s="2" t="s">
        <v>15</v>
      </c>
      <c r="G361" s="2" t="s">
        <v>1127</v>
      </c>
      <c r="H361" s="2" t="s">
        <v>62</v>
      </c>
      <c r="I361" s="2" t="str">
        <f>IFERROR(__xludf.DUMMYFUNCTION("GOOGLETRANSLATE(C361,""fr"",""en"")"),"What was my surprise to see that I am not the only one to ""struggle"" to be able to obtain my additional income by reading the comments below !! I have been stopped since June following a carpal channel operation, I try in vain to validate my file with A"&amp;"G2R sending documents by mail and by email 2 times without news from them to date ... no stops Save on my personal AG2R page in summary nothing. So I do not recommend if you have the choice.")</f>
        <v>What was my surprise to see that I am not the only one to "struggle" to be able to obtain my additional income by reading the comments below !! I have been stopped since June following a carpal channel operation, I try in vain to validate my file with AG2R sending documents by mail and by email 2 times without news from them to date ... no stops Save on my personal AG2R page in summary nothing. So I do not recommend if you have the choice.</v>
      </c>
    </row>
    <row r="362" ht="15.75" customHeight="1">
      <c r="A362" s="2">
        <v>2.0</v>
      </c>
      <c r="B362" s="2" t="s">
        <v>1128</v>
      </c>
      <c r="C362" s="2" t="s">
        <v>1129</v>
      </c>
      <c r="D362" s="2" t="s">
        <v>414</v>
      </c>
      <c r="E362" s="2" t="s">
        <v>14</v>
      </c>
      <c r="F362" s="2" t="s">
        <v>15</v>
      </c>
      <c r="G362" s="2" t="s">
        <v>1130</v>
      </c>
      <c r="H362" s="2" t="s">
        <v>153</v>
      </c>
      <c r="I362" s="2" t="str">
        <f>IFERROR(__xludf.DUMMYFUNCTION("GOOGLETRANSLATE(C362,""fr"",""en"")"),"I want to broadcast a surreal experience with MAIF, a case still under investigation.
Facts :
- On 04/18/2018 my vehicle is struck at the rear by a vehicle whose driver was occupied by the use of his laptop. He fully recognizes his responsibility and th"&amp;"e observation is made.
- An expert, appointed by MAIF, expertise the vehicle, on 05/03/2018. On his return from vacation, on 05/22/2018, he indicates in his report that the vehicle is not financially repairable (cost of 4,600 euros for a 2002 diesel zafi"&amp;"ra with trunk, bumper and reinforcement - rear to change) .
- It tells me a residual value of 1,600 euros and encourages me to part with it. During the visual estimate, the expert, however, specified me a very good condition of the vehicle, had reconfirm"&amp;"ed it by phone. However, he noted a ""normal"" state on the report.
- I estimate the value of the vehicle market, especially on the pros plant (with good mileage, or 2500 euros). The expert contrasts me that I must also take ""the right corner"" as a ref"&amp;"erence !!!! Following, telephone interview to force me to make an immediate decision. The estimate then dropped to 2,200 euros.
- I take RV in a Maif de Paris agency to deal with the problem. The agency only takes care of future contracts and gives me th"&amp;"e telephone number of the ""claims management"" platform !!!
- I indicate to the MAIF that I will have repairs by using used parts, which decreases the maximum cost of 2900 euros with my dealer.
- The MAIF replies that by assigning the vehicle (with tel"&amp;"ephone call on weekends!), A bonus of 300 euros will be offered to me (commercial gesture for loyalty), or 2500 euros by assigning the vehicle to this expertise company.
- I indicate to the MAIF my wish to have the repairs made and request the payment of"&amp;" the sum of 2200 euros to cover the costs.
- Refusal of the MAIF, arguing the passage by a partner garage or presentation of invoices.
- Refusal of my part to go through a partner and advance the amount, and therefore requests to be put in contact with "&amp;"the legal service so that the costs are borne by opposing insurance.
- Since then, no response from MAIF, despite almost daily reminders (emails with AR) both in terms of ""claims management"" and ""complaint"" service.
- We are on 07/26/2018, the vehic"&amp;"le is still not repaired, the MAIF does not respond, the expert has closed the file.
- We are obliged to use the vehicle.
The non-repair of the vehicle, in particular the non-replacement of the bumper reinforcement, can be considered as a case of non-"&amp;"assistance in person in potential danger?
Are there instructions or understanding to withdraw diesel vehicles from the traffic?
I had the damage estimated (100 euros per day of non -use).
The behavior of the maif seems surreal.
")</f>
        <v>I want to broadcast a surreal experience with MAIF, a case still under investigation.
Facts :
- On 04/18/2018 my vehicle is struck at the rear by a vehicle whose driver was occupied by the use of his laptop. He fully recognizes his responsibility and the observation is made.
- An expert, appointed by MAIF, expertise the vehicle, on 05/03/2018. On his return from vacation, on 05/22/2018, he indicates in his report that the vehicle is not financially repairable (cost of 4,600 euros for a 2002 diesel zafira with trunk, bumper and reinforcement - rear to change) .
- It tells me a residual value of 1,600 euros and encourages me to part with it. During the visual estimate, the expert, however, specified me a very good condition of the vehicle, had reconfirmed it by phone. However, he noted a "normal" state on the report.
- I estimate the value of the vehicle market, especially on the pros plant (with good mileage, or 2500 euros). The expert contrasts me that I must also take "the right corner" as a reference !!!! Following, telephone interview to force me to make an immediate decision. The estimate then dropped to 2,200 euros.
- I take RV in a Maif de Paris agency to deal with the problem. The agency only takes care of future contracts and gives me the telephone number of the "claims management" platform !!!
- I indicate to the MAIF that I will have repairs by using used parts, which decreases the maximum cost of 2900 euros with my dealer.
- The MAIF replies that by assigning the vehicle (with telephone call on weekends!), A bonus of 300 euros will be offered to me (commercial gesture for loyalty), or 2500 euros by assigning the vehicle to this expertise company.
- I indicate to the MAIF my wish to have the repairs made and request the payment of the sum of 2200 euros to cover the costs.
- Refusal of the MAIF, arguing the passage by a partner garage or presentation of invoices.
- Refusal of my part to go through a partner and advance the amount, and therefore requests to be put in contact with the legal service so that the costs are borne by opposing insurance.
- Since then, no response from MAIF, despite almost daily reminders (emails with AR) both in terms of "claims management" and "complaint" service.
- We are on 07/26/2018, the vehicle is still not repaired, the MAIF does not respond, the expert has closed the file.
- We are obliged to use the vehicle.
The non-repair of the vehicle, in particular the non-replacement of the bumper reinforcement, can be considered as a case of non-assistance in person in potential danger?
Are there instructions or understanding to withdraw diesel vehicles from the traffic?
I had the damage estimated (100 euros per day of non -use).
The behavior of the maif seems surreal.
</v>
      </c>
    </row>
    <row r="363" ht="15.75" customHeight="1">
      <c r="A363" s="2">
        <v>1.0</v>
      </c>
      <c r="B363" s="2" t="s">
        <v>1131</v>
      </c>
      <c r="C363" s="2" t="s">
        <v>1132</v>
      </c>
      <c r="D363" s="2" t="s">
        <v>264</v>
      </c>
      <c r="E363" s="2" t="s">
        <v>31</v>
      </c>
      <c r="F363" s="2" t="s">
        <v>15</v>
      </c>
      <c r="G363" s="2" t="s">
        <v>619</v>
      </c>
      <c r="H363" s="2" t="s">
        <v>591</v>
      </c>
      <c r="I363" s="2" t="str">
        <f>IFERROR(__xludf.DUMMYFUNCTION("GOOGLETRANSLATE(C363,""fr"",""en"")"),"Attractive in prices, this mutual insurance cenmama gives only the strict minimum of conventions ... white card is a lure that brings nothing. Less to subscribe to very strong monthly payments.")</f>
        <v>Attractive in prices, this mutual insurance cenmama gives only the strict minimum of conventions ... white card is a lure that brings nothing. Less to subscribe to very strong monthly payments.</v>
      </c>
    </row>
    <row r="364" ht="15.75" customHeight="1">
      <c r="A364" s="2">
        <v>1.0</v>
      </c>
      <c r="B364" s="2" t="s">
        <v>1133</v>
      </c>
      <c r="C364" s="2" t="s">
        <v>1134</v>
      </c>
      <c r="D364" s="2" t="s">
        <v>354</v>
      </c>
      <c r="E364" s="2" t="s">
        <v>37</v>
      </c>
      <c r="F364" s="2" t="s">
        <v>15</v>
      </c>
      <c r="G364" s="2" t="s">
        <v>1135</v>
      </c>
      <c r="H364" s="2" t="s">
        <v>57</v>
      </c>
      <c r="I364" s="2" t="str">
        <f>IFERROR(__xludf.DUMMYFUNCTION("GOOGLETRANSLATE(C364,""fr"",""en"")"),"Flee you will pay non -occupying proprietary insurance at gold prices. But when it comes to adjusting the disaster caused by a third party, you are good to fend for yourself
Months of loneliness for a very serious non -responsible disaster")</f>
        <v>Flee you will pay non -occupying proprietary insurance at gold prices. But when it comes to adjusting the disaster caused by a third party, you are good to fend for yourself
Months of loneliness for a very serious non -responsible disaster</v>
      </c>
    </row>
    <row r="365" ht="15.75" customHeight="1">
      <c r="A365" s="2">
        <v>2.0</v>
      </c>
      <c r="B365" s="2" t="s">
        <v>1136</v>
      </c>
      <c r="C365" s="2" t="s">
        <v>1137</v>
      </c>
      <c r="D365" s="2" t="s">
        <v>354</v>
      </c>
      <c r="E365" s="2" t="s">
        <v>37</v>
      </c>
      <c r="F365" s="2" t="s">
        <v>15</v>
      </c>
      <c r="G365" s="2" t="s">
        <v>1138</v>
      </c>
      <c r="H365" s="2" t="s">
        <v>591</v>
      </c>
      <c r="I365" s="2" t="str">
        <f>IFERROR(__xludf.DUMMYFUNCTION("GOOGLETRANSLATE(C365,""fr"",""en"")"),"I have a leak on a buried driving between the counters and my apartment (condominium). We are insured for the COVRO at Crédit Mutuel, as well as my personal home insurance.
They don't cover anything, not even looking for a leak.
All the artisans contact"&amp;"ed expressed their surprise as to the non -reimbursement of this research.
A priori, we are one of the rare cases not to be reimbursed.
For another water damage in the COPRO (leak on a roof), the person contacted immediately declared that they did not r"&amp;"eimburse anything because it would not come from such or such event ...
What good is it good to make sure?
In any case not with this insurer, which whatever the claim, hides all the time.")</f>
        <v>I have a leak on a buried driving between the counters and my apartment (condominium). We are insured for the COVRO at Crédit Mutuel, as well as my personal home insurance.
They don't cover anything, not even looking for a leak.
All the artisans contacted expressed their surprise as to the non -reimbursement of this research.
A priori, we are one of the rare cases not to be reimbursed.
For another water damage in the COPRO (leak on a roof), the person contacted immediately declared that they did not reimburse anything because it would not come from such or such event ...
What good is it good to make sure?
In any case not with this insurer, which whatever the claim, hides all the time.</v>
      </c>
    </row>
    <row r="366" ht="15.75" customHeight="1">
      <c r="A366" s="2">
        <v>4.0</v>
      </c>
      <c r="B366" s="2" t="s">
        <v>1139</v>
      </c>
      <c r="C366" s="2" t="s">
        <v>1140</v>
      </c>
      <c r="D366" s="2" t="s">
        <v>36</v>
      </c>
      <c r="E366" s="2" t="s">
        <v>14</v>
      </c>
      <c r="F366" s="2" t="s">
        <v>15</v>
      </c>
      <c r="G366" s="2" t="s">
        <v>1141</v>
      </c>
      <c r="H366" s="2" t="s">
        <v>33</v>
      </c>
      <c r="I366" s="2" t="str">
        <f>IFERROR(__xludf.DUMMYFUNCTION("GOOGLETRANSLATE(C366,""fr"",""en"")"),"Simple and practical, the answers are quick to give an opinion, besides I encouraged my friends and acquaintances to become members at Direct Insurance")</f>
        <v>Simple and practical, the answers are quick to give an opinion, besides I encouraged my friends and acquaintances to become members at Direct Insurance</v>
      </c>
    </row>
    <row r="367" ht="15.75" customHeight="1">
      <c r="A367" s="2">
        <v>2.0</v>
      </c>
      <c r="B367" s="2" t="s">
        <v>1142</v>
      </c>
      <c r="C367" s="2" t="s">
        <v>1143</v>
      </c>
      <c r="D367" s="2" t="s">
        <v>211</v>
      </c>
      <c r="E367" s="2" t="s">
        <v>31</v>
      </c>
      <c r="F367" s="2" t="s">
        <v>15</v>
      </c>
      <c r="G367" s="2" t="s">
        <v>1144</v>
      </c>
      <c r="H367" s="2" t="s">
        <v>33</v>
      </c>
      <c r="I367" s="2" t="str">
        <f>IFERROR(__xludf.DUMMYFUNCTION("GOOGLETRANSLATE(C367,""fr"",""en"")"),"Don't take Neoliane! After 2 years refuses your termination and when you become a widower, ask you for 202euro monthly payments for a living person and a deceased.")</f>
        <v>Don't take Neoliane! After 2 years refuses your termination and when you become a widower, ask you for 202euro monthly payments for a living person and a deceased.</v>
      </c>
    </row>
    <row r="368" ht="15.75" customHeight="1">
      <c r="A368" s="2">
        <v>3.0</v>
      </c>
      <c r="B368" s="2" t="s">
        <v>1145</v>
      </c>
      <c r="C368" s="2" t="s">
        <v>1146</v>
      </c>
      <c r="D368" s="2" t="s">
        <v>211</v>
      </c>
      <c r="E368" s="2" t="s">
        <v>31</v>
      </c>
      <c r="F368" s="2" t="s">
        <v>15</v>
      </c>
      <c r="G368" s="2" t="s">
        <v>1147</v>
      </c>
      <c r="H368" s="2" t="s">
        <v>90</v>
      </c>
      <c r="I368" s="2" t="str">
        <f>IFERROR(__xludf.DUMMYFUNCTION("GOOGLETRANSLATE(C368,""fr"",""en"")"),"I confirm all negative comments against Néoliane/Santiane. I added a termination of a contract in good and due form by the site to terminate.fr, as of 12/31/2018, but customer service makes the ostrich and always invokes a reason not valid so as not to en"&amp;"dorse the termination , and by sending me a request for a contribution settlement every month. Latest news, my file would be in litigation !! Find the mistake!!")</f>
        <v>I confirm all negative comments against Néoliane/Santiane. I added a termination of a contract in good and due form by the site to terminate.fr, as of 12/31/2018, but customer service makes the ostrich and always invokes a reason not valid so as not to endorse the termination , and by sending me a request for a contribution settlement every month. Latest news, my file would be in litigation !! Find the mistake!!</v>
      </c>
    </row>
    <row r="369" ht="15.75" customHeight="1">
      <c r="A369" s="2">
        <v>3.0</v>
      </c>
      <c r="B369" s="2" t="s">
        <v>1148</v>
      </c>
      <c r="C369" s="2" t="s">
        <v>1149</v>
      </c>
      <c r="D369" s="2" t="s">
        <v>36</v>
      </c>
      <c r="E369" s="2" t="s">
        <v>14</v>
      </c>
      <c r="F369" s="2" t="s">
        <v>15</v>
      </c>
      <c r="G369" s="2" t="s">
        <v>249</v>
      </c>
      <c r="H369" s="2" t="s">
        <v>43</v>
      </c>
      <c r="I369" s="2" t="str">
        <f>IFERROR(__xludf.DUMMYFUNCTION("GOOGLETRANSLATE(C369,""fr"",""en"")"),"Satisfied with the service. The prices are expensive, it is a shame to pay more by monthly by monthly, because for the small leaf doors, the effort is still large.")</f>
        <v>Satisfied with the service. The prices are expensive, it is a shame to pay more by monthly by monthly, because for the small leaf doors, the effort is still large.</v>
      </c>
    </row>
    <row r="370" ht="15.75" customHeight="1">
      <c r="A370" s="2">
        <v>1.0</v>
      </c>
      <c r="B370" s="2" t="s">
        <v>1150</v>
      </c>
      <c r="C370" s="2" t="s">
        <v>1151</v>
      </c>
      <c r="D370" s="2" t="s">
        <v>88</v>
      </c>
      <c r="E370" s="2" t="s">
        <v>31</v>
      </c>
      <c r="F370" s="2" t="s">
        <v>15</v>
      </c>
      <c r="G370" s="2" t="s">
        <v>1152</v>
      </c>
      <c r="H370" s="2" t="s">
        <v>487</v>
      </c>
      <c r="I370" s="2" t="str">
        <f>IFERROR(__xludf.DUMMYFUNCTION("GOOGLETRANSLATE(C370,""fr"",""en"")"),"Customer service as deplorable as reimbursements of contracts which remain different from what of unscrupulous brokers tell you. Then very difficult to denounce the contracts. Be careful also think about termination. To be avoided absolutely. The 0 star n"&amp;"ote would be more adapted")</f>
        <v>Customer service as deplorable as reimbursements of contracts which remain different from what of unscrupulous brokers tell you. Then very difficult to denounce the contracts. Be careful also think about termination. To be avoided absolutely. The 0 star note would be more adapted</v>
      </c>
    </row>
    <row r="371" ht="15.75" customHeight="1">
      <c r="A371" s="2">
        <v>1.0</v>
      </c>
      <c r="B371" s="2" t="s">
        <v>1153</v>
      </c>
      <c r="C371" s="2" t="s">
        <v>1154</v>
      </c>
      <c r="D371" s="2" t="s">
        <v>1155</v>
      </c>
      <c r="E371" s="2" t="s">
        <v>200</v>
      </c>
      <c r="F371" s="2" t="s">
        <v>15</v>
      </c>
      <c r="G371" s="2" t="s">
        <v>409</v>
      </c>
      <c r="H371" s="2" t="s">
        <v>171</v>
      </c>
      <c r="I371" s="2" t="str">
        <f>IFERROR(__xludf.DUMMYFUNCTION("GOOGLETRANSLATE(C371,""fr"",""en"")"),"Hi there
I think I have never met such people, on the phone they are aggressive, as possible, asks you for the same document several times.
And papers that will not be produced until a month later.
Their doctor advice allows himself aberrant things, he"&amp;" has unofficial contacts with the proof CPAM is, he knows my health problems having nothing with the disaster and seeks by any means the error in this case for me there is none, so he is looking elsewhere
Never need them you will be reappeared quickly.
"&amp;"Fortunately, I asked for help from UFC Que Choisir who tries to help me, nothing is winning.
Reread your contract for surprises await you as the beneficiary in the event of a claim for us it is the bank, why ???.
For us cancer, but pity they do not know"&amp;".
Good luck")</f>
        <v>Hi there
I think I have never met such people, on the phone they are aggressive, as possible, asks you for the same document several times.
And papers that will not be produced until a month later.
Their doctor advice allows himself aberrant things, he has unofficial contacts with the proof CPAM is, he knows my health problems having nothing with the disaster and seeks by any means the error in this case for me there is none, so he is looking elsewhere
Never need them you will be reappeared quickly.
Fortunately, I asked for help from UFC Que Choisir who tries to help me, nothing is winning.
Reread your contract for surprises await you as the beneficiary in the event of a claim for us it is the bank, why ???.
For us cancer, but pity they do not know.
Good luck</v>
      </c>
    </row>
    <row r="372" ht="15.75" customHeight="1">
      <c r="A372" s="2">
        <v>5.0</v>
      </c>
      <c r="B372" s="2" t="s">
        <v>1156</v>
      </c>
      <c r="C372" s="2" t="s">
        <v>1157</v>
      </c>
      <c r="D372" s="2" t="s">
        <v>36</v>
      </c>
      <c r="E372" s="2" t="s">
        <v>14</v>
      </c>
      <c r="F372" s="2" t="s">
        <v>15</v>
      </c>
      <c r="G372" s="2" t="s">
        <v>133</v>
      </c>
      <c r="H372" s="2" t="s">
        <v>85</v>
      </c>
      <c r="I372" s="2" t="str">
        <f>IFERROR(__xludf.DUMMYFUNCTION("GOOGLETRANSLATE(C372,""fr"",""en"")"),"Cordial telephone welcome, very professional advisers, of good advice, very responsive and simple disaster management. Simplified procedures.")</f>
        <v>Cordial telephone welcome, very professional advisers, of good advice, very responsive and simple disaster management. Simplified procedures.</v>
      </c>
    </row>
    <row r="373" ht="15.75" customHeight="1">
      <c r="A373" s="2">
        <v>1.0</v>
      </c>
      <c r="B373" s="2" t="s">
        <v>1158</v>
      </c>
      <c r="C373" s="2" t="s">
        <v>1159</v>
      </c>
      <c r="D373" s="2" t="s">
        <v>576</v>
      </c>
      <c r="E373" s="2" t="s">
        <v>14</v>
      </c>
      <c r="F373" s="2" t="s">
        <v>15</v>
      </c>
      <c r="G373" s="2" t="s">
        <v>1160</v>
      </c>
      <c r="H373" s="2" t="s">
        <v>95</v>
      </c>
      <c r="I373" s="2" t="str">
        <f>IFERROR(__xludf.DUMMYFUNCTION("GOOGLETRANSLATE(C373,""fr"",""en"")"),"Hello, Having had an imaginary disaster in 2019 with a cyclist, I asked the insurance to appoint an expert for those who come to see on the spot what really knows how to pass, he put me responsible for a hundred percent, without me Request my opinion, my "&amp;"legal protection no news.
I had to take a lawyer to resolve this case.")</f>
        <v>Hello, Having had an imaginary disaster in 2019 with a cyclist, I asked the insurance to appoint an expert for those who come to see on the spot what really knows how to pass, he put me responsible for a hundred percent, without me Request my opinion, my legal protection no news.
I had to take a lawyer to resolve this case.</v>
      </c>
    </row>
    <row r="374" ht="15.75" customHeight="1">
      <c r="A374" s="2">
        <v>4.0</v>
      </c>
      <c r="B374" s="2" t="s">
        <v>1161</v>
      </c>
      <c r="C374" s="2" t="s">
        <v>1162</v>
      </c>
      <c r="D374" s="2" t="s">
        <v>36</v>
      </c>
      <c r="E374" s="2" t="s">
        <v>14</v>
      </c>
      <c r="F374" s="2" t="s">
        <v>15</v>
      </c>
      <c r="G374" s="2" t="s">
        <v>1163</v>
      </c>
      <c r="H374" s="2" t="s">
        <v>230</v>
      </c>
      <c r="I374" s="2" t="str">
        <f>IFERROR(__xludf.DUMMYFUNCTION("GOOGLETRANSLATE(C374,""fr"",""en"")"),"telephone reception ok competent staff
clear contract
clear options
correct price
all ok
website and application ok
still needed contact by phone to finalize
Unacceptable loyalty, new customers lower than loyal customers in vehicle renewal. To impr"&amp;"ove please")</f>
        <v>telephone reception ok competent staff
clear contract
clear options
correct price
all ok
website and application ok
still needed contact by phone to finalize
Unacceptable loyalty, new customers lower than loyal customers in vehicle renewal. To improve please</v>
      </c>
    </row>
    <row r="375" ht="15.75" customHeight="1">
      <c r="A375" s="2">
        <v>1.0</v>
      </c>
      <c r="B375" s="2" t="s">
        <v>1164</v>
      </c>
      <c r="C375" s="2" t="s">
        <v>1165</v>
      </c>
      <c r="D375" s="2" t="s">
        <v>55</v>
      </c>
      <c r="E375" s="2" t="s">
        <v>14</v>
      </c>
      <c r="F375" s="2" t="s">
        <v>15</v>
      </c>
      <c r="G375" s="2" t="s">
        <v>1166</v>
      </c>
      <c r="H375" s="2" t="s">
        <v>1167</v>
      </c>
      <c r="I375" s="2" t="str">
        <f>IFERROR(__xludf.DUMMYFUNCTION("GOOGLETRANSLATE(C375,""fr"",""en"")"),"Very very very bad assurance who believes they are right does not want to reimburse when they have no element that verbal for a prejudice of 31000th is why I will withdraw as well as all my loved ones and mm all that is habitation of strongly not taking i"&amp;"nto account does nothing in consideration when it comes to reimbursement")</f>
        <v>Very very very bad assurance who believes they are right does not want to reimburse when they have no element that verbal for a prejudice of 31000th is why I will withdraw as well as all my loved ones and mm all that is habitation of strongly not taking into account does nothing in consideration when it comes to reimbursement</v>
      </c>
    </row>
    <row r="376" ht="15.75" customHeight="1">
      <c r="A376" s="2">
        <v>3.0</v>
      </c>
      <c r="B376" s="2" t="s">
        <v>1168</v>
      </c>
      <c r="C376" s="2" t="s">
        <v>1169</v>
      </c>
      <c r="D376" s="2" t="s">
        <v>88</v>
      </c>
      <c r="E376" s="2" t="s">
        <v>31</v>
      </c>
      <c r="F376" s="2" t="s">
        <v>15</v>
      </c>
      <c r="G376" s="2" t="s">
        <v>1170</v>
      </c>
      <c r="H376" s="2" t="s">
        <v>504</v>
      </c>
      <c r="I376" s="2" t="str">
        <f>IFERROR(__xludf.DUMMYFUNCTION("GOOGLETRANSLATE(C376,""fr"",""en"")"),"I would be a member on 01/01/2020 but the telephone contacts give me satisfaction contact with Sabrina now the year 2020 subscribed with Santiane Hopefully I would not be dissatisfied")</f>
        <v>I would be a member on 01/01/2020 but the telephone contacts give me satisfaction contact with Sabrina now the year 2020 subscribed with Santiane Hopefully I would not be dissatisfied</v>
      </c>
    </row>
    <row r="377" ht="15.75" customHeight="1">
      <c r="A377" s="2">
        <v>2.0</v>
      </c>
      <c r="B377" s="2" t="s">
        <v>1171</v>
      </c>
      <c r="C377" s="2" t="s">
        <v>1172</v>
      </c>
      <c r="D377" s="2" t="s">
        <v>576</v>
      </c>
      <c r="E377" s="2" t="s">
        <v>14</v>
      </c>
      <c r="F377" s="2" t="s">
        <v>15</v>
      </c>
      <c r="G377" s="2" t="s">
        <v>286</v>
      </c>
      <c r="H377" s="2" t="s">
        <v>287</v>
      </c>
      <c r="I377" s="2" t="str">
        <f>IFERROR(__xludf.DUMMYFUNCTION("GOOGLETRANSLATE(C377,""fr"",""en"")")," After 4 years of contract, still a constant ""bonus-malus"" coefficient of 50% of less than 3 years? laws, this insurer still refuses the termination of contracts.")</f>
        <v> After 4 years of contract, still a constant "bonus-malus" coefficient of 50% of less than 3 years? laws, this insurer still refuses the termination of contracts.</v>
      </c>
    </row>
    <row r="378" ht="15.75" customHeight="1">
      <c r="A378" s="2">
        <v>3.0</v>
      </c>
      <c r="B378" s="2" t="s">
        <v>1173</v>
      </c>
      <c r="C378" s="2" t="s">
        <v>1174</v>
      </c>
      <c r="D378" s="2" t="s">
        <v>13</v>
      </c>
      <c r="E378" s="2" t="s">
        <v>14</v>
      </c>
      <c r="F378" s="2" t="s">
        <v>15</v>
      </c>
      <c r="G378" s="2" t="s">
        <v>507</v>
      </c>
      <c r="H378" s="2" t="s">
        <v>269</v>
      </c>
      <c r="I378" s="2" t="str">
        <f>IFERROR(__xludf.DUMMYFUNCTION("GOOGLETRANSLATE(C378,""fr"",""en"")"),"Quick subscription
Affordable price
Good subscription experience
You have your documents and be ready to drive the minutes according to your subscription")</f>
        <v>Quick subscription
Affordable price
Good subscription experience
You have your documents and be ready to drive the minutes according to your subscription</v>
      </c>
    </row>
    <row r="379" ht="15.75" customHeight="1">
      <c r="A379" s="2">
        <v>1.0</v>
      </c>
      <c r="B379" s="2" t="s">
        <v>1175</v>
      </c>
      <c r="C379" s="2" t="s">
        <v>1176</v>
      </c>
      <c r="D379" s="2" t="s">
        <v>93</v>
      </c>
      <c r="E379" s="2" t="s">
        <v>14</v>
      </c>
      <c r="F379" s="2" t="s">
        <v>15</v>
      </c>
      <c r="G379" s="2" t="s">
        <v>1177</v>
      </c>
      <c r="H379" s="2" t="s">
        <v>306</v>
      </c>
      <c r="I379" s="2" t="str">
        <f>IFERROR(__xludf.DUMMYFUNCTION("GOOGLETRANSLATE(C379,""fr"",""en"")"),"How to tell you my disastrous experience with them it's been 1 year and a half that I am with them with a bonus rate of 39% via the sponsorship of my family, I was taken in balanced formula € 130 for my SV 650 n Bride say that 'She goes into a sporty, a s"&amp;"hame they know nothing about it, I leave at April Moto all risk 50 € per month, except that I wanted to ask for my information sheets, there is a gap on the coefficients of 0.34, I sent a message 20 days ago to understand this gap, no response.
In the "&amp;"meantime, I unfortunately I have a motorcycle accident on a job trip, the advisor I had on the phone tell me that I would have no penalty because it was a job trip, in the end I receive my information sheet Victim and specified that my bonus/penalty will "&amp;"be reassessed, a big socket this confidence honestly I am disgusted.")</f>
        <v>How to tell you my disastrous experience with them it's been 1 year and a half that I am with them with a bonus rate of 39% via the sponsorship of my family, I was taken in balanced formula € 130 for my SV 650 n Bride say that 'She goes into a sporty, a shame they know nothing about it, I leave at April Moto all risk 50 € per month, except that I wanted to ask for my information sheets, there is a gap on the coefficients of 0.34, I sent a message 20 days ago to understand this gap, no response.
In the meantime, I unfortunately I have a motorcycle accident on a job trip, the advisor I had on the phone tell me that I would have no penalty because it was a job trip, in the end I receive my information sheet Victim and specified that my bonus/penalty will be reassessed, a big socket this confidence honestly I am disgusted.</v>
      </c>
    </row>
    <row r="380" ht="15.75" customHeight="1">
      <c r="A380" s="2">
        <v>5.0</v>
      </c>
      <c r="B380" s="2" t="s">
        <v>1178</v>
      </c>
      <c r="C380" s="2" t="s">
        <v>1179</v>
      </c>
      <c r="D380" s="2" t="s">
        <v>36</v>
      </c>
      <c r="E380" s="2" t="s">
        <v>14</v>
      </c>
      <c r="F380" s="2" t="s">
        <v>15</v>
      </c>
      <c r="G380" s="2" t="s">
        <v>814</v>
      </c>
      <c r="H380" s="2" t="s">
        <v>171</v>
      </c>
      <c r="I380" s="2" t="str">
        <f>IFERROR(__xludf.DUMMYFUNCTION("GOOGLETRANSLATE(C380,""fr"",""en"")"),"I am satisfied with the offer that is offered to me as well as the guarantees that you offered me on your site. Quality price, correct.
Cordially.")</f>
        <v>I am satisfied with the offer that is offered to me as well as the guarantees that you offered me on your site. Quality price, correct.
Cordially.</v>
      </c>
    </row>
    <row r="381" ht="15.75" customHeight="1">
      <c r="A381" s="2">
        <v>1.0</v>
      </c>
      <c r="B381" s="2" t="s">
        <v>1180</v>
      </c>
      <c r="C381" s="2" t="s">
        <v>1181</v>
      </c>
      <c r="D381" s="2" t="s">
        <v>414</v>
      </c>
      <c r="E381" s="2" t="s">
        <v>14</v>
      </c>
      <c r="F381" s="2" t="s">
        <v>15</v>
      </c>
      <c r="G381" s="2" t="s">
        <v>1182</v>
      </c>
      <c r="H381" s="2" t="s">
        <v>178</v>
      </c>
      <c r="I381" s="2" t="str">
        <f>IFERROR(__xludf.DUMMYFUNCTION("GOOGLETRANSLATE(C381,""fr"",""en"")"),"I was struck off manu-militari on the grounds that I had too many claims ... In short, I was robbed of jewelry and was snatched a handbag this year and obviously they only like their role as an insurer than When it comes to touching contributions (expensi"&amp;"ve) and not when it comes to ""making insurance"" insurance ... militant insurer? Hahaha ... the right joke.")</f>
        <v>I was struck off manu-militari on the grounds that I had too many claims ... In short, I was robbed of jewelry and was snatched a handbag this year and obviously they only like their role as an insurer than When it comes to touching contributions (expensive) and not when it comes to "making insurance" insurance ... militant insurer? Hahaha ... the right joke.</v>
      </c>
    </row>
    <row r="382" ht="15.75" customHeight="1">
      <c r="A382" s="2">
        <v>3.0</v>
      </c>
      <c r="B382" s="2" t="s">
        <v>1183</v>
      </c>
      <c r="C382" s="2" t="s">
        <v>1184</v>
      </c>
      <c r="D382" s="2" t="s">
        <v>93</v>
      </c>
      <c r="E382" s="2" t="s">
        <v>14</v>
      </c>
      <c r="F382" s="2" t="s">
        <v>15</v>
      </c>
      <c r="G382" s="2" t="s">
        <v>1185</v>
      </c>
      <c r="H382" s="2" t="s">
        <v>90</v>
      </c>
      <c r="I382" s="2" t="str">
        <f>IFERROR(__xludf.DUMMYFUNCTION("GOOGLETRANSLATE(C382,""fr"",""en"")"),"We are very satisfied with our insurance. After 36 years of good and loyal service ... we have asked to benefit from new cars without franchise. .Negative response. .Il you have to be a new customer ... an aberration. .. No discussion. . No consideration."&amp;" . No commercial gesture. .")</f>
        <v>We are very satisfied with our insurance. After 36 years of good and loyal service ... we have asked to benefit from new cars without franchise. .Negative response. .Il you have to be a new customer ... an aberration. .. No discussion. . No consideration. . No commercial gesture. .</v>
      </c>
    </row>
    <row r="383" ht="15.75" customHeight="1">
      <c r="A383" s="2">
        <v>4.0</v>
      </c>
      <c r="B383" s="2" t="s">
        <v>1186</v>
      </c>
      <c r="C383" s="2" t="s">
        <v>1187</v>
      </c>
      <c r="D383" s="2" t="s">
        <v>13</v>
      </c>
      <c r="E383" s="2" t="s">
        <v>14</v>
      </c>
      <c r="F383" s="2" t="s">
        <v>15</v>
      </c>
      <c r="G383" s="2" t="s">
        <v>84</v>
      </c>
      <c r="H383" s="2" t="s">
        <v>85</v>
      </c>
      <c r="I383" s="2" t="str">
        <f>IFERROR(__xludf.DUMMYFUNCTION("GOOGLETRANSLATE(C383,""fr"",""en"")"),"I am satisfied with the price, and the service offered, advisers who are attentive and who responds very quickly to the customer's request, I recommend this insurer")</f>
        <v>I am satisfied with the price, and the service offered, advisers who are attentive and who responds very quickly to the customer's request, I recommend this insurer</v>
      </c>
    </row>
    <row r="384" ht="15.75" customHeight="1">
      <c r="A384" s="2">
        <v>1.0</v>
      </c>
      <c r="B384" s="2" t="s">
        <v>1188</v>
      </c>
      <c r="C384" s="2" t="s">
        <v>1189</v>
      </c>
      <c r="D384" s="2" t="s">
        <v>430</v>
      </c>
      <c r="E384" s="2" t="s">
        <v>37</v>
      </c>
      <c r="F384" s="2" t="s">
        <v>15</v>
      </c>
      <c r="G384" s="2" t="s">
        <v>1190</v>
      </c>
      <c r="H384" s="2" t="s">
        <v>90</v>
      </c>
      <c r="I384" s="2" t="str">
        <f>IFERROR(__xludf.DUMMYFUNCTION("GOOGLETRANSLATE(C384,""fr"",""en"")"),"I suffer a combriolation. The Macif has mandated an expert. He came to my home goes around the house and remains 4 hours to check proof after proof. He sent me a letter of acceptance that I signed. To this told me that I was going to be reimbursed. If I a"&amp;"m waiting for 3 months, every time I have a sinister advisor he tells me that I will be reimbursed quickly. I am told that a completely study was needed")</f>
        <v>I suffer a combriolation. The Macif has mandated an expert. He came to my home goes around the house and remains 4 hours to check proof after proof. He sent me a letter of acceptance that I signed. To this told me that I was going to be reimbursed. If I am waiting for 3 months, every time I have a sinister advisor he tells me that I will be reimbursed quickly. I am told that a completely study was needed</v>
      </c>
    </row>
    <row r="385" ht="15.75" customHeight="1">
      <c r="A385" s="2">
        <v>5.0</v>
      </c>
      <c r="B385" s="2" t="s">
        <v>1191</v>
      </c>
      <c r="C385" s="2" t="s">
        <v>1192</v>
      </c>
      <c r="D385" s="2" t="s">
        <v>36</v>
      </c>
      <c r="E385" s="2" t="s">
        <v>14</v>
      </c>
      <c r="F385" s="2" t="s">
        <v>15</v>
      </c>
      <c r="G385" s="2" t="s">
        <v>26</v>
      </c>
      <c r="H385" s="2" t="s">
        <v>27</v>
      </c>
      <c r="I385" s="2" t="str">
        <f>IFERROR(__xludf.DUMMYFUNCTION("GOOGLETRANSLATE(C385,""fr"",""en"")"),"Satisfactory and simple service
Fast and effective
The prices are very competitive
Having been insured for years I highly recommend direct insurance
")</f>
        <v>Satisfactory and simple service
Fast and effective
The prices are very competitive
Having been insured for years I highly recommend direct insurance
</v>
      </c>
    </row>
    <row r="386" ht="15.75" customHeight="1">
      <c r="A386" s="2">
        <v>1.0</v>
      </c>
      <c r="B386" s="2" t="s">
        <v>1193</v>
      </c>
      <c r="C386" s="2" t="s">
        <v>1194</v>
      </c>
      <c r="D386" s="2" t="s">
        <v>842</v>
      </c>
      <c r="E386" s="2" t="s">
        <v>31</v>
      </c>
      <c r="F386" s="2" t="s">
        <v>15</v>
      </c>
      <c r="G386" s="2" t="s">
        <v>1195</v>
      </c>
      <c r="H386" s="2" t="s">
        <v>73</v>
      </c>
      <c r="I386" s="2" t="str">
        <f>IFERROR(__xludf.DUMMYFUNCTION("GOOGLETRANSLATE(C386,""fr"",""en"")"),"I perceive my retirement as a manager of the same group (humanis and company) and I am refused to make sure because I am 77 years old !!
Without superfluous comments.
")</f>
        <v>I perceive my retirement as a manager of the same group (humanis and company) and I am refused to make sure because I am 77 years old !!
Without superfluous comments.
</v>
      </c>
    </row>
    <row r="387" ht="15.75" customHeight="1">
      <c r="A387" s="2">
        <v>4.0</v>
      </c>
      <c r="B387" s="2" t="s">
        <v>1196</v>
      </c>
      <c r="C387" s="2" t="s">
        <v>1197</v>
      </c>
      <c r="D387" s="2" t="s">
        <v>13</v>
      </c>
      <c r="E387" s="2" t="s">
        <v>14</v>
      </c>
      <c r="F387" s="2" t="s">
        <v>15</v>
      </c>
      <c r="G387" s="2" t="s">
        <v>84</v>
      </c>
      <c r="H387" s="2" t="s">
        <v>85</v>
      </c>
      <c r="I387" s="2" t="str">
        <f>IFERROR(__xludf.DUMMYFUNCTION("GOOGLETRANSLATE(C387,""fr"",""en"")"),"I am satisfied with the services at the moment. The prices are correct and I find my account there. To see for the rest of the contract if everything is in order or not")</f>
        <v>I am satisfied with the services at the moment. The prices are correct and I find my account there. To see for the rest of the contract if everything is in order or not</v>
      </c>
    </row>
    <row r="388" ht="15.75" customHeight="1">
      <c r="A388" s="2">
        <v>1.0</v>
      </c>
      <c r="B388" s="2" t="s">
        <v>1198</v>
      </c>
      <c r="C388" s="2" t="s">
        <v>1199</v>
      </c>
      <c r="D388" s="2" t="s">
        <v>304</v>
      </c>
      <c r="E388" s="2" t="s">
        <v>200</v>
      </c>
      <c r="F388" s="2" t="s">
        <v>15</v>
      </c>
      <c r="G388" s="2" t="s">
        <v>1200</v>
      </c>
      <c r="H388" s="2" t="s">
        <v>276</v>
      </c>
      <c r="I388" s="2" t="str">
        <f>IFERROR(__xludf.DUMMYFUNCTION("GOOGLETRANSLATE(C388,""fr"",""en"")"),"Since December 14, 2019, my Cardif borrower insurance file has asked me for the same documents by email and by mail, I systematically send them back and this morning I receive a last reminder for the same documents it is shameful")</f>
        <v>Since December 14, 2019, my Cardif borrower insurance file has asked me for the same documents by email and by mail, I systematically send them back and this morning I receive a last reminder for the same documents it is shameful</v>
      </c>
    </row>
    <row r="389" ht="15.75" customHeight="1">
      <c r="A389" s="2">
        <v>5.0</v>
      </c>
      <c r="B389" s="2" t="s">
        <v>1201</v>
      </c>
      <c r="C389" s="2" t="s">
        <v>1202</v>
      </c>
      <c r="D389" s="2" t="s">
        <v>13</v>
      </c>
      <c r="E389" s="2" t="s">
        <v>14</v>
      </c>
      <c r="F389" s="2" t="s">
        <v>15</v>
      </c>
      <c r="G389" s="2" t="s">
        <v>1203</v>
      </c>
      <c r="H389" s="2" t="s">
        <v>85</v>
      </c>
      <c r="I389" s="2" t="str">
        <f>IFERROR(__xludf.DUMMYFUNCTION("GOOGLETRANSLATE(C389,""fr"",""en"")"),"Very satisfied, fast and simple to subscribe. I will recommend this insurance very soon to have relatives who also wish to make big economies")</f>
        <v>Very satisfied, fast and simple to subscribe. I will recommend this insurance very soon to have relatives who also wish to make big economies</v>
      </c>
    </row>
    <row r="390" ht="15.75" customHeight="1">
      <c r="A390" s="2">
        <v>5.0</v>
      </c>
      <c r="B390" s="2" t="s">
        <v>1204</v>
      </c>
      <c r="C390" s="2" t="s">
        <v>1205</v>
      </c>
      <c r="D390" s="2" t="s">
        <v>125</v>
      </c>
      <c r="E390" s="2" t="s">
        <v>14</v>
      </c>
      <c r="F390" s="2" t="s">
        <v>15</v>
      </c>
      <c r="G390" s="2" t="s">
        <v>309</v>
      </c>
      <c r="H390" s="2" t="s">
        <v>43</v>
      </c>
      <c r="I390" s="2" t="str">
        <f>IFERROR(__xludf.DUMMYFUNCTION("GOOGLETRANSLATE(C390,""fr"",""en"")"),"Always very welcome, informed.
Proofs requested provided
I would come back to you for student rental insurance soon
Cordially")</f>
        <v>Always very welcome, informed.
Proofs requested provided
I would come back to you for student rental insurance soon
Cordially</v>
      </c>
    </row>
    <row r="391" ht="15.75" customHeight="1">
      <c r="A391" s="2">
        <v>1.0</v>
      </c>
      <c r="B391" s="2" t="s">
        <v>1206</v>
      </c>
      <c r="C391" s="2" t="s">
        <v>1207</v>
      </c>
      <c r="D391" s="2" t="s">
        <v>790</v>
      </c>
      <c r="E391" s="2" t="s">
        <v>121</v>
      </c>
      <c r="F391" s="2" t="s">
        <v>15</v>
      </c>
      <c r="G391" s="2" t="s">
        <v>1208</v>
      </c>
      <c r="H391" s="2" t="s">
        <v>47</v>
      </c>
      <c r="I391" s="2" t="str">
        <f>IFERROR(__xludf.DUMMYFUNCTION("GOOGLETRANSLATE(C391,""fr"",""en"")"),"Unbelievable ! We were my sister and I beneficiaries of life insurance of our deceased mother. Receiving anything, we have telephonized, written to hear reply that we were not part of the list of beneficiaries. We took a lawyer and started a procedure and"&amp;" as if by chance they noticed their error. That poor people must be fooled.")</f>
        <v>Unbelievable ! We were my sister and I beneficiaries of life insurance of our deceased mother. Receiving anything, we have telephonized, written to hear reply that we were not part of the list of beneficiaries. We took a lawyer and started a procedure and as if by chance they noticed their error. That poor people must be fooled.</v>
      </c>
    </row>
    <row r="392" ht="15.75" customHeight="1">
      <c r="A392" s="2">
        <v>4.0</v>
      </c>
      <c r="B392" s="2" t="s">
        <v>1209</v>
      </c>
      <c r="C392" s="2" t="s">
        <v>1210</v>
      </c>
      <c r="D392" s="2" t="s">
        <v>76</v>
      </c>
      <c r="E392" s="2" t="s">
        <v>51</v>
      </c>
      <c r="F392" s="2" t="s">
        <v>15</v>
      </c>
      <c r="G392" s="2" t="s">
        <v>1211</v>
      </c>
      <c r="H392" s="2" t="s">
        <v>487</v>
      </c>
      <c r="I392" s="2" t="str">
        <f>IFERROR(__xludf.DUMMYFUNCTION("GOOGLETRANSLATE(C392,""fr"",""en"")"),"Insurance very well positioned level price on the other hand complicated to be understood to modify a contract the standard response that you gave you to another insurer and this response does not suit me")</f>
        <v>Insurance very well positioned level price on the other hand complicated to be understood to modify a contract the standard response that you gave you to another insurer and this response does not suit me</v>
      </c>
    </row>
    <row r="393" ht="15.75" customHeight="1">
      <c r="A393" s="2">
        <v>3.0</v>
      </c>
      <c r="B393" s="2" t="s">
        <v>1212</v>
      </c>
      <c r="C393" s="2" t="s">
        <v>1213</v>
      </c>
      <c r="D393" s="2" t="s">
        <v>50</v>
      </c>
      <c r="E393" s="2" t="s">
        <v>51</v>
      </c>
      <c r="F393" s="2" t="s">
        <v>15</v>
      </c>
      <c r="G393" s="2" t="s">
        <v>992</v>
      </c>
      <c r="H393" s="2" t="s">
        <v>43</v>
      </c>
      <c r="I393" s="2" t="str">
        <f>IFERROR(__xludf.DUMMYFUNCTION("GOOGLETRANSLATE(C393,""fr"",""en"")"),"Overall satisfactory for registration ........
New customer is to see later I hope not to be disappointed with my choice ...... and that customer service is effective")</f>
        <v>Overall satisfactory for registration ........
New customer is to see later I hope not to be disappointed with my choice ...... and that customer service is effective</v>
      </c>
    </row>
    <row r="394" ht="15.75" customHeight="1">
      <c r="A394" s="2">
        <v>5.0</v>
      </c>
      <c r="B394" s="2" t="s">
        <v>1214</v>
      </c>
      <c r="C394" s="2" t="s">
        <v>1215</v>
      </c>
      <c r="D394" s="2" t="s">
        <v>13</v>
      </c>
      <c r="E394" s="2" t="s">
        <v>14</v>
      </c>
      <c r="F394" s="2" t="s">
        <v>15</v>
      </c>
      <c r="G394" s="2" t="s">
        <v>196</v>
      </c>
      <c r="H394" s="2" t="s">
        <v>171</v>
      </c>
      <c r="I394" s="2" t="str">
        <f>IFERROR(__xludf.DUMMYFUNCTION("GOOGLETRANSLATE(C394,""fr"",""en"")"),"Suitable price speed of completion of the contract
People on the phone very pleasant and very attentive I think I will advise this insurance to my knowledge")</f>
        <v>Suitable price speed of completion of the contract
People on the phone very pleasant and very attentive I think I will advise this insurance to my knowledge</v>
      </c>
    </row>
    <row r="395" ht="15.75" customHeight="1">
      <c r="A395" s="2">
        <v>4.0</v>
      </c>
      <c r="B395" s="2" t="s">
        <v>1216</v>
      </c>
      <c r="C395" s="2" t="s">
        <v>1217</v>
      </c>
      <c r="D395" s="2" t="s">
        <v>36</v>
      </c>
      <c r="E395" s="2" t="s">
        <v>14</v>
      </c>
      <c r="F395" s="2" t="s">
        <v>15</v>
      </c>
      <c r="G395" s="2" t="s">
        <v>193</v>
      </c>
      <c r="H395" s="2" t="s">
        <v>27</v>
      </c>
      <c r="I395" s="2" t="str">
        <f>IFERROR(__xludf.DUMMYFUNCTION("GOOGLETRANSLATE(C395,""fr"",""en"")"),"Being a new customer, I'm waiting to see how the first year is before giving any review.
Regarding the price, the latter is very attractive")</f>
        <v>Being a new customer, I'm waiting to see how the first year is before giving any review.
Regarding the price, the latter is very attractive</v>
      </c>
    </row>
    <row r="396" ht="15.75" customHeight="1">
      <c r="A396" s="2">
        <v>5.0</v>
      </c>
      <c r="B396" s="2" t="s">
        <v>1218</v>
      </c>
      <c r="C396" s="2" t="s">
        <v>1219</v>
      </c>
      <c r="D396" s="2" t="s">
        <v>50</v>
      </c>
      <c r="E396" s="2" t="s">
        <v>51</v>
      </c>
      <c r="F396" s="2" t="s">
        <v>15</v>
      </c>
      <c r="G396" s="2" t="s">
        <v>229</v>
      </c>
      <c r="H396" s="2" t="s">
        <v>230</v>
      </c>
      <c r="I396" s="2" t="str">
        <f>IFERROR(__xludf.DUMMYFUNCTION("GOOGLETRANSLATE(C396,""fr"",""en"")"),"I am satisfied, very happy with the services and prices nothing to say thank you for your efficiency!
I recommend April Moto to all bikers and young permit for top prices and protection")</f>
        <v>I am satisfied, very happy with the services and prices nothing to say thank you for your efficiency!
I recommend April Moto to all bikers and young permit for top prices and protection</v>
      </c>
    </row>
    <row r="397" ht="15.75" customHeight="1">
      <c r="A397" s="2">
        <v>2.0</v>
      </c>
      <c r="B397" s="2" t="s">
        <v>1220</v>
      </c>
      <c r="C397" s="2" t="s">
        <v>1221</v>
      </c>
      <c r="D397" s="2" t="s">
        <v>20</v>
      </c>
      <c r="E397" s="2" t="s">
        <v>14</v>
      </c>
      <c r="F397" s="2" t="s">
        <v>15</v>
      </c>
      <c r="G397" s="2" t="s">
        <v>117</v>
      </c>
      <c r="H397" s="2" t="s">
        <v>117</v>
      </c>
      <c r="I397" s="2" t="str">
        <f>IFERROR(__xludf.DUMMYFUNCTION("GOOGLETRANSLATE(C397,""fr"",""en"")"),"Very bad insurance, it's been 7 months since my vehicle is immobilizing due to a fuel error from the station. They took 3 months before not taking an expert and 3 months before adjusting the repairer")</f>
        <v>Very bad insurance, it's been 7 months since my vehicle is immobilizing due to a fuel error from the station. They took 3 months before not taking an expert and 3 months before adjusting the repairer</v>
      </c>
    </row>
    <row r="398" ht="15.75" customHeight="1">
      <c r="A398" s="2">
        <v>1.0</v>
      </c>
      <c r="B398" s="2" t="s">
        <v>1222</v>
      </c>
      <c r="C398" s="2" t="s">
        <v>1223</v>
      </c>
      <c r="D398" s="2" t="s">
        <v>414</v>
      </c>
      <c r="E398" s="2" t="s">
        <v>14</v>
      </c>
      <c r="F398" s="2" t="s">
        <v>15</v>
      </c>
      <c r="G398" s="2" t="s">
        <v>1224</v>
      </c>
      <c r="H398" s="2" t="s">
        <v>287</v>
      </c>
      <c r="I398" s="2" t="str">
        <f>IFERROR(__xludf.DUMMYFUNCTION("GOOGLETRANSLATE(C398,""fr"",""en"")"),"Unimaginable practices. I realized that he had claims when I simply called for information. So impossible to change insurer afterwards. Ashamed!")</f>
        <v>Unimaginable practices. I realized that he had claims when I simply called for information. So impossible to change insurer afterwards. Ashamed!</v>
      </c>
    </row>
    <row r="399" ht="15.75" customHeight="1">
      <c r="A399" s="2">
        <v>1.0</v>
      </c>
      <c r="B399" s="2" t="s">
        <v>1225</v>
      </c>
      <c r="C399" s="2" t="s">
        <v>1226</v>
      </c>
      <c r="D399" s="2" t="s">
        <v>55</v>
      </c>
      <c r="E399" s="2" t="s">
        <v>14</v>
      </c>
      <c r="F399" s="2" t="s">
        <v>15</v>
      </c>
      <c r="G399" s="2" t="s">
        <v>1227</v>
      </c>
      <c r="H399" s="2" t="s">
        <v>39</v>
      </c>
      <c r="I399" s="2" t="str">
        <f>IFERROR(__xludf.DUMMYFUNCTION("GOOGLETRANSLATE(C399,""fr"",""en"")"),"Insurance that does not sell at all are service but then not at all for insured a collector's vehicle he asks us for a lot of intelligence that will not be used for anything and difficult to have them on the phone")</f>
        <v>Insurance that does not sell at all are service but then not at all for insured a collector's vehicle he asks us for a lot of intelligence that will not be used for anything and difficult to have them on the phone</v>
      </c>
    </row>
    <row r="400" ht="15.75" customHeight="1">
      <c r="A400" s="2">
        <v>2.0</v>
      </c>
      <c r="B400" s="2" t="s">
        <v>1228</v>
      </c>
      <c r="C400" s="2" t="s">
        <v>1229</v>
      </c>
      <c r="D400" s="2" t="s">
        <v>20</v>
      </c>
      <c r="E400" s="2" t="s">
        <v>51</v>
      </c>
      <c r="F400" s="2" t="s">
        <v>15</v>
      </c>
      <c r="G400" s="2" t="s">
        <v>1230</v>
      </c>
      <c r="H400" s="2" t="s">
        <v>69</v>
      </c>
      <c r="I400" s="2" t="str">
        <f>IFERROR(__xludf.DUMMYFUNCTION("GOOGLETRANSLATE(C400,""fr"",""en"")"),"After financial concerns, I settled what I had for my motorcycle contract, I am now going as an annual bonus, I have been reclaimed almost 200 euros at once, I have been a customer for 12 years at AXA, only problems ... Between CA and I change the bank ac"&amp;"count which has never been taken into account for my mutual despite 2 rib given to my agent AXA, plus a reco to the Service Service and a customer service ... Easy to To say that is Mauvai Payer when the change is never taken into account ...")</f>
        <v>After financial concerns, I settled what I had for my motorcycle contract, I am now going as an annual bonus, I have been reclaimed almost 200 euros at once, I have been a customer for 12 years at AXA, only problems ... Between CA and I change the bank account which has never been taken into account for my mutual despite 2 rib given to my agent AXA, plus a reco to the Service Service and a customer service ... Easy to To say that is Mauvai Payer when the change is never taken into account ...</v>
      </c>
    </row>
    <row r="401" ht="15.75" customHeight="1">
      <c r="A401" s="2">
        <v>1.0</v>
      </c>
      <c r="B401" s="2" t="s">
        <v>1231</v>
      </c>
      <c r="C401" s="2" t="s">
        <v>1232</v>
      </c>
      <c r="D401" s="2" t="s">
        <v>36</v>
      </c>
      <c r="E401" s="2" t="s">
        <v>14</v>
      </c>
      <c r="F401" s="2" t="s">
        <v>15</v>
      </c>
      <c r="G401" s="2" t="s">
        <v>1062</v>
      </c>
      <c r="H401" s="2" t="s">
        <v>287</v>
      </c>
      <c r="I401" s="2" t="str">
        <f>IFERROR(__xludf.DUMMYFUNCTION("GOOGLETRANSLATE(C401,""fr"",""en"")"),"To flee immediately. You can never have them. Prices increase without warning you except a few days before and worse while my bonus has been increased!")</f>
        <v>To flee immediately. You can never have them. Prices increase without warning you except a few days before and worse while my bonus has been increased!</v>
      </c>
    </row>
    <row r="402" ht="15.75" customHeight="1">
      <c r="A402" s="2">
        <v>4.0</v>
      </c>
      <c r="B402" s="2" t="s">
        <v>1233</v>
      </c>
      <c r="C402" s="2" t="s">
        <v>1234</v>
      </c>
      <c r="D402" s="2" t="s">
        <v>36</v>
      </c>
      <c r="E402" s="2" t="s">
        <v>14</v>
      </c>
      <c r="F402" s="2" t="s">
        <v>15</v>
      </c>
      <c r="G402" s="2" t="s">
        <v>1235</v>
      </c>
      <c r="H402" s="2" t="s">
        <v>27</v>
      </c>
      <c r="I402" s="2" t="str">
        <f>IFERROR(__xludf.DUMMYFUNCTION("GOOGLETRANSLATE(C402,""fr"",""en"")"),"speed of subscription, rates up in relation to my old requests. Impossible subscription of my daughter before her 2 years of insurance despite the accompanied driving provided by DA.")</f>
        <v>speed of subscription, rates up in relation to my old requests. Impossible subscription of my daughter before her 2 years of insurance despite the accompanied driving provided by DA.</v>
      </c>
    </row>
    <row r="403" ht="15.75" customHeight="1">
      <c r="A403" s="2">
        <v>1.0</v>
      </c>
      <c r="B403" s="2" t="s">
        <v>1236</v>
      </c>
      <c r="C403" s="2" t="s">
        <v>1237</v>
      </c>
      <c r="D403" s="2" t="s">
        <v>36</v>
      </c>
      <c r="E403" s="2" t="s">
        <v>14</v>
      </c>
      <c r="F403" s="2" t="s">
        <v>15</v>
      </c>
      <c r="G403" s="2" t="s">
        <v>122</v>
      </c>
      <c r="H403" s="2" t="s">
        <v>90</v>
      </c>
      <c r="I403" s="2" t="str">
        <f>IFERROR(__xludf.DUMMYFUNCTION("GOOGLETRANSLATE(C403,""fr"",""en"")"),"35 % increase in 2 years for no reason and despite a bonus of 50 %. I am told that it is normal, that the price is calculated compared to the claims of the area in which I am !!!!!!
I leave this insurance on the spot .......")</f>
        <v>35 % increase in 2 years for no reason and despite a bonus of 50 %. I am told that it is normal, that the price is calculated compared to the claims of the area in which I am !!!!!!
I leave this insurance on the spot .......</v>
      </c>
    </row>
    <row r="404" ht="15.75" customHeight="1">
      <c r="A404" s="2">
        <v>1.0</v>
      </c>
      <c r="B404" s="2" t="s">
        <v>1238</v>
      </c>
      <c r="C404" s="2" t="s">
        <v>1239</v>
      </c>
      <c r="D404" s="2" t="s">
        <v>430</v>
      </c>
      <c r="E404" s="2" t="s">
        <v>14</v>
      </c>
      <c r="F404" s="2" t="s">
        <v>15</v>
      </c>
      <c r="G404" s="2" t="s">
        <v>1240</v>
      </c>
      <c r="H404" s="2" t="s">
        <v>360</v>
      </c>
      <c r="I404" s="2" t="str">
        <f>IFERROR(__xludf.DUMMYFUNCTION("GOOGLETRANSLATE(C404,""fr"",""en"")"),"Without a commanda. Very disappointed with the fact that a contract modification has led to a new contract, not normal on the part according to one of your competitors.")</f>
        <v>Without a commanda. Very disappointed with the fact that a contract modification has led to a new contract, not normal on the part according to one of your competitors.</v>
      </c>
    </row>
    <row r="405" ht="15.75" customHeight="1">
      <c r="A405" s="2">
        <v>2.0</v>
      </c>
      <c r="B405" s="2" t="s">
        <v>1241</v>
      </c>
      <c r="C405" s="2" t="s">
        <v>1242</v>
      </c>
      <c r="D405" s="2" t="s">
        <v>430</v>
      </c>
      <c r="E405" s="2" t="s">
        <v>14</v>
      </c>
      <c r="F405" s="2" t="s">
        <v>15</v>
      </c>
      <c r="G405" s="2" t="s">
        <v>1243</v>
      </c>
      <c r="H405" s="2" t="s">
        <v>43</v>
      </c>
      <c r="I405" s="2" t="str">
        <f>IFERROR(__xludf.DUMMYFUNCTION("GOOGLETRANSLATE(C405,""fr"",""en"")"),"Very bad managers and unacceptable treatment deadlines.
Customer for over 35 years and for all goods (cars, motorcycles, houses and children), I was recently faced with two insurance problems that required their help. Unfortunately, the follow -up of the"&amp;" files is laborious and the responses provided do not take into account the health situation and that of the customer.
For qua warranty mechanical breakdowns subscribed to their homes and operated by Gras Savoye works, I would have made a revision planne"&amp;"d in 2020 in full pandemic and with travel restrictions. Despite the fact that the vehicle has not made a lot of kilometers, they consider that the maintenance is not confirmed to the manufacturer's recommendation to refuse compensation.
The time has com"&amp;"e to taste the competition and have the costs of my contracts reassess.
Too bad to see that the promises displayed in pubs are not kept on the ground!")</f>
        <v>Very bad managers and unacceptable treatment deadlines.
Customer for over 35 years and for all goods (cars, motorcycles, houses and children), I was recently faced with two insurance problems that required their help. Unfortunately, the follow -up of the files is laborious and the responses provided do not take into account the health situation and that of the customer.
For qua warranty mechanical breakdowns subscribed to their homes and operated by Gras Savoye works, I would have made a revision planned in 2020 in full pandemic and with travel restrictions. Despite the fact that the vehicle has not made a lot of kilometers, they consider that the maintenance is not confirmed to the manufacturer's recommendation to refuse compensation.
The time has come to taste the competition and have the costs of my contracts reassess.
Too bad to see that the promises displayed in pubs are not kept on the ground!</v>
      </c>
    </row>
    <row r="406" ht="15.75" customHeight="1">
      <c r="A406" s="2">
        <v>1.0</v>
      </c>
      <c r="B406" s="2" t="s">
        <v>1244</v>
      </c>
      <c r="C406" s="2" t="s">
        <v>1245</v>
      </c>
      <c r="D406" s="2" t="s">
        <v>576</v>
      </c>
      <c r="E406" s="2" t="s">
        <v>14</v>
      </c>
      <c r="F406" s="2" t="s">
        <v>15</v>
      </c>
      <c r="G406" s="2" t="s">
        <v>1246</v>
      </c>
      <c r="H406" s="2" t="s">
        <v>591</v>
      </c>
      <c r="I406" s="2" t="str">
        <f>IFERROR(__xludf.DUMMYFUNCTION("GOOGLETRANSLATE(C406,""fr"",""en"")"),"During a call to add a 3rd auto contract with reporting from the next end of the end of driving training accompanied by my son, I was informed that I was asked to find another insurer, Eurofil refusing the right To my son to be insured to continue driving"&amp;" my insured vehicles at Eurofil?")</f>
        <v>During a call to add a 3rd auto contract with reporting from the next end of the end of driving training accompanied by my son, I was informed that I was asked to find another insurer, Eurofil refusing the right To my son to be insured to continue driving my insured vehicles at Eurofil?</v>
      </c>
    </row>
    <row r="407" ht="15.75" customHeight="1">
      <c r="A407" s="2">
        <v>3.0</v>
      </c>
      <c r="B407" s="2" t="s">
        <v>1247</v>
      </c>
      <c r="C407" s="2" t="s">
        <v>1248</v>
      </c>
      <c r="D407" s="2" t="s">
        <v>13</v>
      </c>
      <c r="E407" s="2" t="s">
        <v>14</v>
      </c>
      <c r="F407" s="2" t="s">
        <v>15</v>
      </c>
      <c r="G407" s="2" t="s">
        <v>230</v>
      </c>
      <c r="H407" s="2" t="s">
        <v>230</v>
      </c>
      <c r="I407" s="2" t="str">
        <f>IFERROR(__xludf.DUMMYFUNCTION("GOOGLETRANSLATE(C407,""fr"",""en"")"),"No concrete opinion, I just subscribed. To see in the future. Hoping not to have a surprise during this year of engagement. Best regards")</f>
        <v>No concrete opinion, I just subscribed. To see in the future. Hoping not to have a surprise during this year of engagement. Best regards</v>
      </c>
    </row>
    <row r="408" ht="15.75" customHeight="1">
      <c r="A408" s="2">
        <v>2.0</v>
      </c>
      <c r="B408" s="2" t="s">
        <v>1249</v>
      </c>
      <c r="C408" s="2" t="s">
        <v>1250</v>
      </c>
      <c r="D408" s="2" t="s">
        <v>80</v>
      </c>
      <c r="E408" s="2" t="s">
        <v>14</v>
      </c>
      <c r="F408" s="2" t="s">
        <v>15</v>
      </c>
      <c r="G408" s="2" t="s">
        <v>1251</v>
      </c>
      <c r="H408" s="2" t="s">
        <v>57</v>
      </c>
      <c r="I408" s="2" t="str">
        <f>IFERROR(__xludf.DUMMYFUNCTION("GOOGLETRANSLATE(C408,""fr"",""en"")"),"Insurance to avoid at all costs.
Even if the price is seaman, the service and the service are absolutely not there. On a simple call, our contract has been terminated. No proof has been requested and when we tried to call the insurance to resolve this pr"&amp;"oblem, a contemptuous and exceucrable manager of the MAAF Nexx has had an insulting attitude to our regard. She did not even try to find a solution with us and clearly told us to go and see elsewhere .. and allowed himself to add to our files of significa"&amp;"nt importance !! At this time when the customer experience is at the heart of the concerns, there is no chance that I come back one day to this ""insurer"" and even less for me to advise anyone")</f>
        <v>Insurance to avoid at all costs.
Even if the price is seaman, the service and the service are absolutely not there. On a simple call, our contract has been terminated. No proof has been requested and when we tried to call the insurance to resolve this problem, a contemptuous and exceucrable manager of the MAAF Nexx has had an insulting attitude to our regard. She did not even try to find a solution with us and clearly told us to go and see elsewhere .. and allowed himself to add to our files of significant importance !! At this time when the customer experience is at the heart of the concerns, there is no chance that I come back one day to this "insurer" and even less for me to advise anyone</v>
      </c>
    </row>
    <row r="409" ht="15.75" customHeight="1">
      <c r="A409" s="2">
        <v>4.0</v>
      </c>
      <c r="B409" s="2" t="s">
        <v>1252</v>
      </c>
      <c r="C409" s="2" t="s">
        <v>1253</v>
      </c>
      <c r="D409" s="2" t="s">
        <v>76</v>
      </c>
      <c r="E409" s="2" t="s">
        <v>51</v>
      </c>
      <c r="F409" s="2" t="s">
        <v>15</v>
      </c>
      <c r="G409" s="2" t="s">
        <v>1098</v>
      </c>
      <c r="H409" s="2" t="s">
        <v>27</v>
      </c>
      <c r="I409" s="2" t="str">
        <f>IFERROR(__xludf.DUMMYFUNCTION("GOOGLETRANSLATE(C409,""fr"",""en"")"),"I would have liked to be warned before it was necessary to settle 3 months of advances.
But unbeatable on their prices I highly recommend!
I will surely remain there for my third motorcycle.")</f>
        <v>I would have liked to be warned before it was necessary to settle 3 months of advances.
But unbeatable on their prices I highly recommend!
I will surely remain there for my third motorcycle.</v>
      </c>
    </row>
    <row r="410" ht="15.75" customHeight="1">
      <c r="A410" s="2">
        <v>3.0</v>
      </c>
      <c r="B410" s="2" t="s">
        <v>1254</v>
      </c>
      <c r="C410" s="2" t="s">
        <v>1255</v>
      </c>
      <c r="D410" s="2" t="s">
        <v>20</v>
      </c>
      <c r="E410" s="2" t="s">
        <v>37</v>
      </c>
      <c r="F410" s="2" t="s">
        <v>15</v>
      </c>
      <c r="G410" s="2" t="s">
        <v>1256</v>
      </c>
      <c r="H410" s="2" t="s">
        <v>591</v>
      </c>
      <c r="I410" s="2" t="str">
        <f>IFERROR(__xludf.DUMMYFUNCTION("GOOGLETRANSLATE(C410,""fr"",""en"")"),"Hello, I would like to warn you that in the event of a claim at AXA must take a lawyer in a row because me after being the victim of a combriolating in my magazin and that the expert and go to established his Defenatique report by specifying that it was n"&amp;"ecessary compensate. Axa has decided the opposite and she to use an investigator who I do not even know for whom he works he presents himself to me by calling me his 06 hello, detective deprivee we were contacted by axa your insurer must be Meeting. It gi"&amp;"ves me an appointment 2 week after I am a trader and if I do not re -turn my business. I can put keys under the door. So after all this for you to choose your good insurance that does not seek only their interest")</f>
        <v>Hello, I would like to warn you that in the event of a claim at AXA must take a lawyer in a row because me after being the victim of a combriolating in my magazin and that the expert and go to established his Defenatique report by specifying that it was necessary compensate. Axa has decided the opposite and she to use an investigator who I do not even know for whom he works he presents himself to me by calling me his 06 hello, detective deprivee we were contacted by axa your insurer must be Meeting. It gives me an appointment 2 week after I am a trader and if I do not re -turn my business. I can put keys under the door. So after all this for you to choose your good insurance that does not seek only their interest</v>
      </c>
    </row>
    <row r="411" ht="15.75" customHeight="1">
      <c r="A411" s="2">
        <v>1.0</v>
      </c>
      <c r="B411" s="2" t="s">
        <v>1257</v>
      </c>
      <c r="C411" s="2" t="s">
        <v>1258</v>
      </c>
      <c r="D411" s="2" t="s">
        <v>285</v>
      </c>
      <c r="E411" s="2" t="s">
        <v>14</v>
      </c>
      <c r="F411" s="2" t="s">
        <v>15</v>
      </c>
      <c r="G411" s="2" t="s">
        <v>1259</v>
      </c>
      <c r="H411" s="2" t="s">
        <v>320</v>
      </c>
      <c r="I411" s="2" t="str">
        <f>IFERROR(__xludf.DUMMYFUNCTION("GOOGLETRANSLATE(C411,""fr"",""en"")"),"WARNING ?? ! Hello everyone I will not go into details yen will have 8 page back -paced but seek another insurance I address myself to those who are lucky not to have subscribed yet because once it is done it will simply be impossible To terminate they wi"&amp;"ll find you all the possible pretexts suddenly I find myself with two insurance ... Customer service is simply people who barely speaks French who allows you to hang up on you and speak to you as if you were a minute that nothing is at risk for more than "&amp;"2 months that my disaster due is not taken care of flee if you do not want to have a nerve crisis daily 4 termination requests were made by my new insurance but They refuse to let me go to believe that they are falling in love with me ????")</f>
        <v>WARNING ?? ! Hello everyone I will not go into details yen will have 8 page back -paced but seek another insurance I address myself to those who are lucky not to have subscribed yet because once it is done it will simply be impossible To terminate they will find you all the possible pretexts suddenly I find myself with two insurance ... Customer service is simply people who barely speaks French who allows you to hang up on you and speak to you as if you were a minute that nothing is at risk for more than 2 months that my disaster due is not taken care of flee if you do not want to have a nerve crisis daily 4 termination requests were made by my new insurance but They refuse to let me go to believe that they are falling in love with me ????</v>
      </c>
    </row>
    <row r="412" ht="15.75" customHeight="1">
      <c r="A412" s="2">
        <v>3.0</v>
      </c>
      <c r="B412" s="2" t="s">
        <v>1260</v>
      </c>
      <c r="C412" s="2" t="s">
        <v>1261</v>
      </c>
      <c r="D412" s="2" t="s">
        <v>36</v>
      </c>
      <c r="E412" s="2" t="s">
        <v>14</v>
      </c>
      <c r="F412" s="2" t="s">
        <v>15</v>
      </c>
      <c r="G412" s="2" t="s">
        <v>1027</v>
      </c>
      <c r="H412" s="2" t="s">
        <v>171</v>
      </c>
      <c r="I412" s="2" t="str">
        <f>IFERROR(__xludf.DUMMYFUNCTION("GOOGLETRANSLATE(C412,""fr"",""en"")"),"Fast and accessible service
Competitive prices
Does not carry out the termination process with former insurance as announced by telephone. I have been unanswered for several days!?")</f>
        <v>Fast and accessible service
Competitive prices
Does not carry out the termination process with former insurance as announced by telephone. I have been unanswered for several days!?</v>
      </c>
    </row>
    <row r="413" ht="15.75" customHeight="1">
      <c r="A413" s="2">
        <v>3.0</v>
      </c>
      <c r="B413" s="2" t="s">
        <v>1262</v>
      </c>
      <c r="C413" s="2" t="s">
        <v>1263</v>
      </c>
      <c r="D413" s="2" t="s">
        <v>50</v>
      </c>
      <c r="E413" s="2" t="s">
        <v>51</v>
      </c>
      <c r="F413" s="2" t="s">
        <v>15</v>
      </c>
      <c r="G413" s="2" t="s">
        <v>290</v>
      </c>
      <c r="H413" s="2" t="s">
        <v>47</v>
      </c>
      <c r="I413" s="2" t="str">
        <f>IFERROR(__xludf.DUMMYFUNCTION("GOOGLETRANSLATE(C413,""fr"",""en"")"),"A little expensive price for a 2002 scooter.
Insurance without the gray card, just with serial number.
Ideal for making a first registration.")</f>
        <v>A little expensive price for a 2002 scooter.
Insurance without the gray card, just with serial number.
Ideal for making a first registration.</v>
      </c>
    </row>
    <row r="414" ht="15.75" customHeight="1">
      <c r="A414" s="2">
        <v>3.0</v>
      </c>
      <c r="B414" s="2" t="s">
        <v>1264</v>
      </c>
      <c r="C414" s="2" t="s">
        <v>1265</v>
      </c>
      <c r="D414" s="2" t="s">
        <v>60</v>
      </c>
      <c r="E414" s="2" t="s">
        <v>14</v>
      </c>
      <c r="F414" s="2" t="s">
        <v>15</v>
      </c>
      <c r="G414" s="2" t="s">
        <v>1266</v>
      </c>
      <c r="H414" s="2" t="s">
        <v>591</v>
      </c>
      <c r="I414" s="2" t="str">
        <f>IFERROR(__xludf.DUMMYFUNCTION("GOOGLETRANSLATE(C414,""fr"",""en"")"),"Very good insurance. Competitive prices.")</f>
        <v>Very good insurance. Competitive prices.</v>
      </c>
    </row>
    <row r="415" ht="15.75" customHeight="1">
      <c r="A415" s="2">
        <v>1.0</v>
      </c>
      <c r="B415" s="2" t="s">
        <v>1267</v>
      </c>
      <c r="C415" s="2" t="s">
        <v>1268</v>
      </c>
      <c r="D415" s="2" t="s">
        <v>1269</v>
      </c>
      <c r="E415" s="2" t="s">
        <v>121</v>
      </c>
      <c r="F415" s="2" t="s">
        <v>15</v>
      </c>
      <c r="G415" s="2" t="s">
        <v>427</v>
      </c>
      <c r="H415" s="2" t="s">
        <v>33</v>
      </c>
      <c r="I415" s="2" t="str">
        <f>IFERROR(__xludf.DUMMYFUNCTION("GOOGLETRANSLATE(C415,""fr"",""en"")"),"I have never seen such a lack of professionalism within an insurance company!
My contract has never been put into ""Madelin law"" as requested from the start and relaunched several times, an impossible result to deduce taxations, it took more than 4 mont"&amp;"hs of almost weekly recovery so that they finally deign to place My Madelin law contract, but not in a retroactive manner and no commercial gesture on their part. The advisers take weeks to answer and all that to say ""I will find out and I come back to y"&amp;"ou later"".
TO FLEE !")</f>
        <v>I have never seen such a lack of professionalism within an insurance company!
My contract has never been put into "Madelin law" as requested from the start and relaunched several times, an impossible result to deduce taxations, it took more than 4 months of almost weekly recovery so that they finally deign to place My Madelin law contract, but not in a retroactive manner and no commercial gesture on their part. The advisers take weeks to answer and all that to say "I will find out and I come back to you later".
TO FLEE !</v>
      </c>
    </row>
    <row r="416" ht="15.75" customHeight="1">
      <c r="A416" s="2">
        <v>5.0</v>
      </c>
      <c r="B416" s="2" t="s">
        <v>1270</v>
      </c>
      <c r="C416" s="2" t="s">
        <v>1271</v>
      </c>
      <c r="D416" s="2" t="s">
        <v>36</v>
      </c>
      <c r="E416" s="2" t="s">
        <v>14</v>
      </c>
      <c r="F416" s="2" t="s">
        <v>15</v>
      </c>
      <c r="G416" s="2" t="s">
        <v>1272</v>
      </c>
      <c r="H416" s="2" t="s">
        <v>487</v>
      </c>
      <c r="I416" s="2" t="str">
        <f>IFERROR(__xludf.DUMMYFUNCTION("GOOGLETRANSLATE(C416,""fr"",""en"")"),"For the moment count me and my daughter who had her license in January direct insurance is 2 to 3 times cheaper than all the others after if I assure myself alone with 50 %for 12 years other is 30 %less Dear damage that for my daughter it gets stuck in dr"&amp;"iving accompanied thank you to direct insurance")</f>
        <v>For the moment count me and my daughter who had her license in January direct insurance is 2 to 3 times cheaper than all the others after if I assure myself alone with 50 %for 12 years other is 30 %less Dear damage that for my daughter it gets stuck in driving accompanied thank you to direct insurance</v>
      </c>
    </row>
    <row r="417" ht="15.75" customHeight="1">
      <c r="A417" s="2">
        <v>4.0</v>
      </c>
      <c r="B417" s="2" t="s">
        <v>1273</v>
      </c>
      <c r="C417" s="2" t="s">
        <v>1274</v>
      </c>
      <c r="D417" s="2" t="s">
        <v>88</v>
      </c>
      <c r="E417" s="2" t="s">
        <v>31</v>
      </c>
      <c r="F417" s="2" t="s">
        <v>15</v>
      </c>
      <c r="G417" s="2" t="s">
        <v>1275</v>
      </c>
      <c r="H417" s="2" t="s">
        <v>432</v>
      </c>
      <c r="I417" s="2" t="str">
        <f>IFERROR(__xludf.DUMMYFUNCTION("GOOGLETRANSLATE(C417,""fr"",""en"")"),"It's been 5 years that I am very satisfied with Santiane and happy that you are offering me a new less -on -one contract")</f>
        <v>It's been 5 years that I am very satisfied with Santiane and happy that you are offering me a new less -on -one contract</v>
      </c>
    </row>
    <row r="418" ht="15.75" customHeight="1">
      <c r="A418" s="2">
        <v>4.0</v>
      </c>
      <c r="B418" s="2" t="s">
        <v>1276</v>
      </c>
      <c r="C418" s="2" t="s">
        <v>1277</v>
      </c>
      <c r="D418" s="2" t="s">
        <v>211</v>
      </c>
      <c r="E418" s="2" t="s">
        <v>31</v>
      </c>
      <c r="F418" s="2" t="s">
        <v>15</v>
      </c>
      <c r="G418" s="2" t="s">
        <v>1278</v>
      </c>
      <c r="H418" s="2" t="s">
        <v>69</v>
      </c>
      <c r="I418" s="2" t="str">
        <f>IFERROR(__xludf.DUMMYFUNCTION("GOOGLETRANSLATE(C418,""fr"",""en"")"),"Perfect Erika")</f>
        <v>Perfect Erika</v>
      </c>
    </row>
    <row r="419" ht="15.75" customHeight="1">
      <c r="A419" s="2">
        <v>2.0</v>
      </c>
      <c r="B419" s="2" t="s">
        <v>1279</v>
      </c>
      <c r="C419" s="2" t="s">
        <v>1280</v>
      </c>
      <c r="D419" s="2" t="s">
        <v>30</v>
      </c>
      <c r="E419" s="2" t="s">
        <v>31</v>
      </c>
      <c r="F419" s="2" t="s">
        <v>15</v>
      </c>
      <c r="G419" s="2" t="s">
        <v>1281</v>
      </c>
      <c r="H419" s="2" t="s">
        <v>487</v>
      </c>
      <c r="I419" s="2" t="str">
        <f>IFERROR(__xludf.DUMMYFUNCTION("GOOGLETRANSLATE(C419,""fr"",""en"")"),"After 30 minutes of waiting impossible to reach them this is unacceptable, I would have spent the day there and still people to answer. How do we have a document? What does the director of this mutual insurance company do. Null from null")</f>
        <v>After 30 minutes of waiting impossible to reach them this is unacceptable, I would have spent the day there and still people to answer. How do we have a document? What does the director of this mutual insurance company do. Null from null</v>
      </c>
    </row>
    <row r="420" ht="15.75" customHeight="1">
      <c r="A420" s="2">
        <v>1.0</v>
      </c>
      <c r="B420" s="2" t="s">
        <v>1282</v>
      </c>
      <c r="C420" s="2" t="s">
        <v>1283</v>
      </c>
      <c r="D420" s="2" t="s">
        <v>1284</v>
      </c>
      <c r="E420" s="2" t="s">
        <v>253</v>
      </c>
      <c r="F420" s="2" t="s">
        <v>15</v>
      </c>
      <c r="G420" s="2" t="s">
        <v>1001</v>
      </c>
      <c r="H420" s="2" t="s">
        <v>27</v>
      </c>
      <c r="I420" s="2" t="str">
        <f>IFERROR(__xludf.DUMMYFUNCTION("GOOGLETRANSLATE(C420,""fr"",""en"")"),"My dog ​​died on August 1R 2021, we paid insurance almost 14 years old without delay and October 21, 2021 we have still not received or reimbursement on the phone we are told well that we still have to wait 2 checks but he do not send it. While we were ta"&amp;"ken directly from the account so they have our RIB to make a transfer to close the file faster.
Beware of Solly Azar insurers, they take your money but do not reimburse you")</f>
        <v>My dog ​​died on August 1R 2021, we paid insurance almost 14 years old without delay and October 21, 2021 we have still not received or reimbursement on the phone we are told well that we still have to wait 2 checks but he do not send it. While we were taken directly from the account so they have our RIB to make a transfer to close the file faster.
Beware of Solly Azar insurers, they take your money but do not reimburse you</v>
      </c>
    </row>
    <row r="421" ht="15.75" customHeight="1">
      <c r="A421" s="2">
        <v>1.0</v>
      </c>
      <c r="B421" s="2" t="s">
        <v>1285</v>
      </c>
      <c r="C421" s="2" t="s">
        <v>1286</v>
      </c>
      <c r="D421" s="2" t="s">
        <v>285</v>
      </c>
      <c r="E421" s="2" t="s">
        <v>14</v>
      </c>
      <c r="F421" s="2" t="s">
        <v>15</v>
      </c>
      <c r="G421" s="2" t="s">
        <v>600</v>
      </c>
      <c r="H421" s="2" t="s">
        <v>27</v>
      </c>
      <c r="I421" s="2" t="str">
        <f>IFERROR(__xludf.DUMMYFUNCTION("GOOGLETRANSLATE(C421,""fr"",""en"")"),"I absolutely do not recommend this insurance company
I had an accident of which I was not responsible.
The expert quantified the price of repairs higher after taking the value of my vehicle on the market
My file must therefore go through the expert adv"&amp;"isor to the company
It's been two months since I returned from insurance
Every week it is up to me to call them my file is waiting for a validation of which he does not know the waiting period
At no time did the company call me concerning my file")</f>
        <v>I absolutely do not recommend this insurance company
I had an accident of which I was not responsible.
The expert quantified the price of repairs higher after taking the value of my vehicle on the market
My file must therefore go through the expert advisor to the company
It's been two months since I returned from insurance
Every week it is up to me to call them my file is waiting for a validation of which he does not know the waiting period
At no time did the company call me concerning my file</v>
      </c>
    </row>
    <row r="422" ht="15.75" customHeight="1">
      <c r="A422" s="2">
        <v>3.0</v>
      </c>
      <c r="B422" s="2" t="s">
        <v>1287</v>
      </c>
      <c r="C422" s="2" t="s">
        <v>1288</v>
      </c>
      <c r="D422" s="2" t="s">
        <v>36</v>
      </c>
      <c r="E422" s="2" t="s">
        <v>14</v>
      </c>
      <c r="F422" s="2" t="s">
        <v>15</v>
      </c>
      <c r="G422" s="2" t="s">
        <v>772</v>
      </c>
      <c r="H422" s="2" t="s">
        <v>33</v>
      </c>
      <c r="I422" s="2" t="str">
        <f>IFERROR(__xludf.DUMMYFUNCTION("GOOGLETRANSLATE(C422,""fr"",""en"")"),"I am satisfied with direct insurance but pay € 925 per year for a 2007 car I find it excessive, the olive assurance offers me the same for € 650 per year, so I will change insurer!")</f>
        <v>I am satisfied with direct insurance but pay € 925 per year for a 2007 car I find it excessive, the olive assurance offers me the same for € 650 per year, so I will change insurer!</v>
      </c>
    </row>
    <row r="423" ht="15.75" customHeight="1">
      <c r="A423" s="2">
        <v>2.0</v>
      </c>
      <c r="B423" s="2" t="s">
        <v>1289</v>
      </c>
      <c r="C423" s="2" t="s">
        <v>1290</v>
      </c>
      <c r="D423" s="2" t="s">
        <v>125</v>
      </c>
      <c r="E423" s="2" t="s">
        <v>14</v>
      </c>
      <c r="F423" s="2" t="s">
        <v>15</v>
      </c>
      <c r="G423" s="2" t="s">
        <v>287</v>
      </c>
      <c r="H423" s="2" t="s">
        <v>287</v>
      </c>
      <c r="I423" s="2" t="str">
        <f>IFERROR(__xludf.DUMMYFUNCTION("GOOGLETRANSLATE(C423,""fr"",""en"")"),"GMF customer for more than 10 years I had in a short time a bad series of claims including only one manager. I received a call informing me that insurance no longer wanted to make sure of these claims. I was still 50% and I have two other vehicles insured"&amp;" at home but nothing makes it insurance decides to raft me. I am terribly disappointed with me who praised this insurance and now I place it at the same level as some who have no qualms. In short, you must be insured but especially no claims including not"&amp;" responsible it is lamentable.")</f>
        <v>GMF customer for more than 10 years I had in a short time a bad series of claims including only one manager. I received a call informing me that insurance no longer wanted to make sure of these claims. I was still 50% and I have two other vehicles insured at home but nothing makes it insurance decides to raft me. I am terribly disappointed with me who praised this insurance and now I place it at the same level as some who have no qualms. In short, you must be insured but especially no claims including not responsible it is lamentable.</v>
      </c>
    </row>
    <row r="424" ht="15.75" customHeight="1">
      <c r="A424" s="2">
        <v>1.0</v>
      </c>
      <c r="B424" s="2" t="s">
        <v>1291</v>
      </c>
      <c r="C424" s="2" t="s">
        <v>1292</v>
      </c>
      <c r="D424" s="2" t="s">
        <v>285</v>
      </c>
      <c r="E424" s="2" t="s">
        <v>14</v>
      </c>
      <c r="F424" s="2" t="s">
        <v>15</v>
      </c>
      <c r="G424" s="2" t="s">
        <v>666</v>
      </c>
      <c r="H424" s="2" t="s">
        <v>85</v>
      </c>
      <c r="I424" s="2" t="str">
        <f>IFERROR(__xludf.DUMMYFUNCTION("GOOGLETRANSLATE(C424,""fr"",""en"")"),"Hello it is impossible to have this insurance information at home when has terminated with them they do not respect any rights on your rights that you have as the bonus number of years assured at home they are to be flee The king of the liars of the real "&amp;"mytho they tell me several times that my rights left by email always the same refrin with a lot of black blah with a surcharged number of course !! So I tell you do not make the stupidity where error to ensure at home because they lie for this then have c"&amp;"an imagine the worst insurance that does not last it is problem insurance except you take the money me they owe me my information statements from May 2018 to February 2021 on a 307 BF105ZC they are able to ask me to remind them to solve this problem or ev"&amp;"en say that everything left when I received nothing I promise you that these liars then to flee as quickly as quickly PS: I called more than 3 times then stop")</f>
        <v>Hello it is impossible to have this insurance information at home when has terminated with them they do not respect any rights on your rights that you have as the bonus number of years assured at home they are to be flee The king of the liars of the real mytho they tell me several times that my rights left by email always the same refrin with a lot of black blah with a surcharged number of course !! So I tell you do not make the stupidity where error to ensure at home because they lie for this then have can imagine the worst insurance that does not last it is problem insurance except you take the money me they owe me my information statements from May 2018 to February 2021 on a 307 BF105ZC they are able to ask me to remind them to solve this problem or even say that everything left when I received nothing I promise you that these liars then to flee as quickly as quickly PS: I called more than 3 times then stop</v>
      </c>
    </row>
    <row r="425" ht="15.75" customHeight="1">
      <c r="A425" s="2">
        <v>3.0</v>
      </c>
      <c r="B425" s="2" t="s">
        <v>1293</v>
      </c>
      <c r="C425" s="2" t="s">
        <v>1294</v>
      </c>
      <c r="D425" s="2" t="s">
        <v>36</v>
      </c>
      <c r="E425" s="2" t="s">
        <v>14</v>
      </c>
      <c r="F425" s="2" t="s">
        <v>15</v>
      </c>
      <c r="G425" s="2" t="s">
        <v>749</v>
      </c>
      <c r="H425" s="2" t="s">
        <v>171</v>
      </c>
      <c r="I425" s="2" t="str">
        <f>IFERROR(__xludf.DUMMYFUNCTION("GOOGLETRANSLATE(C425,""fr"",""en"")"),"Customer service leaves something to be desired. During my last call for a sinister glazing the advisor was not very clear. In addition, this declaration of claim made once on the mobile app (Android) and once on the site has never been taken into account"&amp;" !!!")</f>
        <v>Customer service leaves something to be desired. During my last call for a sinister glazing the advisor was not very clear. In addition, this declaration of claim made once on the mobile app (Android) and once on the site has never been taken into account !!!</v>
      </c>
    </row>
    <row r="426" ht="15.75" customHeight="1">
      <c r="A426" s="2">
        <v>1.0</v>
      </c>
      <c r="B426" s="2" t="s">
        <v>1295</v>
      </c>
      <c r="C426" s="2" t="s">
        <v>1296</v>
      </c>
      <c r="D426" s="2" t="s">
        <v>430</v>
      </c>
      <c r="E426" s="2" t="s">
        <v>37</v>
      </c>
      <c r="F426" s="2" t="s">
        <v>15</v>
      </c>
      <c r="G426" s="2" t="s">
        <v>1297</v>
      </c>
      <c r="H426" s="2" t="s">
        <v>90</v>
      </c>
      <c r="I426" s="2" t="str">
        <f>IFERROR(__xludf.DUMMYFUNCTION("GOOGLETRANSLATE(C426,""fr"",""en"")"),"Our kitchen caught fire due to a likely technical defect of a heating plate. The Macif offers us an expert appointment in a month, in the meantime we no longer have cooking and we have to fend for it. Sad situation for a family of 4 people who must depend"&amp;" on the kindness of neighbors. In addition, their cleaning service intervenes in a week to remove the soot from the apartment in which we live. A priori, we are not in an emergency ...")</f>
        <v>Our kitchen caught fire due to a likely technical defect of a heating plate. The Macif offers us an expert appointment in a month, in the meantime we no longer have cooking and we have to fend for it. Sad situation for a family of 4 people who must depend on the kindness of neighbors. In addition, their cleaning service intervenes in a week to remove the soot from the apartment in which we live. A priori, we are not in an emergency ...</v>
      </c>
    </row>
    <row r="427" ht="15.75" customHeight="1">
      <c r="A427" s="2">
        <v>1.0</v>
      </c>
      <c r="B427" s="2" t="s">
        <v>1298</v>
      </c>
      <c r="C427" s="2" t="s">
        <v>1299</v>
      </c>
      <c r="D427" s="2" t="s">
        <v>414</v>
      </c>
      <c r="E427" s="2" t="s">
        <v>14</v>
      </c>
      <c r="F427" s="2" t="s">
        <v>15</v>
      </c>
      <c r="G427" s="2" t="s">
        <v>1300</v>
      </c>
      <c r="H427" s="2" t="s">
        <v>171</v>
      </c>
      <c r="I427" s="2" t="str">
        <f>IFERROR(__xludf.DUMMYFUNCTION("GOOGLETRANSLATE(C427,""fr"",""en"")"),"I was happy with the MAIF Auto until the day I got an electric car and there surprise between my old thermal car and my new electric the invoice of the contribution doubles its price !!! Shame. I make quotes to leave the maif after 40 years of insurance a"&amp;"t home")</f>
        <v>I was happy with the MAIF Auto until the day I got an electric car and there surprise between my old thermal car and my new electric the invoice of the contribution doubles its price !!! Shame. I make quotes to leave the maif after 40 years of insurance at home</v>
      </c>
    </row>
    <row r="428" ht="15.75" customHeight="1">
      <c r="A428" s="2">
        <v>3.0</v>
      </c>
      <c r="B428" s="2" t="s">
        <v>1301</v>
      </c>
      <c r="C428" s="2" t="s">
        <v>1302</v>
      </c>
      <c r="D428" s="2" t="s">
        <v>1303</v>
      </c>
      <c r="E428" s="2" t="s">
        <v>51</v>
      </c>
      <c r="F428" s="2" t="s">
        <v>15</v>
      </c>
      <c r="G428" s="2" t="s">
        <v>1304</v>
      </c>
      <c r="H428" s="2" t="s">
        <v>62</v>
      </c>
      <c r="I428" s="2" t="str">
        <f>IFERROR(__xludf.DUMMYFUNCTION("GOOGLETRANSLATE(C428,""fr"",""en"")"),"I was advised by 1 reseller on this insurance")</f>
        <v>I was advised by 1 reseller on this insurance</v>
      </c>
    </row>
    <row r="429" ht="15.75" customHeight="1">
      <c r="A429" s="2">
        <v>1.0</v>
      </c>
      <c r="B429" s="2" t="s">
        <v>1305</v>
      </c>
      <c r="C429" s="2" t="s">
        <v>1306</v>
      </c>
      <c r="D429" s="2" t="s">
        <v>300</v>
      </c>
      <c r="E429" s="2" t="s">
        <v>121</v>
      </c>
      <c r="F429" s="2" t="s">
        <v>15</v>
      </c>
      <c r="G429" s="2" t="s">
        <v>1307</v>
      </c>
      <c r="H429" s="2" t="s">
        <v>160</v>
      </c>
      <c r="I429" s="2" t="str">
        <f>IFERROR(__xludf.DUMMYFUNCTION("GOOGLETRANSLATE(C429,""fr"",""en"")"),"Rigolos! They take customers for morons ...
I made a total buy -back in May and I still have nothing but we are in July the maximum period is two months. I called a lady once in June to say that the transfer would have been made the day after the call, t"&amp;"he next day still nothing, I remind a lady telling me that my request was still not treated that she was going Make an emergency request for the request to be processed as soon as possible.
Two months later still nothing, I remind a lady telling me the s"&amp;"ame thing that my request has always been processed ... OK I understand that it is not a bank and that the time waiting is quite long but the it's gu *****
 It is not at all serious insurance that leads people by boat !!
")</f>
        <v>Rigolos! They take customers for morons ...
I made a total buy -back in May and I still have nothing but we are in July the maximum period is two months. I called a lady once in June to say that the transfer would have been made the day after the call, the next day still nothing, I remind a lady telling me that my request was still not treated that she was going Make an emergency request for the request to be processed as soon as possible.
Two months later still nothing, I remind a lady telling me the same thing that my request has always been processed ... OK I understand that it is not a bank and that the time waiting is quite long but the it's gu *****
 It is not at all serious insurance that leads people by boat !!
</v>
      </c>
    </row>
    <row r="430" ht="15.75" customHeight="1">
      <c r="A430" s="2">
        <v>4.0</v>
      </c>
      <c r="B430" s="2" t="s">
        <v>1308</v>
      </c>
      <c r="C430" s="2" t="s">
        <v>1309</v>
      </c>
      <c r="D430" s="2" t="s">
        <v>36</v>
      </c>
      <c r="E430" s="2" t="s">
        <v>14</v>
      </c>
      <c r="F430" s="2" t="s">
        <v>15</v>
      </c>
      <c r="G430" s="2" t="s">
        <v>1310</v>
      </c>
      <c r="H430" s="2" t="s">
        <v>33</v>
      </c>
      <c r="I430" s="2" t="str">
        <f>IFERROR(__xludf.DUMMYFUNCTION("GOOGLETRANSLATE(C430,""fr"",""en"")"),"I am satisfied with the relational, the prices are really interesting and accessible for all. We have never had a claim or an accident for the moment to assess the audience.")</f>
        <v>I am satisfied with the relational, the prices are really interesting and accessible for all. We have never had a claim or an accident for the moment to assess the audience.</v>
      </c>
    </row>
    <row r="431" ht="15.75" customHeight="1">
      <c r="A431" s="2">
        <v>4.0</v>
      </c>
      <c r="B431" s="2" t="s">
        <v>1311</v>
      </c>
      <c r="C431" s="2" t="s">
        <v>1312</v>
      </c>
      <c r="D431" s="2" t="s">
        <v>50</v>
      </c>
      <c r="E431" s="2" t="s">
        <v>51</v>
      </c>
      <c r="F431" s="2" t="s">
        <v>15</v>
      </c>
      <c r="G431" s="2" t="s">
        <v>658</v>
      </c>
      <c r="H431" s="2" t="s">
        <v>47</v>
      </c>
      <c r="I431" s="2" t="str">
        <f>IFERROR(__xludf.DUMMYFUNCTION("GOOGLETRANSLATE(C431,""fr"",""en"")"),"I am satisfied with the service and very affordable prices.
I had my quote in just 5 minutes I was I was ensuring the cheapest insurance that I found at the top.")</f>
        <v>I am satisfied with the service and very affordable prices.
I had my quote in just 5 minutes I was I was ensuring the cheapest insurance that I found at the top.</v>
      </c>
    </row>
    <row r="432" ht="15.75" customHeight="1">
      <c r="A432" s="2">
        <v>1.0</v>
      </c>
      <c r="B432" s="2" t="s">
        <v>1313</v>
      </c>
      <c r="C432" s="2" t="s">
        <v>1314</v>
      </c>
      <c r="D432" s="2" t="s">
        <v>1010</v>
      </c>
      <c r="E432" s="2" t="s">
        <v>121</v>
      </c>
      <c r="F432" s="2" t="s">
        <v>15</v>
      </c>
      <c r="G432" s="2" t="s">
        <v>1315</v>
      </c>
      <c r="H432" s="2" t="s">
        <v>62</v>
      </c>
      <c r="I432" s="2" t="str">
        <f>IFERROR(__xludf.DUMMYFUNCTION("GOOGLETRANSLATE(C432,""fr"",""en"")"),"Hello, I have a daily compensation contract since 2006, contract signed in case. Following AVC judgment since January 2018, following visit doctor compensation stopped because for him pb psy (diagnosis after a few minutes). I am followed by several doctor"&amp;"s. Above all, avoid Swiss Life. My brother is at home and asked for its termination.")</f>
        <v>Hello, I have a daily compensation contract since 2006, contract signed in case. Following AVC judgment since January 2018, following visit doctor compensation stopped because for him pb psy (diagnosis after a few minutes). I am followed by several doctors. Above all, avoid Swiss Life. My brother is at home and asked for its termination.</v>
      </c>
    </row>
    <row r="433" ht="15.75" customHeight="1">
      <c r="A433" s="2">
        <v>1.0</v>
      </c>
      <c r="B433" s="2" t="s">
        <v>1316</v>
      </c>
      <c r="C433" s="2" t="s">
        <v>1317</v>
      </c>
      <c r="D433" s="2" t="s">
        <v>304</v>
      </c>
      <c r="E433" s="2" t="s">
        <v>200</v>
      </c>
      <c r="F433" s="2" t="s">
        <v>15</v>
      </c>
      <c r="G433" s="2" t="s">
        <v>1318</v>
      </c>
      <c r="H433" s="2" t="s">
        <v>1319</v>
      </c>
      <c r="I433" s="2" t="str">
        <f>IFERROR(__xludf.DUMMYFUNCTION("GOOGLETRANSLATE(C433,""fr"",""en"")"),"Hello, I join your sad club, I went into disability in June 2016 after a 3 -year sick leave.
Cardif asked me to go see the doctor for medical and of course negative response.
What is the point of having insurance if it cannot be used in case of bp.
"&amp;"
already that we are sick and he adds that in addition.
I had cancer during pregnancy, I find it sad that Cardif is inhuman to this point.
What is on is that it is that I will not let myself be done !!!! I will contact the house of justice close to "&amp;"my home. I will also involve my legal assistance for lawyer fees !!
It embellishes me to get there but I will get started.
In addition during my medical expertise, the doctor clearly told me that he agreed that I could not go back to work and that for"&amp;" him I was going to continue to be compensated !!!
So I wonder if Cardif does not make the rates in his sauce.
I will ask for a copy of my expertise but in parallel I will do the necessary because the processing of files is super long as if by chanc"&amp;"e.
In any case I am disgusted")</f>
        <v>Hello, I join your sad club, I went into disability in June 2016 after a 3 -year sick leave.
Cardif asked me to go see the doctor for medical and of course negative response.
What is the point of having insurance if it cannot be used in case of bp.
already that we are sick and he adds that in addition.
I had cancer during pregnancy, I find it sad that Cardif is inhuman to this point.
What is on is that it is that I will not let myself be done !!!! I will contact the house of justice close to my home. I will also involve my legal assistance for lawyer fees !!
It embellishes me to get there but I will get started.
In addition during my medical expertise, the doctor clearly told me that he agreed that I could not go back to work and that for him I was going to continue to be compensated !!!
So I wonder if Cardif does not make the rates in his sauce.
I will ask for a copy of my expertise but in parallel I will do the necessary because the processing of files is super long as if by chance.
In any case I am disgusted</v>
      </c>
    </row>
    <row r="434" ht="15.75" customHeight="1">
      <c r="A434" s="2">
        <v>4.0</v>
      </c>
      <c r="B434" s="2" t="s">
        <v>1320</v>
      </c>
      <c r="C434" s="2" t="s">
        <v>1321</v>
      </c>
      <c r="D434" s="2" t="s">
        <v>36</v>
      </c>
      <c r="E434" s="2" t="s">
        <v>14</v>
      </c>
      <c r="F434" s="2" t="s">
        <v>15</v>
      </c>
      <c r="G434" s="2" t="s">
        <v>249</v>
      </c>
      <c r="H434" s="2" t="s">
        <v>43</v>
      </c>
      <c r="I434" s="2" t="str">
        <f>IFERROR(__xludf.DUMMYFUNCTION("GOOGLETRANSLATE(C434,""fr"",""en"")"),"I am satisfied with the price
I am satisfied with simplicity
I am satisfied with the telephone reception
I am satisfied with the proposed guarantees")</f>
        <v>I am satisfied with the price
I am satisfied with simplicity
I am satisfied with the telephone reception
I am satisfied with the proposed guarantees</v>
      </c>
    </row>
    <row r="435" ht="15.75" customHeight="1">
      <c r="A435" s="2">
        <v>1.0</v>
      </c>
      <c r="B435" s="2" t="s">
        <v>1322</v>
      </c>
      <c r="C435" s="2" t="s">
        <v>1323</v>
      </c>
      <c r="D435" s="2" t="s">
        <v>55</v>
      </c>
      <c r="E435" s="2" t="s">
        <v>37</v>
      </c>
      <c r="F435" s="2" t="s">
        <v>15</v>
      </c>
      <c r="G435" s="2" t="s">
        <v>1324</v>
      </c>
      <c r="H435" s="2" t="s">
        <v>17</v>
      </c>
      <c r="I435" s="2" t="str">
        <f>IFERROR(__xludf.DUMMYFUNCTION("GOOGLETRANSLATE(C435,""fr"",""en"")"),"A deplorable insurer who does not defend the files of his customers, does not accompany them, makes oral declarations that he does not hold etc .... to flee absolutely!")</f>
        <v>A deplorable insurer who does not defend the files of his customers, does not accompany them, makes oral declarations that he does not hold etc .... to flee absolutely!</v>
      </c>
    </row>
    <row r="436" ht="15.75" customHeight="1">
      <c r="A436" s="2">
        <v>4.0</v>
      </c>
      <c r="B436" s="2" t="s">
        <v>1325</v>
      </c>
      <c r="C436" s="2" t="s">
        <v>1326</v>
      </c>
      <c r="D436" s="2" t="s">
        <v>13</v>
      </c>
      <c r="E436" s="2" t="s">
        <v>14</v>
      </c>
      <c r="F436" s="2" t="s">
        <v>15</v>
      </c>
      <c r="G436" s="2" t="s">
        <v>187</v>
      </c>
      <c r="H436" s="2" t="s">
        <v>33</v>
      </c>
      <c r="I436" s="2" t="str">
        <f>IFERROR(__xludf.DUMMYFUNCTION("GOOGLETRANSLATE(C436,""fr"",""en"")"),"Suitable price, responsiveness and efficiency. I am a young driver and just bought me a Volkswagen Polo 5, the price at all risk is around 85 €.")</f>
        <v>Suitable price, responsiveness and efficiency. I am a young driver and just bought me a Volkswagen Polo 5, the price at all risk is around 85 €.</v>
      </c>
    </row>
    <row r="437" ht="15.75" customHeight="1">
      <c r="A437" s="2">
        <v>2.0</v>
      </c>
      <c r="B437" s="2" t="s">
        <v>1327</v>
      </c>
      <c r="C437" s="2" t="s">
        <v>1328</v>
      </c>
      <c r="D437" s="2" t="s">
        <v>36</v>
      </c>
      <c r="E437" s="2" t="s">
        <v>14</v>
      </c>
      <c r="F437" s="2" t="s">
        <v>15</v>
      </c>
      <c r="G437" s="2" t="s">
        <v>542</v>
      </c>
      <c r="H437" s="2" t="s">
        <v>171</v>
      </c>
      <c r="I437" s="2" t="str">
        <f>IFERROR(__xludf.DUMMYFUNCTION("GOOGLETRANSLATE(C437,""fr"",""en"")"),"Disappointed: I expected a larger drop this year, in the COVID context and the reduction in the use of the vehicle. No notable drop.")</f>
        <v>Disappointed: I expected a larger drop this year, in the COVID context and the reduction in the use of the vehicle. No notable drop.</v>
      </c>
    </row>
    <row r="438" ht="15.75" customHeight="1">
      <c r="A438" s="2">
        <v>1.0</v>
      </c>
      <c r="B438" s="2" t="s">
        <v>1329</v>
      </c>
      <c r="C438" s="2" t="s">
        <v>1330</v>
      </c>
      <c r="D438" s="2" t="s">
        <v>80</v>
      </c>
      <c r="E438" s="2" t="s">
        <v>37</v>
      </c>
      <c r="F438" s="2" t="s">
        <v>15</v>
      </c>
      <c r="G438" s="2" t="s">
        <v>1059</v>
      </c>
      <c r="H438" s="2" t="s">
        <v>69</v>
      </c>
      <c r="I438" s="2" t="str">
        <f>IFERROR(__xludf.DUMMYFUNCTION("GOOGLETRANSLATE(C438,""fr"",""en"")"),"Especially not take Maaf insurance. After 18 with them, they terminated a home insurance contract for 2 complaints in 4 years. Apparently they have a quota of customers that they must drop each year, even if complaints are not excessive.")</f>
        <v>Especially not take Maaf insurance. After 18 with them, they terminated a home insurance contract for 2 complaints in 4 years. Apparently they have a quota of customers that they must drop each year, even if complaints are not excessive.</v>
      </c>
    </row>
    <row r="439" ht="15.75" customHeight="1">
      <c r="A439" s="2">
        <v>5.0</v>
      </c>
      <c r="B439" s="2" t="s">
        <v>1331</v>
      </c>
      <c r="C439" s="2" t="s">
        <v>1332</v>
      </c>
      <c r="D439" s="2" t="s">
        <v>104</v>
      </c>
      <c r="E439" s="2" t="s">
        <v>31</v>
      </c>
      <c r="F439" s="2" t="s">
        <v>15</v>
      </c>
      <c r="G439" s="2" t="s">
        <v>1333</v>
      </c>
      <c r="H439" s="2" t="s">
        <v>320</v>
      </c>
      <c r="I439" s="2" t="str">
        <f>IFERROR(__xludf.DUMMYFUNCTION("GOOGLETRANSLATE(C439,""fr"",""en"")")," I took attachment with my telecsoiller compared to my mutual option.
My interlocutor was in my listening and answered all of my questions.
")</f>
        <v> I took attachment with my telecsoiller compared to my mutual option.
My interlocutor was in my listening and answered all of my questions.
</v>
      </c>
    </row>
    <row r="440" ht="15.75" customHeight="1">
      <c r="A440" s="2">
        <v>2.0</v>
      </c>
      <c r="B440" s="2" t="s">
        <v>1334</v>
      </c>
      <c r="C440" s="2" t="s">
        <v>1335</v>
      </c>
      <c r="D440" s="2" t="s">
        <v>125</v>
      </c>
      <c r="E440" s="2" t="s">
        <v>14</v>
      </c>
      <c r="F440" s="2" t="s">
        <v>15</v>
      </c>
      <c r="G440" s="2" t="s">
        <v>1336</v>
      </c>
      <c r="H440" s="2" t="s">
        <v>287</v>
      </c>
      <c r="I440" s="2" t="str">
        <f>IFERROR(__xludf.DUMMYFUNCTION("GOOGLETRANSLATE(C440,""fr"",""en"")"),"For GMF having several cars is suspect and refuses to insure.
")</f>
        <v>For GMF having several cars is suspect and refuses to insure.
</v>
      </c>
    </row>
    <row r="441" ht="15.75" customHeight="1">
      <c r="A441" s="2">
        <v>2.0</v>
      </c>
      <c r="B441" s="2" t="s">
        <v>1337</v>
      </c>
      <c r="C441" s="2" t="s">
        <v>1338</v>
      </c>
      <c r="D441" s="2" t="s">
        <v>414</v>
      </c>
      <c r="E441" s="2" t="s">
        <v>37</v>
      </c>
      <c r="F441" s="2" t="s">
        <v>15</v>
      </c>
      <c r="G441" s="2" t="s">
        <v>1339</v>
      </c>
      <c r="H441" s="2" t="s">
        <v>130</v>
      </c>
      <c r="I441" s="2" t="str">
        <f>IFERROR(__xludf.DUMMYFUNCTION("GOOGLETRANSLATE(C441,""fr"",""en"")"),"After the fire of her house a year ago my mother is still not compensated ... She herself pays the rent of a rescue housing! We are still waiting for the conclusions of a new expertise following the many errors made in the first which was provided to us 6"&amp;" months after the disaster thank you the maif ... I decided to terminate all my personal contracts this day after 30 years of affiliation")</f>
        <v>After the fire of her house a year ago my mother is still not compensated ... She herself pays the rent of a rescue housing! We are still waiting for the conclusions of a new expertise following the many errors made in the first which was provided to us 6 months after the disaster thank you the maif ... I decided to terminate all my personal contracts this day after 30 years of affiliation</v>
      </c>
    </row>
    <row r="442" ht="15.75" customHeight="1">
      <c r="A442" s="2">
        <v>3.0</v>
      </c>
      <c r="B442" s="2" t="s">
        <v>1340</v>
      </c>
      <c r="C442" s="2" t="s">
        <v>1341</v>
      </c>
      <c r="D442" s="2" t="s">
        <v>88</v>
      </c>
      <c r="E442" s="2" t="s">
        <v>31</v>
      </c>
      <c r="F442" s="2" t="s">
        <v>15</v>
      </c>
      <c r="G442" s="2" t="s">
        <v>1342</v>
      </c>
      <c r="H442" s="2" t="s">
        <v>504</v>
      </c>
      <c r="I442" s="2" t="str">
        <f>IFERROR(__xludf.DUMMYFUNCTION("GOOGLETRANSLATE(C442,""fr"",""en"")"),"Thank you to Lamia for listening and for answering all my questions. Fortunately, advisers are availability to respond because the site only works very partially")</f>
        <v>Thank you to Lamia for listening and for answering all my questions. Fortunately, advisers are availability to respond because the site only works very partially</v>
      </c>
    </row>
    <row r="443" ht="15.75" customHeight="1">
      <c r="A443" s="2">
        <v>2.0</v>
      </c>
      <c r="B443" s="2" t="s">
        <v>1343</v>
      </c>
      <c r="C443" s="2" t="s">
        <v>1344</v>
      </c>
      <c r="D443" s="2" t="s">
        <v>36</v>
      </c>
      <c r="E443" s="2" t="s">
        <v>14</v>
      </c>
      <c r="F443" s="2" t="s">
        <v>15</v>
      </c>
      <c r="G443" s="2" t="s">
        <v>1345</v>
      </c>
      <c r="H443" s="2" t="s">
        <v>356</v>
      </c>
      <c r="I443" s="2" t="str">
        <f>IFERROR(__xludf.DUMMYFUNCTION("GOOGLETRANSLATE(C443,""fr"",""en"")"),"Hello ,
This company is not to be recommended indeed I am struck off on 07/15/2020 because of the corona virus and some difficulties of payment and I must following a formal notice until the end of the anniversary period be 04/15/2021sans no flexibility "&amp;"!!!!!!")</f>
        <v>Hello ,
This company is not to be recommended indeed I am struck off on 07/15/2020 because of the corona virus and some difficulties of payment and I must following a formal notice until the end of the anniversary period be 04/15/2021sans no flexibility !!!!!!</v>
      </c>
    </row>
    <row r="444" ht="15.75" customHeight="1">
      <c r="A444" s="2">
        <v>5.0</v>
      </c>
      <c r="B444" s="2" t="s">
        <v>1346</v>
      </c>
      <c r="C444" s="2" t="s">
        <v>1347</v>
      </c>
      <c r="D444" s="2" t="s">
        <v>104</v>
      </c>
      <c r="E444" s="2" t="s">
        <v>31</v>
      </c>
      <c r="F444" s="2" t="s">
        <v>15</v>
      </c>
      <c r="G444" s="2" t="s">
        <v>1348</v>
      </c>
      <c r="H444" s="2" t="s">
        <v>149</v>
      </c>
      <c r="I444" s="2" t="str">
        <f>IFERROR(__xludf.DUMMYFUNCTION("GOOGLETRANSLATE(C444,""fr"",""en"")"),"Good reception and fast and precise information for 44 years I have been at the MGP and I was never disappointed. Bravo continue .. PAS Too much waiting during calls and the number is free.")</f>
        <v>Good reception and fast and precise information for 44 years I have been at the MGP and I was never disappointed. Bravo continue .. PAS Too much waiting during calls and the number is free.</v>
      </c>
    </row>
    <row r="445" ht="15.75" customHeight="1">
      <c r="A445" s="2">
        <v>4.0</v>
      </c>
      <c r="B445" s="2" t="s">
        <v>1349</v>
      </c>
      <c r="C445" s="2" t="s">
        <v>1350</v>
      </c>
      <c r="D445" s="2" t="s">
        <v>93</v>
      </c>
      <c r="E445" s="2" t="s">
        <v>14</v>
      </c>
      <c r="F445" s="2" t="s">
        <v>15</v>
      </c>
      <c r="G445" s="2" t="s">
        <v>1351</v>
      </c>
      <c r="H445" s="2" t="s">
        <v>230</v>
      </c>
      <c r="I445" s="2" t="str">
        <f>IFERROR(__xludf.DUMMYFUNCTION("GOOGLETRANSLATE(C445,""fr"",""en"")"),"As far as I'm concerned, I am satisfied. I recently declared a disaster for my C4. My compensation was made according to the contractual methods. I was perfectly informed and my interlocutors seemed to me attentive and professionals. The only downside tha"&amp;"t I can make is that information on personal space leaves something to be desired. Otherwise, no complaints ...")</f>
        <v>As far as I'm concerned, I am satisfied. I recently declared a disaster for my C4. My compensation was made according to the contractual methods. I was perfectly informed and my interlocutors seemed to me attentive and professionals. The only downside that I can make is that information on personal space leaves something to be desired. Otherwise, no complaints ...</v>
      </c>
    </row>
    <row r="446" ht="15.75" customHeight="1">
      <c r="A446" s="2">
        <v>2.0</v>
      </c>
      <c r="B446" s="2" t="s">
        <v>1352</v>
      </c>
      <c r="C446" s="2" t="s">
        <v>1353</v>
      </c>
      <c r="D446" s="2" t="s">
        <v>576</v>
      </c>
      <c r="E446" s="2" t="s">
        <v>14</v>
      </c>
      <c r="F446" s="2" t="s">
        <v>15</v>
      </c>
      <c r="G446" s="2" t="s">
        <v>1354</v>
      </c>
      <c r="H446" s="2" t="s">
        <v>69</v>
      </c>
      <c r="I446" s="2" t="str">
        <f>IFERROR(__xludf.DUMMYFUNCTION("GOOGLETRANSLATE(C446,""fr"",""en"")"),"Hello,
I am already a customer at Eurofil and for the moment I am happy. I just wanted to know if you assure cars buying abroad? In the European Union.
Cordially.")</f>
        <v>Hello,
I am already a customer at Eurofil and for the moment I am happy. I just wanted to know if you assure cars buying abroad? In the European Union.
Cordially.</v>
      </c>
    </row>
    <row r="447" ht="15.75" customHeight="1">
      <c r="A447" s="2">
        <v>1.0</v>
      </c>
      <c r="B447" s="2" t="s">
        <v>1355</v>
      </c>
      <c r="C447" s="2" t="s">
        <v>1356</v>
      </c>
      <c r="D447" s="2" t="s">
        <v>13</v>
      </c>
      <c r="E447" s="2" t="s">
        <v>14</v>
      </c>
      <c r="F447" s="2" t="s">
        <v>15</v>
      </c>
      <c r="G447" s="2" t="s">
        <v>1357</v>
      </c>
      <c r="H447" s="2" t="s">
        <v>17</v>
      </c>
      <c r="I447" s="2" t="str">
        <f>IFERROR(__xludf.DUMMYFUNCTION("GOOGLETRANSLATE(C447,""fr"",""en"")"),"Hello,
I was so happy to have such a competitive price on my car insurance ... but my joy was as quickly as it came! After several email exchange, impossible by the olive tree to make me a conforming contract!
Indeed my broken ice has turned into collis"&amp;"ions, and ... a break of ice made its appearance! I had to ask my insurer an information statement + handwritten registration + dated and signed buffer! Do you know what answer did I have the right? I quote: ""In addition, you can validate this compliance"&amp;" but also refuse it, as such, your contract will be terminated 30 days from the date on which the latter was sent to you.""
Result of the accounts, I think that really, the olive tree do everything so as not to offer me a compliant contract. I had advi"&amp;"sed this insurer to my entourage, who had started to take steps, but I stopped them and fortunately!
To know that 4 close people would have lived my nightmare is not possible.
So advice, don't look at the price! Service at a blow, serenity no.
")</f>
        <v>Hello,
I was so happy to have such a competitive price on my car insurance ... but my joy was as quickly as it came! After several email exchange, impossible by the olive tree to make me a conforming contract!
Indeed my broken ice has turned into collisions, and ... a break of ice made its appearance! I had to ask my insurer an information statement + handwritten registration + dated and signed buffer! Do you know what answer did I have the right? I quote: "In addition, you can validate this compliance but also refuse it, as such, your contract will be terminated 30 days from the date on which the latter was sent to you."
Result of the accounts, I think that really, the olive tree do everything so as not to offer me a compliant contract. I had advised this insurer to my entourage, who had started to take steps, but I stopped them and fortunately!
To know that 4 close people would have lived my nightmare is not possible.
So advice, don't look at the price! Service at a blow, serenity no.
</v>
      </c>
    </row>
    <row r="448" ht="15.75" customHeight="1">
      <c r="A448" s="2">
        <v>4.0</v>
      </c>
      <c r="B448" s="2" t="s">
        <v>1358</v>
      </c>
      <c r="C448" s="2" t="s">
        <v>1359</v>
      </c>
      <c r="D448" s="2" t="s">
        <v>13</v>
      </c>
      <c r="E448" s="2" t="s">
        <v>14</v>
      </c>
      <c r="F448" s="2" t="s">
        <v>15</v>
      </c>
      <c r="G448" s="2" t="s">
        <v>643</v>
      </c>
      <c r="H448" s="2" t="s">
        <v>27</v>
      </c>
      <c r="I448" s="2" t="str">
        <f>IFERROR(__xludf.DUMMYFUNCTION("GOOGLETRANSLATE(C448,""fr"",""en"")"),"I am satisfied with the service, prices suit me.
The person on the phone very pleasant friendly attentive.
I recommend this insurance.")</f>
        <v>I am satisfied with the service, prices suit me.
The person on the phone very pleasant friendly attentive.
I recommend this insurance.</v>
      </c>
    </row>
    <row r="449" ht="15.75" customHeight="1">
      <c r="A449" s="2">
        <v>4.0</v>
      </c>
      <c r="B449" s="2" t="s">
        <v>1360</v>
      </c>
      <c r="C449" s="2" t="s">
        <v>1361</v>
      </c>
      <c r="D449" s="2" t="s">
        <v>13</v>
      </c>
      <c r="E449" s="2" t="s">
        <v>14</v>
      </c>
      <c r="F449" s="2" t="s">
        <v>15</v>
      </c>
      <c r="G449" s="2" t="s">
        <v>268</v>
      </c>
      <c r="H449" s="2" t="s">
        <v>269</v>
      </c>
      <c r="I449" s="2" t="str">
        <f>IFERROR(__xludf.DUMMYFUNCTION("GOOGLETRANSLATE(C449,""fr"",""en"")"),"To follow up on our telephone interview today, we appreciated the good reception and quality of the information provided. Hope it lasts;-)")</f>
        <v>To follow up on our telephone interview today, we appreciated the good reception and quality of the information provided. Hope it lasts;-)</v>
      </c>
    </row>
    <row r="450" ht="15.75" customHeight="1">
      <c r="A450" s="2">
        <v>3.0</v>
      </c>
      <c r="B450" s="2" t="s">
        <v>1362</v>
      </c>
      <c r="C450" s="2" t="s">
        <v>1363</v>
      </c>
      <c r="D450" s="2" t="s">
        <v>36</v>
      </c>
      <c r="E450" s="2" t="s">
        <v>14</v>
      </c>
      <c r="F450" s="2" t="s">
        <v>15</v>
      </c>
      <c r="G450" s="2" t="s">
        <v>190</v>
      </c>
      <c r="H450" s="2" t="s">
        <v>85</v>
      </c>
      <c r="I450" s="2" t="str">
        <f>IFERROR(__xludf.DUMMYFUNCTION("GOOGLETRANSLATE(C450,""fr"",""en"")"),"The price does not suit me any claim and the price each time it increases for the vehicle or the house and yet have been very careful with everything, I do not understand your policy ??")</f>
        <v>The price does not suit me any claim and the price each time it increases for the vehicle or the house and yet have been very careful with everything, I do not understand your policy ??</v>
      </c>
    </row>
    <row r="451" ht="15.75" customHeight="1">
      <c r="A451" s="2">
        <v>5.0</v>
      </c>
      <c r="B451" s="2" t="s">
        <v>1364</v>
      </c>
      <c r="C451" s="2" t="s">
        <v>1365</v>
      </c>
      <c r="D451" s="2" t="s">
        <v>13</v>
      </c>
      <c r="E451" s="2" t="s">
        <v>14</v>
      </c>
      <c r="F451" s="2" t="s">
        <v>15</v>
      </c>
      <c r="G451" s="2" t="s">
        <v>1366</v>
      </c>
      <c r="H451" s="2" t="s">
        <v>47</v>
      </c>
      <c r="I451" s="2" t="str">
        <f>IFERROR(__xludf.DUMMYFUNCTION("GOOGLETRANSLATE(C451,""fr"",""en"")"),"The prices are very competitive. Easy and quick contact. Competent, pleasant and diligent staff. We are very satisfied with the services of this insurance")</f>
        <v>The prices are very competitive. Easy and quick contact. Competent, pleasant and diligent staff. We are very satisfied with the services of this insurance</v>
      </c>
    </row>
    <row r="452" ht="15.75" customHeight="1">
      <c r="A452" s="2">
        <v>3.0</v>
      </c>
      <c r="B452" s="2" t="s">
        <v>1367</v>
      </c>
      <c r="C452" s="2" t="s">
        <v>1368</v>
      </c>
      <c r="D452" s="2" t="s">
        <v>76</v>
      </c>
      <c r="E452" s="2" t="s">
        <v>51</v>
      </c>
      <c r="F452" s="2" t="s">
        <v>15</v>
      </c>
      <c r="G452" s="2" t="s">
        <v>1369</v>
      </c>
      <c r="H452" s="2" t="s">
        <v>213</v>
      </c>
      <c r="I452" s="2" t="str">
        <f>IFERROR(__xludf.DUMMYFUNCTION("GOOGLETRANSLATE(C452,""fr"",""en"")"),"Price contained. Reduction of the premium after 3 years of insurance without accident.")</f>
        <v>Price contained. Reduction of the premium after 3 years of insurance without accident.</v>
      </c>
    </row>
    <row r="453" ht="15.75" customHeight="1">
      <c r="A453" s="2">
        <v>3.0</v>
      </c>
      <c r="B453" s="2" t="s">
        <v>1370</v>
      </c>
      <c r="C453" s="2" t="s">
        <v>1371</v>
      </c>
      <c r="D453" s="2" t="s">
        <v>125</v>
      </c>
      <c r="E453" s="2" t="s">
        <v>14</v>
      </c>
      <c r="F453" s="2" t="s">
        <v>15</v>
      </c>
      <c r="G453" s="2" t="s">
        <v>1372</v>
      </c>
      <c r="H453" s="2" t="s">
        <v>367</v>
      </c>
      <c r="I453" s="2" t="str">
        <f>IFERROR(__xludf.DUMMYFUNCTION("GOOGLETRANSLATE(C453,""fr"",""en"")"),"50 years of PC, 50 years of auto insurance contributions, including 13 at GMF.
Result for 3 accidents in 3 years including 2 managers, I have an end like a malpropre.
Bad")</f>
        <v>50 years of PC, 50 years of auto insurance contributions, including 13 at GMF.
Result for 3 accidents in 3 years including 2 managers, I have an end like a malpropre.
Bad</v>
      </c>
    </row>
    <row r="454" ht="15.75" customHeight="1">
      <c r="A454" s="2">
        <v>1.0</v>
      </c>
      <c r="B454" s="2" t="s">
        <v>1373</v>
      </c>
      <c r="C454" s="2" t="s">
        <v>1374</v>
      </c>
      <c r="D454" s="2" t="s">
        <v>20</v>
      </c>
      <c r="E454" s="2" t="s">
        <v>14</v>
      </c>
      <c r="F454" s="2" t="s">
        <v>15</v>
      </c>
      <c r="G454" s="2" t="s">
        <v>316</v>
      </c>
      <c r="H454" s="2" t="s">
        <v>27</v>
      </c>
      <c r="I454" s="2" t="str">
        <f>IFERROR(__xludf.DUMMYFUNCTION("GOOGLETRANSLATE(C454,""fr"",""en"")")," Hello,
To run away not very professional in a hassle with my family for a week in Spain shame a bad experience. U. I have the right to a loan car a blow no they are not up to par.
Too bad I can't put 0")</f>
        <v> Hello,
To run away not very professional in a hassle with my family for a week in Spain shame a bad experience. U. I have the right to a loan car a blow no they are not up to par.
Too bad I can't put 0</v>
      </c>
    </row>
    <row r="455" ht="15.75" customHeight="1">
      <c r="A455" s="2">
        <v>4.0</v>
      </c>
      <c r="B455" s="2" t="s">
        <v>1375</v>
      </c>
      <c r="C455" s="2" t="s">
        <v>1376</v>
      </c>
      <c r="D455" s="2" t="s">
        <v>104</v>
      </c>
      <c r="E455" s="2" t="s">
        <v>31</v>
      </c>
      <c r="F455" s="2" t="s">
        <v>15</v>
      </c>
      <c r="G455" s="2" t="s">
        <v>1377</v>
      </c>
      <c r="H455" s="2" t="s">
        <v>171</v>
      </c>
      <c r="I455" s="2" t="str">
        <f>IFERROR(__xludf.DUMMYFUNCTION("GOOGLETRANSLATE(C455,""fr"",""en"")"),"Good complementary health coverage.
The online service is good and the satisfaction of the various requests or questions and always quickly filled.
I recommend.")</f>
        <v>Good complementary health coverage.
The online service is good and the satisfaction of the various requests or questions and always quickly filled.
I recommend.</v>
      </c>
    </row>
    <row r="456" ht="15.75" customHeight="1">
      <c r="A456" s="2">
        <v>2.0</v>
      </c>
      <c r="B456" s="2" t="s">
        <v>1378</v>
      </c>
      <c r="C456" s="2" t="s">
        <v>1379</v>
      </c>
      <c r="D456" s="2" t="s">
        <v>36</v>
      </c>
      <c r="E456" s="2" t="s">
        <v>14</v>
      </c>
      <c r="F456" s="2" t="s">
        <v>15</v>
      </c>
      <c r="G456" s="2" t="s">
        <v>323</v>
      </c>
      <c r="H456" s="2" t="s">
        <v>85</v>
      </c>
      <c r="I456" s="2" t="str">
        <f>IFERROR(__xludf.DUMMYFUNCTION("GOOGLETRANSLATE(C456,""fr"",""en"")"),"Moderately Satisfied. Lower insurance conditions/options than other insurers and higher and higher prices. Plan to change insurer very soon.")</f>
        <v>Moderately Satisfied. Lower insurance conditions/options than other insurers and higher and higher prices. Plan to change insurer very soon.</v>
      </c>
    </row>
    <row r="457" ht="15.75" customHeight="1">
      <c r="A457" s="2">
        <v>5.0</v>
      </c>
      <c r="B457" s="2" t="s">
        <v>1380</v>
      </c>
      <c r="C457" s="2" t="s">
        <v>1381</v>
      </c>
      <c r="D457" s="2" t="s">
        <v>13</v>
      </c>
      <c r="E457" s="2" t="s">
        <v>14</v>
      </c>
      <c r="F457" s="2" t="s">
        <v>15</v>
      </c>
      <c r="G457" s="2" t="s">
        <v>1382</v>
      </c>
      <c r="H457" s="2" t="s">
        <v>117</v>
      </c>
      <c r="I457" s="2" t="str">
        <f>IFERROR(__xludf.DUMMYFUNCTION("GOOGLETRANSLATE(C457,""fr"",""en"")"),"For a deaf person passed by Twitter to create my end -to -end contract: great!")</f>
        <v>For a deaf person passed by Twitter to create my end -to -end contract: great!</v>
      </c>
    </row>
    <row r="458" ht="15.75" customHeight="1">
      <c r="A458" s="2">
        <v>4.0</v>
      </c>
      <c r="B458" s="2" t="s">
        <v>1383</v>
      </c>
      <c r="C458" s="2" t="s">
        <v>1384</v>
      </c>
      <c r="D458" s="2" t="s">
        <v>36</v>
      </c>
      <c r="E458" s="2" t="s">
        <v>14</v>
      </c>
      <c r="F458" s="2" t="s">
        <v>15</v>
      </c>
      <c r="G458" s="2" t="s">
        <v>424</v>
      </c>
      <c r="H458" s="2" t="s">
        <v>230</v>
      </c>
      <c r="I458" s="2" t="str">
        <f>IFERROR(__xludf.DUMMYFUNCTION("GOOGLETRANSLATE(C458,""fr"",""en"")"),"I am satisfied with the prices and reception services provided by Direct Insurance having had a recently claimed or the time limit and the reimbursement is very good")</f>
        <v>I am satisfied with the prices and reception services provided by Direct Insurance having had a recently claimed or the time limit and the reimbursement is very good</v>
      </c>
    </row>
    <row r="459" ht="15.75" customHeight="1">
      <c r="A459" s="2">
        <v>3.0</v>
      </c>
      <c r="B459" s="2" t="s">
        <v>1385</v>
      </c>
      <c r="C459" s="2" t="s">
        <v>1386</v>
      </c>
      <c r="D459" s="2" t="s">
        <v>120</v>
      </c>
      <c r="E459" s="2" t="s">
        <v>21</v>
      </c>
      <c r="F459" s="2" t="s">
        <v>15</v>
      </c>
      <c r="G459" s="2" t="s">
        <v>1387</v>
      </c>
      <c r="H459" s="2" t="s">
        <v>276</v>
      </c>
      <c r="I459" s="2" t="str">
        <f>IFERROR(__xludf.DUMMYFUNCTION("GOOGLETRANSLATE(C459,""fr"",""en"")"),"Hello,
I wanted to provide my testimony regarding withdrawals on a life insurance contract with a EuroSima fund. No problem with my withdrawals made by internet. The funds are available on my account at most 72 hours after my request. I remove the sums f"&amp;"rom this contract gradually to affect this savings elsewhere, because the contract is no longer one of the most efficient in its category.")</f>
        <v>Hello,
I wanted to provide my testimony regarding withdrawals on a life insurance contract with a EuroSima fund. No problem with my withdrawals made by internet. The funds are available on my account at most 72 hours after my request. I remove the sums from this contract gradually to affect this savings elsewhere, because the contract is no longer one of the most efficient in its category.</v>
      </c>
    </row>
    <row r="460" ht="15.75" customHeight="1">
      <c r="A460" s="2">
        <v>1.0</v>
      </c>
      <c r="B460" s="2" t="s">
        <v>1388</v>
      </c>
      <c r="C460" s="2" t="s">
        <v>1389</v>
      </c>
      <c r="D460" s="2" t="s">
        <v>430</v>
      </c>
      <c r="E460" s="2" t="s">
        <v>14</v>
      </c>
      <c r="F460" s="2" t="s">
        <v>15</v>
      </c>
      <c r="G460" s="2" t="s">
        <v>962</v>
      </c>
      <c r="H460" s="2" t="s">
        <v>85</v>
      </c>
      <c r="I460" s="2" t="str">
        <f>IFERROR(__xludf.DUMMYFUNCTION("GOOGLETRANSLATE(C460,""fr"",""en"")"),"I've been insured for more than 10 years. I just ensured another, I send all the papers. asks another paper already sent. Of course no possibility of sending me this famous paper to sign by email and given my timetables I cannot move at the opening schedu"&amp;"les of the Laval agency (53)
Result, I cannot have another green butterfly so if I get arrested ....
We have 3 cars insured for now, I really think of changing insurance, I'm furious.
")</f>
        <v>I've been insured for more than 10 years. I just ensured another, I send all the papers. asks another paper already sent. Of course no possibility of sending me this famous paper to sign by email and given my timetables I cannot move at the opening schedules of the Laval agency (53)
Result, I cannot have another green butterfly so if I get arrested ....
We have 3 cars insured for now, I really think of changing insurance, I'm furious.
</v>
      </c>
    </row>
    <row r="461" ht="15.75" customHeight="1">
      <c r="A461" s="2">
        <v>5.0</v>
      </c>
      <c r="B461" s="2" t="s">
        <v>1390</v>
      </c>
      <c r="C461" s="2" t="s">
        <v>1391</v>
      </c>
      <c r="D461" s="2" t="s">
        <v>104</v>
      </c>
      <c r="E461" s="2" t="s">
        <v>31</v>
      </c>
      <c r="F461" s="2" t="s">
        <v>15</v>
      </c>
      <c r="G461" s="2" t="s">
        <v>1392</v>
      </c>
      <c r="H461" s="2" t="s">
        <v>171</v>
      </c>
      <c r="I461" s="2" t="str">
        <f>IFERROR(__xludf.DUMMYFUNCTION("GOOGLETRANSLATE(C461,""fr"",""en"")"),"Quick reimbursement, very advantageous price, I am really satisfied with colleagues who are looking for a mutual insurance company, it is the MGP health mutual that I advise them.")</f>
        <v>Quick reimbursement, very advantageous price, I am really satisfied with colleagues who are looking for a mutual insurance company, it is the MGP health mutual that I advise them.</v>
      </c>
    </row>
    <row r="462" ht="15.75" customHeight="1">
      <c r="A462" s="2">
        <v>5.0</v>
      </c>
      <c r="B462" s="2" t="s">
        <v>1393</v>
      </c>
      <c r="C462" s="2" t="s">
        <v>1394</v>
      </c>
      <c r="D462" s="2" t="s">
        <v>36</v>
      </c>
      <c r="E462" s="2" t="s">
        <v>14</v>
      </c>
      <c r="F462" s="2" t="s">
        <v>15</v>
      </c>
      <c r="G462" s="2" t="s">
        <v>763</v>
      </c>
      <c r="H462" s="2" t="s">
        <v>95</v>
      </c>
      <c r="I462" s="2" t="str">
        <f>IFERROR(__xludf.DUMMYFUNCTION("GOOGLETRANSLATE(C462,""fr"",""en"")"),"I am satisfied with the quick site good information requested very precise price very attractive price facilitated to fill the responses and speed to complete the quote")</f>
        <v>I am satisfied with the quick site good information requested very precise price very attractive price facilitated to fill the responses and speed to complete the quote</v>
      </c>
    </row>
    <row r="463" ht="15.75" customHeight="1">
      <c r="A463" s="2">
        <v>4.0</v>
      </c>
      <c r="B463" s="2" t="s">
        <v>1395</v>
      </c>
      <c r="C463" s="2" t="s">
        <v>1396</v>
      </c>
      <c r="D463" s="2" t="s">
        <v>125</v>
      </c>
      <c r="E463" s="2" t="s">
        <v>14</v>
      </c>
      <c r="F463" s="2" t="s">
        <v>15</v>
      </c>
      <c r="G463" s="2" t="s">
        <v>1397</v>
      </c>
      <c r="H463" s="2" t="s">
        <v>1319</v>
      </c>
      <c r="I463" s="2" t="str">
        <f>IFERROR(__xludf.DUMMYFUNCTION("GOOGLETRANSLATE(C463,""fr"",""en"")"),"I had car accident in early October 2017, regulations received new vehicle prices (all -risk insurance, new price) at the end of November. They even offered me their help to recover the franchise at Identicar")</f>
        <v>I had car accident in early October 2017, regulations received new vehicle prices (all -risk insurance, new price) at the end of November. They even offered me their help to recover the franchise at Identicar</v>
      </c>
    </row>
    <row r="464" ht="15.75" customHeight="1">
      <c r="A464" s="2">
        <v>1.0</v>
      </c>
      <c r="B464" s="2" t="s">
        <v>1398</v>
      </c>
      <c r="C464" s="2" t="s">
        <v>1399</v>
      </c>
      <c r="D464" s="2" t="s">
        <v>36</v>
      </c>
      <c r="E464" s="2" t="s">
        <v>14</v>
      </c>
      <c r="F464" s="2" t="s">
        <v>15</v>
      </c>
      <c r="G464" s="2" t="s">
        <v>1400</v>
      </c>
      <c r="H464" s="2" t="s">
        <v>356</v>
      </c>
      <c r="I464" s="2" t="str">
        <f>IFERROR(__xludf.DUMMYFUNCTION("GOOGLETRANSLATE(C464,""fr"",""en"")"),"Hello I have subscribed to all risks at direct insurance with legal protection I need legal assistance to carry out an action I am told that I have no legal protection for my contract is with legal protection so bad assurance of assurance 'Another person "&amp;"at Direct Insurance we fled so I will take an action with what to choose so this insurance is avoided absolutely")</f>
        <v>Hello I have subscribed to all risks at direct insurance with legal protection I need legal assistance to carry out an action I am told that I have no legal protection for my contract is with legal protection so bad assurance of assurance 'Another person at Direct Insurance we fled so I will take an action with what to choose so this insurance is avoided absolutely</v>
      </c>
    </row>
    <row r="465" ht="15.75" customHeight="1">
      <c r="A465" s="2">
        <v>1.0</v>
      </c>
      <c r="B465" s="2" t="s">
        <v>1401</v>
      </c>
      <c r="C465" s="2" t="s">
        <v>1402</v>
      </c>
      <c r="D465" s="2" t="s">
        <v>93</v>
      </c>
      <c r="E465" s="2" t="s">
        <v>14</v>
      </c>
      <c r="F465" s="2" t="s">
        <v>15</v>
      </c>
      <c r="G465" s="2" t="s">
        <v>1403</v>
      </c>
      <c r="H465" s="2" t="s">
        <v>684</v>
      </c>
      <c r="I465" s="2" t="str">
        <f>IFERROR(__xludf.DUMMYFUNCTION("GOOGLETRANSLATE(C465,""fr"",""en"")"),"Insured over 7000 km annual, in the COVID context, which means that my trips are even more reduced, I note an increase in my overall insurance (car + apartment), an annual increase of 40 euros while I have Declared no claim and I never contacted them for "&amp;"anything.
 Of course, we do not warn you of this increase ....
I will not stay with them 0/20.
")</f>
        <v>Insured over 7000 km annual, in the COVID context, which means that my trips are even more reduced, I note an increase in my overall insurance (car + apartment), an annual increase of 40 euros while I have Declared no claim and I never contacted them for anything.
 Of course, we do not warn you of this increase ....
I will not stay with them 0/20.
</v>
      </c>
    </row>
    <row r="466" ht="15.75" customHeight="1">
      <c r="A466" s="2">
        <v>4.0</v>
      </c>
      <c r="B466" s="2" t="s">
        <v>1404</v>
      </c>
      <c r="C466" s="2" t="s">
        <v>1405</v>
      </c>
      <c r="D466" s="2" t="s">
        <v>50</v>
      </c>
      <c r="E466" s="2" t="s">
        <v>51</v>
      </c>
      <c r="F466" s="2" t="s">
        <v>15</v>
      </c>
      <c r="G466" s="2" t="s">
        <v>43</v>
      </c>
      <c r="H466" s="2" t="s">
        <v>43</v>
      </c>
      <c r="I466" s="2" t="str">
        <f>IFERROR(__xludf.DUMMYFUNCTION("GOOGLETRANSLATE(C466,""fr"",""en"")"),"I am happy with the quote and satisfied with the insurer's services
Compared to my car insurer the price reduced by 70% of the price
To see over time
")</f>
        <v>I am happy with the quote and satisfied with the insurer's services
Compared to my car insurer the price reduced by 70% of the price
To see over time
</v>
      </c>
    </row>
    <row r="467" ht="15.75" customHeight="1">
      <c r="A467" s="2">
        <v>1.0</v>
      </c>
      <c r="B467" s="2" t="s">
        <v>1406</v>
      </c>
      <c r="C467" s="2" t="s">
        <v>1407</v>
      </c>
      <c r="D467" s="2" t="s">
        <v>36</v>
      </c>
      <c r="E467" s="2" t="s">
        <v>14</v>
      </c>
      <c r="F467" s="2" t="s">
        <v>15</v>
      </c>
      <c r="G467" s="2" t="s">
        <v>630</v>
      </c>
      <c r="H467" s="2" t="s">
        <v>230</v>
      </c>
      <c r="I467" s="2" t="str">
        <f>IFERROR(__xludf.DUMMYFUNCTION("GOOGLETRANSLATE(C467,""fr"",""en"")"),"We phoned this morning and we did not appreciate the interlocutor we had, if it is one of ADV I think you will lose customers anyway for us it is the last year at home after having Noted the price difference after a new simulation and the price we have pa"&amp;"id today. Cordially !")</f>
        <v>We phoned this morning and we did not appreciate the interlocutor we had, if it is one of ADV I think you will lose customers anyway for us it is the last year at home after having Noted the price difference after a new simulation and the price we have paid today. Cordially !</v>
      </c>
    </row>
    <row r="468" ht="15.75" customHeight="1">
      <c r="A468" s="2">
        <v>5.0</v>
      </c>
      <c r="B468" s="2" t="s">
        <v>1408</v>
      </c>
      <c r="C468" s="2" t="s">
        <v>1409</v>
      </c>
      <c r="D468" s="2" t="s">
        <v>199</v>
      </c>
      <c r="E468" s="2" t="s">
        <v>200</v>
      </c>
      <c r="F468" s="2" t="s">
        <v>15</v>
      </c>
      <c r="G468" s="2" t="s">
        <v>1410</v>
      </c>
      <c r="H468" s="2" t="s">
        <v>230</v>
      </c>
      <c r="I468" s="2" t="str">
        <f>IFERROR(__xludf.DUMMYFUNCTION("GOOGLETRANSLATE(C468,""fr"",""en"")"),"Very satisfied with the service. Very nice person on the phone, answers all your questions ??
Super price and change of insurance very easy and fast.
")</f>
        <v>Very satisfied with the service. Very nice person on the phone, answers all your questions ??
Super price and change of insurance very easy and fast.
</v>
      </c>
    </row>
    <row r="469" ht="15.75" customHeight="1">
      <c r="A469" s="2">
        <v>5.0</v>
      </c>
      <c r="B469" s="2" t="s">
        <v>1411</v>
      </c>
      <c r="C469" s="2" t="s">
        <v>1412</v>
      </c>
      <c r="D469" s="2" t="s">
        <v>13</v>
      </c>
      <c r="E469" s="2" t="s">
        <v>14</v>
      </c>
      <c r="F469" s="2" t="s">
        <v>15</v>
      </c>
      <c r="G469" s="2" t="s">
        <v>696</v>
      </c>
      <c r="H469" s="2" t="s">
        <v>269</v>
      </c>
      <c r="I469" s="2" t="str">
        <f>IFERROR(__xludf.DUMMYFUNCTION("GOOGLETRANSLATE(C469,""fr"",""en"")"),"Very fast services unbeatable price. I have to see if I have a problem if you are also responsive. Otherwise very happy because being able to have it online allows me to recover my car today.")</f>
        <v>Very fast services unbeatable price. I have to see if I have a problem if you are also responsive. Otherwise very happy because being able to have it online allows me to recover my car today.</v>
      </c>
    </row>
    <row r="470" ht="15.75" customHeight="1">
      <c r="A470" s="2">
        <v>4.0</v>
      </c>
      <c r="B470" s="2" t="s">
        <v>1413</v>
      </c>
      <c r="C470" s="2" t="s">
        <v>1414</v>
      </c>
      <c r="D470" s="2" t="s">
        <v>76</v>
      </c>
      <c r="E470" s="2" t="s">
        <v>51</v>
      </c>
      <c r="F470" s="2" t="s">
        <v>15</v>
      </c>
      <c r="G470" s="2" t="s">
        <v>1348</v>
      </c>
      <c r="H470" s="2" t="s">
        <v>149</v>
      </c>
      <c r="I470" s="2" t="str">
        <f>IFERROR(__xludf.DUMMYFUNCTION("GOOGLETRANSLATE(C470,""fr"",""en"")"),"Particularly satisfactory assessment when managing my dispute. Listening and actual availability throughout the management of the file. Editorial facility for all elements.
I therefore particularly recommend this partner.")</f>
        <v>Particularly satisfactory assessment when managing my dispute. Listening and actual availability throughout the management of the file. Editorial facility for all elements.
I therefore particularly recommend this partner.</v>
      </c>
    </row>
    <row r="471" ht="15.75" customHeight="1">
      <c r="A471" s="2">
        <v>1.0</v>
      </c>
      <c r="B471" s="2" t="s">
        <v>1415</v>
      </c>
      <c r="C471" s="2" t="s">
        <v>1416</v>
      </c>
      <c r="D471" s="2" t="s">
        <v>36</v>
      </c>
      <c r="E471" s="2" t="s">
        <v>14</v>
      </c>
      <c r="F471" s="2" t="s">
        <v>15</v>
      </c>
      <c r="G471" s="2" t="s">
        <v>1417</v>
      </c>
      <c r="H471" s="2" t="s">
        <v>504</v>
      </c>
      <c r="I471" s="2" t="str">
        <f>IFERROR(__xludf.DUMMYFUNCTION("GOOGLETRANSLATE(C471,""fr"",""en"")"),"Just good to take your contributions, deplorable and incompetent customer service, a management of disastrous claims, I am assured at home maximum (flight and fire). I have stolen my vehicle and refuse to unandemnate myself on the pretext that a document "&amp;"is missing that has nothing to do with my disaster victims (proof of the transfer of a vehicle which served when the disaster resumption) despite A complete list of documents that I provided to them. Go anywhere but not at home. Having no means of transpo"&amp;"rt and or solutions to get back to work, I will soon be dismissed from my job, the very first CDI that I sign in my life. They ruined my life. I plan to continue them to assert my rights")</f>
        <v>Just good to take your contributions, deplorable and incompetent customer service, a management of disastrous claims, I am assured at home maximum (flight and fire). I have stolen my vehicle and refuse to unandemnate myself on the pretext that a document is missing that has nothing to do with my disaster victims (proof of the transfer of a vehicle which served when the disaster resumption) despite A complete list of documents that I provided to them. Go anywhere but not at home. Having no means of transport and or solutions to get back to work, I will soon be dismissed from my job, the very first CDI that I sign in my life. They ruined my life. I plan to continue them to assert my rights</v>
      </c>
    </row>
    <row r="472" ht="15.75" customHeight="1">
      <c r="A472" s="2">
        <v>2.0</v>
      </c>
      <c r="B472" s="2" t="s">
        <v>1418</v>
      </c>
      <c r="C472" s="2" t="s">
        <v>1419</v>
      </c>
      <c r="D472" s="2" t="s">
        <v>60</v>
      </c>
      <c r="E472" s="2" t="s">
        <v>14</v>
      </c>
      <c r="F472" s="2" t="s">
        <v>15</v>
      </c>
      <c r="G472" s="2" t="s">
        <v>1420</v>
      </c>
      <c r="H472" s="2" t="s">
        <v>487</v>
      </c>
      <c r="I472" s="2" t="str">
        <f>IFERROR(__xludf.DUMMYFUNCTION("GOOGLETRANSLATE(C472,""fr"",""en"")"),"They had to enter the domiciliations 3 months. During this time I thought they were going to make a catch -up. And as I had signed the domiciliations, so I disregarded their reminder letter. In the end, my monthly premium was increased by several tens of "&amp;"euros which corresponded to more than 30% increase due to unpaid costs.
Following this I went into an automatic transfer because it was out of the question that they take unjustified amounts on my account. But that doesn't have them anymore, I was harass"&amp;"ed to pay my bonus annually what I did.
And when I had paid my bonus annually they reimbursed me claiming that I had a quarterly payment. I did not realize that they had reimbursed me. For me the annual premium was paid and I slept on my 2 ears.
So I re"&amp;"ceived a recommended for not having paid my quarterly prime.
I have to pay € 445.30 / quarter, while my monthly bonus amounted to € 113 / month. (339 €/quarter)
So, they changed my price plan without warning me, because it arranged them well and in the "&amp;"end their system sends me automatic recommended.
Fed up. Broken arms. Not serious. And to clarify things, I spend hours in the queue with the accounting service. Inadmissible!
")</f>
        <v>They had to enter the domiciliations 3 months. During this time I thought they were going to make a catch -up. And as I had signed the domiciliations, so I disregarded their reminder letter. In the end, my monthly premium was increased by several tens of euros which corresponded to more than 30% increase due to unpaid costs.
Following this I went into an automatic transfer because it was out of the question that they take unjustified amounts on my account. But that doesn't have them anymore, I was harassed to pay my bonus annually what I did.
And when I had paid my bonus annually they reimbursed me claiming that I had a quarterly payment. I did not realize that they had reimbursed me. For me the annual premium was paid and I slept on my 2 ears.
So I received a recommended for not having paid my quarterly prime.
I have to pay € 445.30 / quarter, while my monthly bonus amounted to € 113 / month. (339 €/quarter)
So, they changed my price plan without warning me, because it arranged them well and in the end their system sends me automatic recommended.
Fed up. Broken arms. Not serious. And to clarify things, I spend hours in the queue with the accounting service. Inadmissible!
</v>
      </c>
    </row>
    <row r="473" ht="15.75" customHeight="1">
      <c r="A473" s="2">
        <v>1.0</v>
      </c>
      <c r="B473" s="2" t="s">
        <v>1421</v>
      </c>
      <c r="C473" s="2" t="s">
        <v>1422</v>
      </c>
      <c r="D473" s="2" t="s">
        <v>414</v>
      </c>
      <c r="E473" s="2" t="s">
        <v>37</v>
      </c>
      <c r="F473" s="2" t="s">
        <v>15</v>
      </c>
      <c r="G473" s="2" t="s">
        <v>1423</v>
      </c>
      <c r="H473" s="2" t="s">
        <v>223</v>
      </c>
      <c r="I473" s="2" t="str">
        <f>IFERROR(__xludf.DUMMYFUNCTION("GOOGLETRANSLATE(C473,""fr"",""en"")"),"BSR, for 40 years in relationsidyllic relations but following an important disaster (fire) everything has gone in smoke, literally and figuratively. Expert and the person dealing with the file my literally torpedo. Double blade. We are bruised morally and"&amp;" financially. What sadness ....")</f>
        <v>BSR, for 40 years in relationsidyllic relations but following an important disaster (fire) everything has gone in smoke, literally and figuratively. Expert and the person dealing with the file my literally torpedo. Double blade. We are bruised morally and financially. What sadness ....</v>
      </c>
    </row>
    <row r="474" ht="15.75" customHeight="1">
      <c r="A474" s="2">
        <v>4.0</v>
      </c>
      <c r="B474" s="2" t="s">
        <v>1424</v>
      </c>
      <c r="C474" s="2" t="s">
        <v>1425</v>
      </c>
      <c r="D474" s="2" t="s">
        <v>36</v>
      </c>
      <c r="E474" s="2" t="s">
        <v>14</v>
      </c>
      <c r="F474" s="2" t="s">
        <v>15</v>
      </c>
      <c r="G474" s="2" t="s">
        <v>43</v>
      </c>
      <c r="H474" s="2" t="s">
        <v>43</v>
      </c>
      <c r="I474" s="2" t="str">
        <f>IFERROR(__xludf.DUMMYFUNCTION("GOOGLETRANSLATE(C474,""fr"",""en"")"),"I am satisfied with the service, simple and practical, serious, very easily reachable, I recommend direct insurance for their seriousness and their professionalism.")</f>
        <v>I am satisfied with the service, simple and practical, serious, very easily reachable, I recommend direct insurance for their seriousness and their professionalism.</v>
      </c>
    </row>
    <row r="475" ht="15.75" customHeight="1">
      <c r="A475" s="2">
        <v>5.0</v>
      </c>
      <c r="B475" s="2" t="s">
        <v>1426</v>
      </c>
      <c r="C475" s="2" t="s">
        <v>1427</v>
      </c>
      <c r="D475" s="2" t="s">
        <v>36</v>
      </c>
      <c r="E475" s="2" t="s">
        <v>14</v>
      </c>
      <c r="F475" s="2" t="s">
        <v>15</v>
      </c>
      <c r="G475" s="2" t="s">
        <v>145</v>
      </c>
      <c r="H475" s="2" t="s">
        <v>145</v>
      </c>
      <c r="I475" s="2" t="str">
        <f>IFERROR(__xludf.DUMMYFUNCTION("GOOGLETRANSLATE(C475,""fr"",""en"")"),"I am satisfied with the subscription of my car insurance. The prices are resonable.
Very fast and simple and everything is very well explained during the whole subscription")</f>
        <v>I am satisfied with the subscription of my car insurance. The prices are resonable.
Very fast and simple and everything is very well explained during the whole subscription</v>
      </c>
    </row>
    <row r="476" ht="15.75" customHeight="1">
      <c r="A476" s="2">
        <v>4.0</v>
      </c>
      <c r="B476" s="2" t="s">
        <v>1428</v>
      </c>
      <c r="C476" s="2" t="s">
        <v>1429</v>
      </c>
      <c r="D476" s="2" t="s">
        <v>125</v>
      </c>
      <c r="E476" s="2" t="s">
        <v>14</v>
      </c>
      <c r="F476" s="2" t="s">
        <v>15</v>
      </c>
      <c r="G476" s="2" t="s">
        <v>823</v>
      </c>
      <c r="H476" s="2" t="s">
        <v>27</v>
      </c>
      <c r="I476" s="2" t="str">
        <f>IFERROR(__xludf.DUMMYFUNCTION("GOOGLETRANSLATE(C476,""fr"",""en"")"),"Satisfied in all the responses provided: fast and clear, or to my requests.
Quick displacement if necessary for troubleshooting. Thanks")</f>
        <v>Satisfied in all the responses provided: fast and clear, or to my requests.
Quick displacement if necessary for troubleshooting. Thanks</v>
      </c>
    </row>
    <row r="477" ht="15.75" customHeight="1">
      <c r="A477" s="2">
        <v>4.0</v>
      </c>
      <c r="B477" s="2" t="s">
        <v>1430</v>
      </c>
      <c r="C477" s="2" t="s">
        <v>1431</v>
      </c>
      <c r="D477" s="2" t="s">
        <v>36</v>
      </c>
      <c r="E477" s="2" t="s">
        <v>14</v>
      </c>
      <c r="F477" s="2" t="s">
        <v>15</v>
      </c>
      <c r="G477" s="2" t="s">
        <v>772</v>
      </c>
      <c r="H477" s="2" t="s">
        <v>33</v>
      </c>
      <c r="I477" s="2" t="str">
        <f>IFERROR(__xludf.DUMMYFUNCTION("GOOGLETRANSLATE(C477,""fr"",""en"")"),"The prices suit me for the moment, the service is satisfactory, the speed of the service is stunning. I always wanted to subscribe to you now it's done
")</f>
        <v>The prices suit me for the moment, the service is satisfactory, the speed of the service is stunning. I always wanted to subscribe to you now it's done
</v>
      </c>
    </row>
    <row r="478" ht="15.75" customHeight="1">
      <c r="A478" s="2">
        <v>1.0</v>
      </c>
      <c r="B478" s="2" t="s">
        <v>1432</v>
      </c>
      <c r="C478" s="2" t="s">
        <v>1433</v>
      </c>
      <c r="D478" s="2" t="s">
        <v>304</v>
      </c>
      <c r="E478" s="2" t="s">
        <v>200</v>
      </c>
      <c r="F478" s="2" t="s">
        <v>15</v>
      </c>
      <c r="G478" s="2" t="s">
        <v>1434</v>
      </c>
      <c r="H478" s="2" t="s">
        <v>223</v>
      </c>
      <c r="I478" s="2" t="str">
        <f>IFERROR(__xludf.DUMMYFUNCTION("GOOGLETRANSLATE(C478,""fr"",""en"")"),"Compensated by Cardif since 2009 and in disability since 2011 second category. I was summoned on March 22, 2017 to a doctor expert in Cardif by prudence, I asked this one to transmit a double of the report of the 'Expertise that I received on 3/04/2017. D"&amp;"o not have a return from the management service I contacted them on several occasions first answer I relaunch the service to reprogram the payments response boat to end the conversation. Second call for no trace of the expert's report. We remind you maxim"&amp;"um in a half hours I am still waiting ....... third call then there they will contact the expert because he should not have sent me the report but first of them except that On the report a copy was sent to them and a copy at my request. I asked that the s"&amp;"ervice contact no it is not possible they take me for a fool fortunately I have a double of the expertise which is in my favor. True to its reputation Cardif drags their feet to answer me that it is necessary to draft them I wonder if it is incompetence a"&amp;"nd dishonesty. Expert mandated that the report had been sent on 1/04/2017")</f>
        <v>Compensated by Cardif since 2009 and in disability since 2011 second category. I was summoned on March 22, 2017 to a doctor expert in Cardif by prudence, I asked this one to transmit a double of the report of the 'Expertise that I received on 3/04/2017. Do not have a return from the management service I contacted them on several occasions first answer I relaunch the service to reprogram the payments response boat to end the conversation. Second call for no trace of the expert's report. We remind you maximum in a half hours I am still waiting ....... third call then there they will contact the expert because he should not have sent me the report but first of them except that On the report a copy was sent to them and a copy at my request. I asked that the service contact no it is not possible they take me for a fool fortunately I have a double of the expertise which is in my favor. True to its reputation Cardif drags their feet to answer me that it is necessary to draft them I wonder if it is incompetence and dishonesty. Expert mandated that the report had been sent on 1/04/2017</v>
      </c>
    </row>
    <row r="479" ht="15.75" customHeight="1">
      <c r="A479" s="2">
        <v>2.0</v>
      </c>
      <c r="B479" s="2" t="s">
        <v>1435</v>
      </c>
      <c r="C479" s="2" t="s">
        <v>1436</v>
      </c>
      <c r="D479" s="2" t="s">
        <v>13</v>
      </c>
      <c r="E479" s="2" t="s">
        <v>14</v>
      </c>
      <c r="F479" s="2" t="s">
        <v>15</v>
      </c>
      <c r="G479" s="2" t="s">
        <v>313</v>
      </c>
      <c r="H479" s="2" t="s">
        <v>313</v>
      </c>
      <c r="I479" s="2" t="str">
        <f>IFERROR(__xludf.DUMMYFUNCTION("GOOGLETRANSLATE(C479,""fr"",""en"")"),"Inexpensive insurance, uncommon customer service. communication difficulties.")</f>
        <v>Inexpensive insurance, uncommon customer service. communication difficulties.</v>
      </c>
    </row>
    <row r="480" ht="15.75" customHeight="1">
      <c r="A480" s="2">
        <v>3.0</v>
      </c>
      <c r="B480" s="2" t="s">
        <v>1437</v>
      </c>
      <c r="C480" s="2" t="s">
        <v>1438</v>
      </c>
      <c r="D480" s="2" t="s">
        <v>36</v>
      </c>
      <c r="E480" s="2" t="s">
        <v>14</v>
      </c>
      <c r="F480" s="2" t="s">
        <v>15</v>
      </c>
      <c r="G480" s="2" t="s">
        <v>1439</v>
      </c>
      <c r="H480" s="2" t="s">
        <v>230</v>
      </c>
      <c r="I480" s="2" t="str">
        <f>IFERROR(__xludf.DUMMYFUNCTION("GOOGLETRANSLATE(C480,""fr"",""en"")"),"The prices suit me but the service (IT) still leaves something to be desired, I expect an improvement in software in the coming months. Good luck
")</f>
        <v>The prices suit me but the service (IT) still leaves something to be desired, I expect an improvement in software in the coming months. Good luck
</v>
      </c>
    </row>
    <row r="481" ht="15.75" customHeight="1">
      <c r="A481" s="2">
        <v>1.0</v>
      </c>
      <c r="B481" s="2" t="s">
        <v>1440</v>
      </c>
      <c r="C481" s="2" t="s">
        <v>1441</v>
      </c>
      <c r="D481" s="2" t="s">
        <v>636</v>
      </c>
      <c r="E481" s="2" t="s">
        <v>31</v>
      </c>
      <c r="F481" s="2" t="s">
        <v>15</v>
      </c>
      <c r="G481" s="2" t="s">
        <v>1266</v>
      </c>
      <c r="H481" s="2" t="s">
        <v>591</v>
      </c>
      <c r="I481" s="2" t="str">
        <f>IFERROR(__xludf.DUMMYFUNCTION("GOOGLETRANSLATE(C481,""fr"",""en"")"),"Harmonie is a vaverard company, to have millions of insured but that it radiates without warning, hiding behind the employer and leaving a pregnant woman and 2 children without mutual
Never take harmony: in addition to cutting your contract for no reason"&amp;" when our contributions are paid, it does not reimburse you for the services of the contract")</f>
        <v>Harmonie is a vaverard company, to have millions of insured but that it radiates without warning, hiding behind the employer and leaving a pregnant woman and 2 children without mutual
Never take harmony: in addition to cutting your contract for no reason when our contributions are paid, it does not reimburse you for the services of the contract</v>
      </c>
    </row>
    <row r="482" ht="15.75" customHeight="1">
      <c r="A482" s="2">
        <v>5.0</v>
      </c>
      <c r="B482" s="2" t="s">
        <v>1442</v>
      </c>
      <c r="C482" s="2" t="s">
        <v>1443</v>
      </c>
      <c r="D482" s="2" t="s">
        <v>20</v>
      </c>
      <c r="E482" s="2" t="s">
        <v>14</v>
      </c>
      <c r="F482" s="2" t="s">
        <v>15</v>
      </c>
      <c r="G482" s="2" t="s">
        <v>1246</v>
      </c>
      <c r="H482" s="2" t="s">
        <v>591</v>
      </c>
      <c r="I482" s="2" t="str">
        <f>IFERROR(__xludf.DUMMYFUNCTION("GOOGLETRANSLATE(C482,""fr"",""en"")"),"Efficient local agency staff
Objective testimony.
Insured at the Mutuelle des Motards
Bought a 3008 200 hp hybrid. Quote at 1100 € at the Mutuelle des Motards then 50 % bonus.
AXA offers me € 400 for the same guarantees
Barely guaranteed, breeze chan"&amp;"ged. Quick and efficient management without deductible.
An AXA offer offered € 70 refund for 2 contracts.
Despite a closed (very small) indicating that the offer was valid if no claim for a year had taken place, my local agency sent me a check for the a"&amp;"mount by explaining to me that it was careful because He had not seen this close.
So happy customer.
In general, only unhappy persons give opinions.
Another day, need an insurance transfer on a loan car, I sent a photo of the gray card by email from my"&amp;" smartphone. In the 30 minutes, a May confirmed the transfer to me.
Here is a positive opinion")</f>
        <v>Efficient local agency staff
Objective testimony.
Insured at the Mutuelle des Motards
Bought a 3008 200 hp hybrid. Quote at 1100 € at the Mutuelle des Motards then 50 % bonus.
AXA offers me € 400 for the same guarantees
Barely guaranteed, breeze changed. Quick and efficient management without deductible.
An AXA offer offered € 70 refund for 2 contracts.
Despite a closed (very small) indicating that the offer was valid if no claim for a year had taken place, my local agency sent me a check for the amount by explaining to me that it was careful because He had not seen this close.
So happy customer.
In general, only unhappy persons give opinions.
Another day, need an insurance transfer on a loan car, I sent a photo of the gray card by email from my smartphone. In the 30 minutes, a May confirmed the transfer to me.
Here is a positive opinion</v>
      </c>
    </row>
    <row r="483" ht="15.75" customHeight="1">
      <c r="A483" s="2">
        <v>3.0</v>
      </c>
      <c r="B483" s="2" t="s">
        <v>1444</v>
      </c>
      <c r="C483" s="2" t="s">
        <v>1445</v>
      </c>
      <c r="D483" s="2" t="s">
        <v>55</v>
      </c>
      <c r="E483" s="2" t="s">
        <v>37</v>
      </c>
      <c r="F483" s="2" t="s">
        <v>15</v>
      </c>
      <c r="G483" s="2" t="s">
        <v>1446</v>
      </c>
      <c r="H483" s="2" t="s">
        <v>95</v>
      </c>
      <c r="I483" s="2" t="str">
        <f>IFERROR(__xludf.DUMMYFUNCTION("GOOGLETRANSLATE(C483,""fr"",""en"")"),"We have had a sinister since December 2019. There was a shock on our studio in adjoining our neighbors. The shock comes from our neighbors. The claim is still not settled. 20 years that we have been customers, our latest contributions cost us 2,200 euros "&amp;"for 2020 and no care for a disaster from € 1970 is a shame.")</f>
        <v>We have had a sinister since December 2019. There was a shock on our studio in adjoining our neighbors. The shock comes from our neighbors. The claim is still not settled. 20 years that we have been customers, our latest contributions cost us 2,200 euros for 2020 and no care for a disaster from € 1970 is a shame.</v>
      </c>
    </row>
    <row r="484" ht="15.75" customHeight="1">
      <c r="A484" s="2">
        <v>1.0</v>
      </c>
      <c r="B484" s="2" t="s">
        <v>1447</v>
      </c>
      <c r="C484" s="2" t="s">
        <v>1448</v>
      </c>
      <c r="D484" s="2" t="s">
        <v>414</v>
      </c>
      <c r="E484" s="2" t="s">
        <v>37</v>
      </c>
      <c r="F484" s="2" t="s">
        <v>15</v>
      </c>
      <c r="G484" s="2" t="s">
        <v>1449</v>
      </c>
      <c r="H484" s="2" t="s">
        <v>167</v>
      </c>
      <c r="I484" s="2" t="str">
        <f>IFERROR(__xludf.DUMMYFUNCTION("GOOGLETRANSLATE(C484,""fr"",""en"")"),"Reading the opinions posted, I understand that my situation is not isolated. A member for 20 years, almost no declared sinister, until ... When resetting a swimming pool left in wintering several months, I see a leak in the piping and a toasted electrical"&amp;" device. I am neither electrician nor poolist, in short, I speak storms, thunderstorms, frost at the time of my declaration. Conclusion: The pipes are due to frost and we do not cover the gel. The grilled device was damaged by a thunderstorm. I need to pr"&amp;"ovide a document that proves it. Unfortunately, I found no professional able to write such a document. Besides, some even told me that they were not entitled. Maif, the cup is full, I leave you!")</f>
        <v>Reading the opinions posted, I understand that my situation is not isolated. A member for 20 years, almost no declared sinister, until ... When resetting a swimming pool left in wintering several months, I see a leak in the piping and a toasted electrical device. I am neither electrician nor poolist, in short, I speak storms, thunderstorms, frost at the time of my declaration. Conclusion: The pipes are due to frost and we do not cover the gel. The grilled device was damaged by a thunderstorm. I need to provide a document that proves it. Unfortunately, I found no professional able to write such a document. Besides, some even told me that they were not entitled. Maif, the cup is full, I leave you!</v>
      </c>
    </row>
    <row r="485" ht="15.75" customHeight="1">
      <c r="A485" s="2">
        <v>3.0</v>
      </c>
      <c r="B485" s="2" t="s">
        <v>1450</v>
      </c>
      <c r="C485" s="2" t="s">
        <v>1451</v>
      </c>
      <c r="D485" s="2" t="s">
        <v>36</v>
      </c>
      <c r="E485" s="2" t="s">
        <v>14</v>
      </c>
      <c r="F485" s="2" t="s">
        <v>15</v>
      </c>
      <c r="G485" s="2" t="s">
        <v>309</v>
      </c>
      <c r="H485" s="2" t="s">
        <v>43</v>
      </c>
      <c r="I485" s="2" t="str">
        <f>IFERROR(__xludf.DUMMYFUNCTION("GOOGLETRANSLATE(C485,""fr"",""en"")"),"Simple and quick, prices suit me, I hope the service will be up to par. This is the first time that I have subscribed to online insurance.")</f>
        <v>Simple and quick, prices suit me, I hope the service will be up to par. This is the first time that I have subscribed to online insurance.</v>
      </c>
    </row>
    <row r="486" ht="15.75" customHeight="1">
      <c r="A486" s="2">
        <v>2.0</v>
      </c>
      <c r="B486" s="2" t="s">
        <v>1452</v>
      </c>
      <c r="C486" s="2" t="s">
        <v>1453</v>
      </c>
      <c r="D486" s="2" t="s">
        <v>125</v>
      </c>
      <c r="E486" s="2" t="s">
        <v>14</v>
      </c>
      <c r="F486" s="2" t="s">
        <v>15</v>
      </c>
      <c r="G486" s="2" t="s">
        <v>1454</v>
      </c>
      <c r="H486" s="2" t="s">
        <v>149</v>
      </c>
      <c r="I486" s="2" t="str">
        <f>IFERROR(__xludf.DUMMYFUNCTION("GOOGLETRANSLATE(C486,""fr"",""en"")"),"Ophics, an agency that calls instead of answering specific questions asked in writing .... monthly recovery that increases during nnees without any justification exceeding by more than 8 % compared to the contract signed in Agency .... in short, less and "&amp;"less mutual insurance, less and less ""human"" unlike the advertising slogan, much more focused on money as well as a private compulsion")</f>
        <v>Ophics, an agency that calls instead of answering specific questions asked in writing .... monthly recovery that increases during nnees without any justification exceeding by more than 8 % compared to the contract signed in Agency .... in short, less and less mutual insurance, less and less "human" unlike the advertising slogan, much more focused on money as well as a private compulsion</v>
      </c>
    </row>
    <row r="487" ht="15.75" customHeight="1">
      <c r="A487" s="2">
        <v>1.0</v>
      </c>
      <c r="B487" s="2" t="s">
        <v>1455</v>
      </c>
      <c r="C487" s="2" t="s">
        <v>1456</v>
      </c>
      <c r="D487" s="2" t="s">
        <v>20</v>
      </c>
      <c r="E487" s="2" t="s">
        <v>14</v>
      </c>
      <c r="F487" s="2" t="s">
        <v>15</v>
      </c>
      <c r="G487" s="2" t="s">
        <v>1457</v>
      </c>
      <c r="H487" s="2" t="s">
        <v>320</v>
      </c>
      <c r="I487" s="2" t="str">
        <f>IFERROR(__xludf.DUMMYFUNCTION("GOOGLETRANSLATE(C487,""fr"",""en"")"),"Impossible to have my car repaired while it is ensured all risks. AXA plays the watch with a KPI Group expert who refuses compensation on the pretext that the declaration made does not correspond to the damage. The declaration is very clear and in additio"&amp;"n the insurance is all risks and I know that I will have to pay the big franchise.
I don't understand. That done. 17 years that all my goods are. insured by AXA that fidelity is. not rewarded.
Lamentable
Thierry Clémnent")</f>
        <v>Impossible to have my car repaired while it is ensured all risks. AXA plays the watch with a KPI Group expert who refuses compensation on the pretext that the declaration made does not correspond to the damage. The declaration is very clear and in addition the insurance is all risks and I know that I will have to pay the big franchise.
I don't understand. That done. 17 years that all my goods are. insured by AXA that fidelity is. not rewarded.
Lamentable
Thierry Clémnent</v>
      </c>
    </row>
    <row r="488" ht="15.75" customHeight="1">
      <c r="A488" s="2">
        <v>5.0</v>
      </c>
      <c r="B488" s="2" t="s">
        <v>1458</v>
      </c>
      <c r="C488" s="2" t="s">
        <v>1459</v>
      </c>
      <c r="D488" s="2" t="s">
        <v>36</v>
      </c>
      <c r="E488" s="2" t="s">
        <v>14</v>
      </c>
      <c r="F488" s="2" t="s">
        <v>15</v>
      </c>
      <c r="G488" s="2" t="s">
        <v>171</v>
      </c>
      <c r="H488" s="2" t="s">
        <v>171</v>
      </c>
      <c r="I488" s="2" t="str">
        <f>IFERROR(__xludf.DUMMYFUNCTION("GOOGLETRANSLATE(C488,""fr"",""en"")"),"Very effective service reasonable price very kind and fast advisor
I will recommend this insurance to my friends without problem
thank you for your efficiency")</f>
        <v>Very effective service reasonable price very kind and fast advisor
I will recommend this insurance to my friends without problem
thank you for your efficiency</v>
      </c>
    </row>
    <row r="489" ht="15.75" customHeight="1">
      <c r="A489" s="2">
        <v>1.0</v>
      </c>
      <c r="B489" s="2" t="s">
        <v>1460</v>
      </c>
      <c r="C489" s="2" t="s">
        <v>1461</v>
      </c>
      <c r="D489" s="2" t="s">
        <v>30</v>
      </c>
      <c r="E489" s="2" t="s">
        <v>31</v>
      </c>
      <c r="F489" s="2" t="s">
        <v>15</v>
      </c>
      <c r="G489" s="2" t="s">
        <v>1462</v>
      </c>
      <c r="H489" s="2" t="s">
        <v>320</v>
      </c>
      <c r="I489" s="2" t="str">
        <f>IFERROR(__xludf.DUMMYFUNCTION("GOOGLETRANSLATE(C489,""fr"",""en"")"),"Hello,
Catastrophic mutual !! I have never seen such incompetent managers.
File blocked for more than 3 months. No refund for more than 8 months.
The documents are transmitted 2 See 3 times to be taken into account. During calls, the wait is a min of"&amp;" 10 min see 40 min sometimes to have a person who cannot help you because it does not have a hand on the management of files. Managers do not know how to read your messages, they constantly ask the same documents to not process the request correctly. No p"&amp;"rofessionalism.
My invoices appear to be ""treated"" on my space when no refund is made.
I am not even talking to you about requests for quotes that remain unanswered.
In short, a real nightmare this box. Total incompetence.
To flee even more than the"&amp;" covid because it is a heart attack that Mercer completes you. TO FLEE
Too bad not to be able to put 0 star.")</f>
        <v>Hello,
Catastrophic mutual !! I have never seen such incompetent managers.
File blocked for more than 3 months. No refund for more than 8 months.
The documents are transmitted 2 See 3 times to be taken into account. During calls, the wait is a min of 10 min see 40 min sometimes to have a person who cannot help you because it does not have a hand on the management of files. Managers do not know how to read your messages, they constantly ask the same documents to not process the request correctly. No professionalism.
My invoices appear to be "treated" on my space when no refund is made.
I am not even talking to you about requests for quotes that remain unanswered.
In short, a real nightmare this box. Total incompetence.
To flee even more than the covid because it is a heart attack that Mercer completes you. TO FLEE
Too bad not to be able to put 0 star.</v>
      </c>
    </row>
    <row r="490" ht="15.75" customHeight="1">
      <c r="A490" s="2">
        <v>2.0</v>
      </c>
      <c r="B490" s="2" t="s">
        <v>1463</v>
      </c>
      <c r="C490" s="2" t="s">
        <v>1464</v>
      </c>
      <c r="D490" s="2" t="s">
        <v>576</v>
      </c>
      <c r="E490" s="2" t="s">
        <v>14</v>
      </c>
      <c r="F490" s="2" t="s">
        <v>15</v>
      </c>
      <c r="G490" s="2" t="s">
        <v>1465</v>
      </c>
      <c r="H490" s="2" t="s">
        <v>880</v>
      </c>
      <c r="I490" s="2" t="str">
        <f>IFERROR(__xludf.DUMMYFUNCTION("GOOGLETRANSLATE(C490,""fr"",""en"")"),"Hello, I would also like to react on an open file since November in the Legal Protection Service. I am not at all satisfied, without my multiple calls and letters my file would remain at the bottom of the battery. I bought a vehicle that broke down after "&amp;"6 months, large repair to be expected that a seller refuses to take care of. I have repeatedly warned that this situation is unbearable, especially since I have young children. I find myself on foot, all the freezing winter to train my children in school,"&amp;" a 3 -year -old that I have to wear I don't tell you the horror and the back pain that it generates me. I insisted that my file advances, to date nothing is done! I already apprehend back to school, but no one has nothing to do with the life of others and"&amp;" the difficulties that this generates and the money wasted (car rental, private sports children for paid subscriptions, bus tickets to move around , not to mention the sciatica so I had never had back pain) I saw a real nightmare this situation does not b"&amp;"other anyone, I pay insurance every month for a vehicle immobilized for soon 1 year (in 2 months it will be 1 year that the file remains in the state) I pass you the details of the expert who considers that I can recover my vehicle can be repaired and to "&amp;"drive with roads at 50 klm /h (the expert has assembled an audi A1 not a car without a license) advise me to recover my car and to drive on limited roads is a shame! I think I move to management to meet a director. Because this is the disaster.")</f>
        <v>Hello, I would also like to react on an open file since November in the Legal Protection Service. I am not at all satisfied, without my multiple calls and letters my file would remain at the bottom of the battery. I bought a vehicle that broke down after 6 months, large repair to be expected that a seller refuses to take care of. I have repeatedly warned that this situation is unbearable, especially since I have young children. I find myself on foot, all the freezing winter to train my children in school, a 3 -year -old that I have to wear I don't tell you the horror and the back pain that it generates me. I insisted that my file advances, to date nothing is done! I already apprehend back to school, but no one has nothing to do with the life of others and the difficulties that this generates and the money wasted (car rental, private sports children for paid subscriptions, bus tickets to move around , not to mention the sciatica so I had never had back pain) I saw a real nightmare this situation does not bother anyone, I pay insurance every month for a vehicle immobilized for soon 1 year (in 2 months it will be 1 year that the file remains in the state) I pass you the details of the expert who considers that I can recover my vehicle can be repaired and to drive with roads at 50 klm /h (the expert has assembled an audi A1 not a car without a license) advise me to recover my car and to drive on limited roads is a shame! I think I move to management to meet a director. Because this is the disaster.</v>
      </c>
    </row>
    <row r="491" ht="15.75" customHeight="1">
      <c r="A491" s="2">
        <v>1.0</v>
      </c>
      <c r="B491" s="2" t="s">
        <v>1466</v>
      </c>
      <c r="C491" s="2" t="s">
        <v>1467</v>
      </c>
      <c r="D491" s="2" t="s">
        <v>616</v>
      </c>
      <c r="E491" s="2" t="s">
        <v>37</v>
      </c>
      <c r="F491" s="2" t="s">
        <v>15</v>
      </c>
      <c r="G491" s="2" t="s">
        <v>1468</v>
      </c>
      <c r="H491" s="2" t="s">
        <v>432</v>
      </c>
      <c r="I491" s="2" t="str">
        <f>IFERROR(__xludf.DUMMYFUNCTION("GOOGLETRANSLATE(C491,""fr"",""en"")"),"To flee !!!")</f>
        <v>To flee !!!</v>
      </c>
    </row>
    <row r="492" ht="15.75" customHeight="1">
      <c r="A492" s="2">
        <v>1.0</v>
      </c>
      <c r="B492" s="2" t="s">
        <v>1469</v>
      </c>
      <c r="C492" s="2" t="s">
        <v>1470</v>
      </c>
      <c r="D492" s="2" t="s">
        <v>128</v>
      </c>
      <c r="E492" s="2" t="s">
        <v>51</v>
      </c>
      <c r="F492" s="2" t="s">
        <v>15</v>
      </c>
      <c r="G492" s="2" t="s">
        <v>1304</v>
      </c>
      <c r="H492" s="2" t="s">
        <v>62</v>
      </c>
      <c r="I492" s="2" t="str">
        <f>IFERROR(__xludf.DUMMYFUNCTION("GOOGLETRANSLATE(C492,""fr"",""en"")"),"Raised for more than 2 months and still no news of them after 3 blows of threads always the same answer I warn the sinister service, in short and how to roll?")</f>
        <v>Raised for more than 2 months and still no news of them after 3 blows of threads always the same answer I warn the sinister service, in short and how to roll?</v>
      </c>
    </row>
    <row r="493" ht="15.75" customHeight="1">
      <c r="A493" s="2">
        <v>3.0</v>
      </c>
      <c r="B493" s="2" t="s">
        <v>1471</v>
      </c>
      <c r="C493" s="2" t="s">
        <v>1472</v>
      </c>
      <c r="D493" s="2" t="s">
        <v>36</v>
      </c>
      <c r="E493" s="2" t="s">
        <v>14</v>
      </c>
      <c r="F493" s="2" t="s">
        <v>15</v>
      </c>
      <c r="G493" s="2" t="s">
        <v>734</v>
      </c>
      <c r="H493" s="2" t="s">
        <v>106</v>
      </c>
      <c r="I493" s="2" t="str">
        <f>IFERROR(__xludf.DUMMYFUNCTION("GOOGLETRANSLATE(C493,""fr"",""en"")"),"The first year nothing to say second year increase troixeth increase again and fourth ditto I fled. Logic would like him to practice attractive prices for guarding their client. I think he prefers to have new customers than to keep the old ones.")</f>
        <v>The first year nothing to say second year increase troixeth increase again and fourth ditto I fled. Logic would like him to practice attractive prices for guarding their client. I think he prefers to have new customers than to keep the old ones.</v>
      </c>
    </row>
    <row r="494" ht="15.75" customHeight="1">
      <c r="A494" s="2">
        <v>4.0</v>
      </c>
      <c r="B494" s="2" t="s">
        <v>1473</v>
      </c>
      <c r="C494" s="2" t="s">
        <v>1474</v>
      </c>
      <c r="D494" s="2" t="s">
        <v>13</v>
      </c>
      <c r="E494" s="2" t="s">
        <v>14</v>
      </c>
      <c r="F494" s="2" t="s">
        <v>15</v>
      </c>
      <c r="G494" s="2" t="s">
        <v>766</v>
      </c>
      <c r="H494" s="2" t="s">
        <v>43</v>
      </c>
      <c r="I494" s="2" t="str">
        <f>IFERROR(__xludf.DUMMYFUNCTION("GOOGLETRANSLATE(C494,""fr"",""en"")"),"I am satisfied with the insurance offer to which I have subscribed, both in terms of the price and the guarantees by which I am covered. I highly recommend.")</f>
        <v>I am satisfied with the insurance offer to which I have subscribed, both in terms of the price and the guarantees by which I am covered. I highly recommend.</v>
      </c>
    </row>
    <row r="495" ht="15.75" customHeight="1">
      <c r="A495" s="2">
        <v>4.0</v>
      </c>
      <c r="B495" s="2" t="s">
        <v>1475</v>
      </c>
      <c r="C495" s="2" t="s">
        <v>1476</v>
      </c>
      <c r="D495" s="2" t="s">
        <v>13</v>
      </c>
      <c r="E495" s="2" t="s">
        <v>14</v>
      </c>
      <c r="F495" s="2" t="s">
        <v>15</v>
      </c>
      <c r="G495" s="2" t="s">
        <v>1477</v>
      </c>
      <c r="H495" s="2" t="s">
        <v>47</v>
      </c>
      <c r="I495" s="2" t="str">
        <f>IFERROR(__xludf.DUMMYFUNCTION("GOOGLETRANSLATE(C495,""fr"",""en"")"),"The quote is simple to prepare thanks to the telephone reception.
Interesting price. I will recommend this insurer to my loved ones and friends.
Web easy site")</f>
        <v>The quote is simple to prepare thanks to the telephone reception.
Interesting price. I will recommend this insurer to my loved ones and friends.
Web easy site</v>
      </c>
    </row>
    <row r="496" ht="15.75" customHeight="1">
      <c r="A496" s="2">
        <v>3.0</v>
      </c>
      <c r="B496" s="2" t="s">
        <v>1478</v>
      </c>
      <c r="C496" s="2" t="s">
        <v>1479</v>
      </c>
      <c r="D496" s="2" t="s">
        <v>104</v>
      </c>
      <c r="E496" s="2" t="s">
        <v>31</v>
      </c>
      <c r="F496" s="2" t="s">
        <v>15</v>
      </c>
      <c r="G496" s="2" t="s">
        <v>1480</v>
      </c>
      <c r="H496" s="2" t="s">
        <v>149</v>
      </c>
      <c r="I496" s="2" t="str">
        <f>IFERROR(__xludf.DUMMYFUNCTION("GOOGLETRANSLATE(C496,""fr"",""en"")"),"I am satisfied with this mutual. Refunds are correct but could be much better in terms of optics.
The alternative medicine reimbursements are not sufficient.")</f>
        <v>I am satisfied with this mutual. Refunds are correct but could be much better in terms of optics.
The alternative medicine reimbursements are not sufficient.</v>
      </c>
    </row>
    <row r="497" ht="15.75" customHeight="1">
      <c r="A497" s="2">
        <v>1.0</v>
      </c>
      <c r="B497" s="2" t="s">
        <v>1481</v>
      </c>
      <c r="C497" s="2" t="s">
        <v>1482</v>
      </c>
      <c r="D497" s="2" t="s">
        <v>30</v>
      </c>
      <c r="E497" s="2" t="s">
        <v>31</v>
      </c>
      <c r="F497" s="2" t="s">
        <v>15</v>
      </c>
      <c r="G497" s="2" t="s">
        <v>1483</v>
      </c>
      <c r="H497" s="2" t="s">
        <v>297</v>
      </c>
      <c r="I497" s="2" t="str">
        <f>IFERROR(__xludf.DUMMYFUNCTION("GOOGLETRANSLATE(C497,""fr"",""en"")"),"Super unhappy and incompetent mutual unhappy.
The premium rate phone number and of course that is 1 week I try to join them impossible!
The wait is super long at least 10 minutes at each call (including once 20 minutes). When I manage to talk to an advi"&amp;"sor she tells me that they will remind me but no news after 72 hours. I had to call them back so that in the final the advisor told me that the man who manages is not available and unreachable! So again you have to remember. It is just unacceptable she do"&amp;"es not even try to manage my problem or at least keep her promise and contact me.
I do not recommend it !!!")</f>
        <v>Super unhappy and incompetent mutual unhappy.
The premium rate phone number and of course that is 1 week I try to join them impossible!
The wait is super long at least 10 minutes at each call (including once 20 minutes). When I manage to talk to an advisor she tells me that they will remind me but no news after 72 hours. I had to call them back so that in the final the advisor told me that the man who manages is not available and unreachable! So again you have to remember. It is just unacceptable she does not even try to manage my problem or at least keep her promise and contact me.
I do not recommend it !!!</v>
      </c>
    </row>
    <row r="498" ht="15.75" customHeight="1">
      <c r="A498" s="2">
        <v>5.0</v>
      </c>
      <c r="B498" s="2" t="s">
        <v>1484</v>
      </c>
      <c r="C498" s="2" t="s">
        <v>1485</v>
      </c>
      <c r="D498" s="2" t="s">
        <v>104</v>
      </c>
      <c r="E498" s="2" t="s">
        <v>31</v>
      </c>
      <c r="F498" s="2" t="s">
        <v>15</v>
      </c>
      <c r="G498" s="2" t="s">
        <v>1462</v>
      </c>
      <c r="H498" s="2" t="s">
        <v>320</v>
      </c>
      <c r="I498" s="2" t="str">
        <f>IFERROR(__xludf.DUMMYFUNCTION("GOOGLETRANSLATE(C498,""fr"",""en"")"),"I am satisfied with the MGP as an apartment purchase health and guarantee ...
Advisers are available and respond to
Our questions ... very satisfied for years ...")</f>
        <v>I am satisfied with the MGP as an apartment purchase health and guarantee ...
Advisers are available and respond to
Our questions ... very satisfied for years ...</v>
      </c>
    </row>
    <row r="499" ht="15.75" customHeight="1">
      <c r="A499" s="2">
        <v>4.0</v>
      </c>
      <c r="B499" s="2" t="s">
        <v>1486</v>
      </c>
      <c r="C499" s="2" t="s">
        <v>1487</v>
      </c>
      <c r="D499" s="2" t="s">
        <v>36</v>
      </c>
      <c r="E499" s="2" t="s">
        <v>14</v>
      </c>
      <c r="F499" s="2" t="s">
        <v>15</v>
      </c>
      <c r="G499" s="2" t="s">
        <v>1488</v>
      </c>
      <c r="H499" s="2" t="s">
        <v>47</v>
      </c>
      <c r="I499" s="2" t="str">
        <f>IFERROR(__xludf.DUMMYFUNCTION("GOOGLETRANSLATE(C499,""fr"",""en"")"),"good value for money, found thanks to the insurance comparator
Finally no need to take insurance nearby when online insurance does the job, and this in a rapidly rainy way under identical and cheaper conditions.")</f>
        <v>good value for money, found thanks to the insurance comparator
Finally no need to take insurance nearby when online insurance does the job, and this in a rapidly rainy way under identical and cheaper conditions.</v>
      </c>
    </row>
    <row r="500" ht="15.75" customHeight="1">
      <c r="A500" s="2">
        <v>3.0</v>
      </c>
      <c r="B500" s="2" t="s">
        <v>1489</v>
      </c>
      <c r="C500" s="2" t="s">
        <v>1490</v>
      </c>
      <c r="D500" s="2" t="s">
        <v>211</v>
      </c>
      <c r="E500" s="2" t="s">
        <v>31</v>
      </c>
      <c r="F500" s="2" t="s">
        <v>15</v>
      </c>
      <c r="G500" s="2" t="s">
        <v>1491</v>
      </c>
      <c r="H500" s="2" t="s">
        <v>57</v>
      </c>
      <c r="I500" s="2" t="str">
        <f>IFERROR(__xludf.DUMMYFUNCTION("GOOGLETRANSLATE(C500,""fr"",""en"")"),"Thanks to Caroline who was very professional and efficient.
She helped me do the steps to terminate a contract which did not correspond to my profile and which was sold to me by a broker on the phone.
")</f>
        <v>Thanks to Caroline who was very professional and efficient.
She helped me do the steps to terminate a contract which did not correspond to my profile and which was sold to me by a broker on the phone.
</v>
      </c>
    </row>
    <row r="501" ht="15.75" customHeight="1">
      <c r="A501" s="2">
        <v>1.0</v>
      </c>
      <c r="B501" s="2" t="s">
        <v>1492</v>
      </c>
      <c r="C501" s="2" t="s">
        <v>1493</v>
      </c>
      <c r="D501" s="2" t="s">
        <v>76</v>
      </c>
      <c r="E501" s="2" t="s">
        <v>51</v>
      </c>
      <c r="F501" s="2" t="s">
        <v>15</v>
      </c>
      <c r="G501" s="2" t="s">
        <v>1494</v>
      </c>
      <c r="H501" s="2" t="s">
        <v>297</v>
      </c>
      <c r="I501" s="2" t="str">
        <f>IFERROR(__xludf.DUMMYFUNCTION("GOOGLETRANSLATE(C501,""fr"",""en"")"),"They terminate my contract because they do not arrive not found a solution for my case allowed foreign permit (being changed to a French permit) with category A directly without category A2.")</f>
        <v>They terminate my contract because they do not arrive not found a solution for my case allowed foreign permit (being changed to a French permit) with category A directly without category A2.</v>
      </c>
    </row>
    <row r="502" ht="15.75" customHeight="1">
      <c r="A502" s="2">
        <v>4.0</v>
      </c>
      <c r="B502" s="2" t="s">
        <v>1495</v>
      </c>
      <c r="C502" s="2" t="s">
        <v>1496</v>
      </c>
      <c r="D502" s="2" t="s">
        <v>13</v>
      </c>
      <c r="E502" s="2" t="s">
        <v>14</v>
      </c>
      <c r="F502" s="2" t="s">
        <v>15</v>
      </c>
      <c r="G502" s="2" t="s">
        <v>293</v>
      </c>
      <c r="H502" s="2" t="s">
        <v>27</v>
      </c>
      <c r="I502" s="2" t="str">
        <f>IFERROR(__xludf.DUMMYFUNCTION("GOOGLETRANSLATE(C502,""fr"",""en"")"),"Satisfied with the kindness of the interlocutors during my various telephone interviews.
Clear instructions, wise advice helped me complete the signing of my contract.")</f>
        <v>Satisfied with the kindness of the interlocutors during my various telephone interviews.
Clear instructions, wise advice helped me complete the signing of my contract.</v>
      </c>
    </row>
    <row r="503" ht="15.75" customHeight="1">
      <c r="A503" s="2">
        <v>4.0</v>
      </c>
      <c r="B503" s="2" t="s">
        <v>1497</v>
      </c>
      <c r="C503" s="2" t="s">
        <v>1498</v>
      </c>
      <c r="D503" s="2" t="s">
        <v>36</v>
      </c>
      <c r="E503" s="2" t="s">
        <v>14</v>
      </c>
      <c r="F503" s="2" t="s">
        <v>15</v>
      </c>
      <c r="G503" s="2" t="s">
        <v>233</v>
      </c>
      <c r="H503" s="2" t="s">
        <v>27</v>
      </c>
      <c r="I503" s="2" t="str">
        <f>IFERROR(__xludf.DUMMYFUNCTION("GOOGLETRANSLATE(C503,""fr"",""en"")"),"Hello,
I am satisfied with the service .... prices suit me ..... I am delighted for my vehicle.
Direct insurance that you need.")</f>
        <v>Hello,
I am satisfied with the service .... prices suit me ..... I am delighted for my vehicle.
Direct insurance that you need.</v>
      </c>
    </row>
    <row r="504" ht="15.75" customHeight="1">
      <c r="A504" s="2">
        <v>1.0</v>
      </c>
      <c r="B504" s="2" t="s">
        <v>1499</v>
      </c>
      <c r="C504" s="2" t="s">
        <v>1500</v>
      </c>
      <c r="D504" s="2" t="s">
        <v>340</v>
      </c>
      <c r="E504" s="2" t="s">
        <v>200</v>
      </c>
      <c r="F504" s="2" t="s">
        <v>15</v>
      </c>
      <c r="G504" s="2" t="s">
        <v>1501</v>
      </c>
      <c r="H504" s="2" t="s">
        <v>240</v>
      </c>
      <c r="I504" s="2" t="str">
        <f>IFERROR(__xludf.DUMMYFUNCTION("GOOGLETRANSLATE(C504,""fr"",""en"")"),"Sogecap has been going around in circles for 3 weeks for borrower insurance. Having had an operation of the left shoulder following dislocations I provided them with the post-opt assessment where it is well indicated that I had the left shoulder operated."&amp;" Unfortunately their doctor advice must be incompetent to see illiterate at best. So here is my project fell into the water ....")</f>
        <v>Sogecap has been going around in circles for 3 weeks for borrower insurance. Having had an operation of the left shoulder following dislocations I provided them with the post-opt assessment where it is well indicated that I had the left shoulder operated. Unfortunately their doctor advice must be incompetent to see illiterate at best. So here is my project fell into the water ....</v>
      </c>
    </row>
    <row r="505" ht="15.75" customHeight="1">
      <c r="A505" s="2">
        <v>1.0</v>
      </c>
      <c r="B505" s="2" t="s">
        <v>1502</v>
      </c>
      <c r="C505" s="2" t="s">
        <v>1503</v>
      </c>
      <c r="D505" s="2" t="s">
        <v>304</v>
      </c>
      <c r="E505" s="2" t="s">
        <v>21</v>
      </c>
      <c r="F505" s="2" t="s">
        <v>15</v>
      </c>
      <c r="G505" s="2" t="s">
        <v>1504</v>
      </c>
      <c r="H505" s="2" t="s">
        <v>276</v>
      </c>
      <c r="I505" s="2" t="str">
        <f>IFERROR(__xludf.DUMMYFUNCTION("GOOGLETRANSLATE(C505,""fr"",""en"")"),"Having proceeded (as a test) a new investment of € 1,500 on my multiplus cardif account, I receive the 2902/2020 a Hello Bank form (my direct cardif account having been unfortunately deleted during a visit to Hello Bank, which is not my bank).
I return t"&amp;"he completed form, as well as my RIB at AXA) on January 30, as confirmed by the copy of messages from Hello Bank.
February 10, after Cardif (contacted on the phone tells me that I have no file in my name); Hello Bank informs me that the procedure appli"&amp;"ed by them on January 30 was not the right one, and that I had to turn the sum on the Rib de Cardif, which they then communicated to me.
So I will see the amount on the cardif account.
Meanwhile Cardif told me that I no longer have the initial order to "&amp;"buy the fund.
Without news, I resume contact on February 26 to learn that the investment order had still not passed.
On March 2 I learned that the order had been placed on February 27 but during February 14. Or 7.741205 Parts of Sicav Pictet Premuium Br"&amp;"and at € 192.80.
Cardif therefore sold me (retroactively) at € 192.80 from the shares he bought at 166.27 the same day.
Or a margin of € 205.37 not justified.
")</f>
        <v>Having proceeded (as a test) a new investment of € 1,500 on my multiplus cardif account, I receive the 2902/2020 a Hello Bank form (my direct cardif account having been unfortunately deleted during a visit to Hello Bank, which is not my bank).
I return the completed form, as well as my RIB at AXA) on January 30, as confirmed by the copy of messages from Hello Bank.
February 10, after Cardif (contacted on the phone tells me that I have no file in my name); Hello Bank informs me that the procedure applied by them on January 30 was not the right one, and that I had to turn the sum on the Rib de Cardif, which they then communicated to me.
So I will see the amount on the cardif account.
Meanwhile Cardif told me that I no longer have the initial order to buy the fund.
Without news, I resume contact on February 26 to learn that the investment order had still not passed.
On March 2 I learned that the order had been placed on February 27 but during February 14. Or 7.741205 Parts of Sicav Pictet Premuium Brand at € 192.80.
Cardif therefore sold me (retroactively) at € 192.80 from the shares he bought at 166.27 the same day.
Or a margin of € 205.37 not justified.
</v>
      </c>
    </row>
    <row r="506" ht="15.75" customHeight="1">
      <c r="A506" s="2">
        <v>4.0</v>
      </c>
      <c r="B506" s="2" t="s">
        <v>1505</v>
      </c>
      <c r="C506" s="2" t="s">
        <v>1506</v>
      </c>
      <c r="D506" s="2" t="s">
        <v>36</v>
      </c>
      <c r="E506" s="2" t="s">
        <v>14</v>
      </c>
      <c r="F506" s="2" t="s">
        <v>15</v>
      </c>
      <c r="G506" s="2" t="s">
        <v>1507</v>
      </c>
      <c r="H506" s="2" t="s">
        <v>43</v>
      </c>
      <c r="I506" s="2" t="str">
        <f>IFERROR(__xludf.DUMMYFUNCTION("GOOGLETRANSLATE(C506,""fr"",""en"")"),"Quite fast and practical to use, the prices are correct and they are quite reactive after an accident or other problem on the vehicle! Good insurance")</f>
        <v>Quite fast and practical to use, the prices are correct and they are quite reactive after an accident or other problem on the vehicle! Good insurance</v>
      </c>
    </row>
    <row r="507" ht="15.75" customHeight="1">
      <c r="A507" s="2">
        <v>4.0</v>
      </c>
      <c r="B507" s="2" t="s">
        <v>1508</v>
      </c>
      <c r="C507" s="2" t="s">
        <v>1509</v>
      </c>
      <c r="D507" s="2" t="s">
        <v>36</v>
      </c>
      <c r="E507" s="2" t="s">
        <v>14</v>
      </c>
      <c r="F507" s="2" t="s">
        <v>15</v>
      </c>
      <c r="G507" s="2" t="s">
        <v>113</v>
      </c>
      <c r="H507" s="2" t="s">
        <v>43</v>
      </c>
      <c r="I507" s="2" t="str">
        <f>IFERROR(__xludf.DUMMYFUNCTION("GOOGLETRANSLATE(C507,""fr"",""en"")"),"I am satisfied with what Direct Insurance offers. This is the only assurance that I found with reasonable prices and which covers my car as I wanted")</f>
        <v>I am satisfied with what Direct Insurance offers. This is the only assurance that I found with reasonable prices and which covers my car as I wanted</v>
      </c>
    </row>
    <row r="508" ht="15.75" customHeight="1">
      <c r="A508" s="2">
        <v>3.0</v>
      </c>
      <c r="B508" s="2" t="s">
        <v>1510</v>
      </c>
      <c r="C508" s="2" t="s">
        <v>1511</v>
      </c>
      <c r="D508" s="2" t="s">
        <v>354</v>
      </c>
      <c r="E508" s="2" t="s">
        <v>37</v>
      </c>
      <c r="F508" s="2" t="s">
        <v>15</v>
      </c>
      <c r="G508" s="2" t="s">
        <v>1512</v>
      </c>
      <c r="H508" s="2" t="s">
        <v>345</v>
      </c>
      <c r="I508" s="2" t="str">
        <f>IFERROR(__xludf.DUMMYFUNCTION("GOOGLETRANSLATE(C508,""fr"",""en"")"),"Refusal of the headquarters to follow up on burglary, with the pretext that the word break -in does not appear verbatim on the filing of complaints of the gendarmerie, this not being stipulated on the general conditions, and this despite break -in without"&amp;" degradation.
File sent by the customer advisor after request for verification.")</f>
        <v>Refusal of the headquarters to follow up on burglary, with the pretext that the word break -in does not appear verbatim on the filing of complaints of the gendarmerie, this not being stipulated on the general conditions, and this despite break -in without degradation.
File sent by the customer advisor after request for verification.</v>
      </c>
    </row>
    <row r="509" ht="15.75" customHeight="1">
      <c r="A509" s="2">
        <v>1.0</v>
      </c>
      <c r="B509" s="2" t="s">
        <v>1513</v>
      </c>
      <c r="C509" s="2" t="s">
        <v>1514</v>
      </c>
      <c r="D509" s="2" t="s">
        <v>13</v>
      </c>
      <c r="E509" s="2" t="s">
        <v>14</v>
      </c>
      <c r="F509" s="2" t="s">
        <v>15</v>
      </c>
      <c r="G509" s="2" t="s">
        <v>1515</v>
      </c>
      <c r="H509" s="2" t="s">
        <v>223</v>
      </c>
      <c r="I509" s="2" t="str">
        <f>IFERROR(__xludf.DUMMYFUNCTION("GOOGLETRANSLATE(C509,""fr"",""en"")"),"I changed car in December, 2 months to have a final green card, contributions multiplied by 2 between the quote and the final due date. Refusal on their part the termination, dates on the green map that correspond to nothing and so on. I dare not imagined"&amp;" snacks of glitch.")</f>
        <v>I changed car in December, 2 months to have a final green card, contributions multiplied by 2 between the quote and the final due date. Refusal on their part the termination, dates on the green map that correspond to nothing and so on. I dare not imagined snacks of glitch.</v>
      </c>
    </row>
    <row r="510" ht="15.75" customHeight="1">
      <c r="A510" s="2">
        <v>3.0</v>
      </c>
      <c r="B510" s="2" t="s">
        <v>1516</v>
      </c>
      <c r="C510" s="2" t="s">
        <v>1517</v>
      </c>
      <c r="D510" s="2" t="s">
        <v>13</v>
      </c>
      <c r="E510" s="2" t="s">
        <v>14</v>
      </c>
      <c r="F510" s="2" t="s">
        <v>15</v>
      </c>
      <c r="G510" s="2" t="s">
        <v>827</v>
      </c>
      <c r="H510" s="2" t="s">
        <v>85</v>
      </c>
      <c r="I510" s="2" t="str">
        <f>IFERROR(__xludf.DUMMYFUNCTION("GOOGLETRANSLATE(C510,""fr"",""en"")"),"Satisfied ! And very cash thank you the olive tree highly recommends price followed everything is assistance such at the top time of waiting very short and at your disposal")</f>
        <v>Satisfied ! And very cash thank you the olive tree highly recommends price followed everything is assistance such at the top time of waiting very short and at your disposal</v>
      </c>
    </row>
    <row r="511" ht="15.75" customHeight="1">
      <c r="A511" s="2">
        <v>2.0</v>
      </c>
      <c r="B511" s="2" t="s">
        <v>1518</v>
      </c>
      <c r="C511" s="2" t="s">
        <v>1519</v>
      </c>
      <c r="D511" s="2" t="s">
        <v>636</v>
      </c>
      <c r="E511" s="2" t="s">
        <v>31</v>
      </c>
      <c r="F511" s="2" t="s">
        <v>15</v>
      </c>
      <c r="G511" s="2" t="s">
        <v>1520</v>
      </c>
      <c r="H511" s="2" t="s">
        <v>90</v>
      </c>
      <c r="I511" s="2" t="str">
        <f>IFERROR(__xludf.DUMMYFUNCTION("GOOGLETRANSLATE(C511,""fr"",""en"")"),"Be careful very bad mutual. Even in the context of compulsory membership in the mutual insurance company ... Harmonie mutual refuses to terminate you !!!
Be careful ... to flee!")</f>
        <v>Be careful very bad mutual. Even in the context of compulsory membership in the mutual insurance company ... Harmonie mutual refuses to terminate you !!!
Be careful ... to flee!</v>
      </c>
    </row>
    <row r="512" ht="15.75" customHeight="1">
      <c r="A512" s="2">
        <v>2.0</v>
      </c>
      <c r="B512" s="2" t="s">
        <v>1521</v>
      </c>
      <c r="C512" s="2" t="s">
        <v>1522</v>
      </c>
      <c r="D512" s="2" t="s">
        <v>128</v>
      </c>
      <c r="E512" s="2" t="s">
        <v>51</v>
      </c>
      <c r="F512" s="2" t="s">
        <v>15</v>
      </c>
      <c r="G512" s="2" t="s">
        <v>1523</v>
      </c>
      <c r="H512" s="2" t="s">
        <v>240</v>
      </c>
      <c r="I512" s="2" t="str">
        <f>IFERROR(__xludf.DUMMYFUNCTION("GOOGLETRANSLATE(C512,""fr"",""en"")"),"No service after subscription Ensure dear for 2 years impossible to have the information statement more impossible to contact the service all this fact by email Jessyae to have them for 4 months nothing to do")</f>
        <v>No service after subscription Ensure dear for 2 years impossible to have the information statement more impossible to contact the service all this fact by email Jessyae to have them for 4 months nothing to do</v>
      </c>
    </row>
    <row r="513" ht="15.75" customHeight="1">
      <c r="A513" s="2">
        <v>1.0</v>
      </c>
      <c r="B513" s="2" t="s">
        <v>1524</v>
      </c>
      <c r="C513" s="2" t="s">
        <v>1525</v>
      </c>
      <c r="D513" s="2" t="s">
        <v>1155</v>
      </c>
      <c r="E513" s="2" t="s">
        <v>200</v>
      </c>
      <c r="F513" s="2" t="s">
        <v>15</v>
      </c>
      <c r="G513" s="2" t="s">
        <v>269</v>
      </c>
      <c r="H513" s="2" t="s">
        <v>145</v>
      </c>
      <c r="I513" s="2" t="str">
        <f>IFERROR(__xludf.DUMMYFUNCTION("GOOGLETRANSLATE(C513,""fr"",""en"")"),"1 word: flee !!!
Request 15 years of mutual documents and medical documents for months to ultimately not pay !!! Life insurance that is useless except to throw your money !!
Look at all the opinions are negative, it's a shame ...")</f>
        <v>1 word: flee !!!
Request 15 years of mutual documents and medical documents for months to ultimately not pay !!! Life insurance that is useless except to throw your money !!
Look at all the opinions are negative, it's a shame ...</v>
      </c>
    </row>
    <row r="514" ht="15.75" customHeight="1">
      <c r="A514" s="2">
        <v>2.0</v>
      </c>
      <c r="B514" s="2" t="s">
        <v>1526</v>
      </c>
      <c r="C514" s="2" t="s">
        <v>1527</v>
      </c>
      <c r="D514" s="2" t="s">
        <v>13</v>
      </c>
      <c r="E514" s="2" t="s">
        <v>14</v>
      </c>
      <c r="F514" s="2" t="s">
        <v>15</v>
      </c>
      <c r="G514" s="2" t="s">
        <v>1494</v>
      </c>
      <c r="H514" s="2" t="s">
        <v>297</v>
      </c>
      <c r="I514" s="2" t="str">
        <f>IFERROR(__xludf.DUMMYFUNCTION("GOOGLETRANSLATE(C514,""fr"",""en"")"),"I am very disappointed with their insurance but also by their assistance partner who is Europ Assistance ...
I had a claim in December, the assistance must reimburse me 200th for the troubleshooting that I have advanced and 80th taxi ....
We are on Febr"&amp;"uary 19 I have still not received my money.
And when they call them the transfer has been made but they cannot give any information you must send emails .... emails that they never receive and do not answer !!!!
I start to saturate the I want to recover"&amp;" my money !!!
I especially do not recommend Lolivier and even less their assistance company !!!")</f>
        <v>I am very disappointed with their insurance but also by their assistance partner who is Europ Assistance ...
I had a claim in December, the assistance must reimburse me 200th for the troubleshooting that I have advanced and 80th taxi ....
We are on February 19 I have still not received my money.
And when they call them the transfer has been made but they cannot give any information you must send emails .... emails that they never receive and do not answer !!!!
I start to saturate the I want to recover my money !!!
I especially do not recommend Lolivier and even less their assistance company !!!</v>
      </c>
    </row>
    <row r="515" ht="15.75" customHeight="1">
      <c r="A515" s="2">
        <v>3.0</v>
      </c>
      <c r="B515" s="2" t="s">
        <v>1528</v>
      </c>
      <c r="C515" s="2" t="s">
        <v>1529</v>
      </c>
      <c r="D515" s="2" t="s">
        <v>36</v>
      </c>
      <c r="E515" s="2" t="s">
        <v>14</v>
      </c>
      <c r="F515" s="2" t="s">
        <v>15</v>
      </c>
      <c r="G515" s="2" t="s">
        <v>1530</v>
      </c>
      <c r="H515" s="2" t="s">
        <v>110</v>
      </c>
      <c r="I515" s="2" t="str">
        <f>IFERROR(__xludf.DUMMYFUNCTION("GOOGLETRANSLATE(C515,""fr"",""en"")"),"Abusive increase in prices if I do not consult my file I do not even know. 2 auto contracts assured at any risk. The worst part is that when I redo a quote from the price is the one for which I put engaged so why increase your prices without warning us.")</f>
        <v>Abusive increase in prices if I do not consult my file I do not even know. 2 auto contracts assured at any risk. The worst part is that when I redo a quote from the price is the one for which I put engaged so why increase your prices without warning us.</v>
      </c>
    </row>
    <row r="516" ht="15.75" customHeight="1">
      <c r="A516" s="2">
        <v>4.0</v>
      </c>
      <c r="B516" s="2" t="s">
        <v>1531</v>
      </c>
      <c r="C516" s="2" t="s">
        <v>1532</v>
      </c>
      <c r="D516" s="2" t="s">
        <v>125</v>
      </c>
      <c r="E516" s="2" t="s">
        <v>14</v>
      </c>
      <c r="F516" s="2" t="s">
        <v>15</v>
      </c>
      <c r="G516" s="2" t="s">
        <v>1235</v>
      </c>
      <c r="H516" s="2" t="s">
        <v>27</v>
      </c>
      <c r="I516" s="2" t="str">
        <f>IFERROR(__xludf.DUMMYFUNCTION("GOOGLETRANSLATE(C516,""fr"",""en"")"),"I am generally satisfied with services. However, I was poorly recommended for the subscription of legal insurance and I pâtis today.")</f>
        <v>I am generally satisfied with services. However, I was poorly recommended for the subscription of legal insurance and I pâtis today.</v>
      </c>
    </row>
    <row r="517" ht="15.75" customHeight="1">
      <c r="A517" s="2">
        <v>1.0</v>
      </c>
      <c r="B517" s="2" t="s">
        <v>1533</v>
      </c>
      <c r="C517" s="2" t="s">
        <v>1534</v>
      </c>
      <c r="D517" s="2" t="s">
        <v>143</v>
      </c>
      <c r="E517" s="2" t="s">
        <v>31</v>
      </c>
      <c r="F517" s="2" t="s">
        <v>15</v>
      </c>
      <c r="G517" s="2" t="s">
        <v>1535</v>
      </c>
      <c r="H517" s="2" t="s">
        <v>160</v>
      </c>
      <c r="I517" s="2" t="str">
        <f>IFERROR(__xludf.DUMMYFUNCTION("GOOGLETRANSLATE(C517,""fr"",""en"")"),"Purely and simply shameful !!!!
Not damn to modify an address suddenly following the arrival of my child I declare it logically and the most sign of life and one day my half -yearly contribution is taken to my great overlap my premium more than tripled I"&amp;" call them and he say they have sent a letter (has a bad address after having the address modification process 2 times !!) to warn me, moreover they have the cheek to tell me that everything is on the internet and that I only had to watch.
I ask to be te"&amp;"rminated I am supported that this is not possible unless I pay all of my annual bonus.
Act 2: Even more enormous: a complaint will leave
And strangely I have mail with 2 different contact addresses (mine).
I deduce 2 ERP and probably an operation in fr"&amp;"anchise mode whose goal is only to do a maximum of cash at the expense of ethics.
In short, I strongly advise against")</f>
        <v>Purely and simply shameful !!!!
Not damn to modify an address suddenly following the arrival of my child I declare it logically and the most sign of life and one day my half -yearly contribution is taken to my great overlap my premium more than tripled I call them and he say they have sent a letter (has a bad address after having the address modification process 2 times !!) to warn me, moreover they have the cheek to tell me that everything is on the internet and that I only had to watch.
I ask to be terminated I am supported that this is not possible unless I pay all of my annual bonus.
Act 2: Even more enormous: a complaint will leave
And strangely I have mail with 2 different contact addresses (mine).
I deduce 2 ERP and probably an operation in franchise mode whose goal is only to do a maximum of cash at the expense of ethics.
In short, I strongly advise against</v>
      </c>
    </row>
    <row r="518" ht="15.75" customHeight="1">
      <c r="A518" s="2">
        <v>2.0</v>
      </c>
      <c r="B518" s="2" t="s">
        <v>1536</v>
      </c>
      <c r="C518" s="2" t="s">
        <v>1537</v>
      </c>
      <c r="D518" s="2" t="s">
        <v>285</v>
      </c>
      <c r="E518" s="2" t="s">
        <v>14</v>
      </c>
      <c r="F518" s="2" t="s">
        <v>15</v>
      </c>
      <c r="G518" s="2" t="s">
        <v>1538</v>
      </c>
      <c r="H518" s="2" t="s">
        <v>160</v>
      </c>
      <c r="I518" s="2" t="str">
        <f>IFERROR(__xludf.DUMMYFUNCTION("GOOGLETRANSLATE(C518,""fr"",""en"")"),"hello ,
I will give an opinion on this insurance, so how do you send you a formal notice of July 4 and the sample is done on July 10, I call the service I am told that it is a mistake of their Part, well I say to myself ok, 3 days later puts in formal no"&amp;"tice but the double of the 198 euros, and I am told but Madam I have to pay and her that for the month of July, Sava I bought a porch to pay this Sum per month, really shameful to flee")</f>
        <v>hello ,
I will give an opinion on this insurance, so how do you send you a formal notice of July 4 and the sample is done on July 10, I call the service I am told that it is a mistake of their Part, well I say to myself ok, 3 days later puts in formal notice but the double of the 198 euros, and I am told but Madam I have to pay and her that for the month of July, Sava I bought a porch to pay this Sum per month, really shameful to flee</v>
      </c>
    </row>
    <row r="519" ht="15.75" customHeight="1">
      <c r="A519" s="2">
        <v>5.0</v>
      </c>
      <c r="B519" s="2" t="s">
        <v>1539</v>
      </c>
      <c r="C519" s="2" t="s">
        <v>1540</v>
      </c>
      <c r="D519" s="2" t="s">
        <v>88</v>
      </c>
      <c r="E519" s="2" t="s">
        <v>31</v>
      </c>
      <c r="F519" s="2" t="s">
        <v>15</v>
      </c>
      <c r="G519" s="2" t="s">
        <v>1541</v>
      </c>
      <c r="H519" s="2" t="s">
        <v>167</v>
      </c>
      <c r="I519" s="2" t="str">
        <f>IFERROR(__xludf.DUMMYFUNCTION("GOOGLETRANSLATE(C519,""fr"",""en"")"),"Great ... real health professionals.
Always listening to find suitable contracts.")</f>
        <v>Great ... real health professionals.
Always listening to find suitable contracts.</v>
      </c>
    </row>
    <row r="520" ht="15.75" customHeight="1">
      <c r="A520" s="2">
        <v>3.0</v>
      </c>
      <c r="B520" s="2" t="s">
        <v>1542</v>
      </c>
      <c r="C520" s="2" t="s">
        <v>1543</v>
      </c>
      <c r="D520" s="2" t="s">
        <v>13</v>
      </c>
      <c r="E520" s="2" t="s">
        <v>14</v>
      </c>
      <c r="F520" s="2" t="s">
        <v>15</v>
      </c>
      <c r="G520" s="2" t="s">
        <v>1544</v>
      </c>
      <c r="H520" s="2" t="s">
        <v>85</v>
      </c>
      <c r="I520" s="2" t="str">
        <f>IFERROR(__xludf.DUMMYFUNCTION("GOOGLETRANSLATE(C520,""fr"",""en"")"),"Super easy to subscribe to good customer service it is even if the prices are still high. But I highly recommend. I will surely recommend to those around me.")</f>
        <v>Super easy to subscribe to good customer service it is even if the prices are still high. But I highly recommend. I will surely recommend to those around me.</v>
      </c>
    </row>
    <row r="521" ht="15.75" customHeight="1">
      <c r="A521" s="2">
        <v>5.0</v>
      </c>
      <c r="B521" s="2" t="s">
        <v>1545</v>
      </c>
      <c r="C521" s="2" t="s">
        <v>1546</v>
      </c>
      <c r="D521" s="2" t="s">
        <v>36</v>
      </c>
      <c r="E521" s="2" t="s">
        <v>14</v>
      </c>
      <c r="F521" s="2" t="s">
        <v>15</v>
      </c>
      <c r="G521" s="2" t="s">
        <v>145</v>
      </c>
      <c r="H521" s="2" t="s">
        <v>145</v>
      </c>
      <c r="I521" s="2" t="str">
        <f>IFERROR(__xludf.DUMMYFUNCTION("GOOGLETRANSLATE(C521,""fr"",""en"")"),"This is the first time that I do not know yet, if it is good I will have another car to insure at home for the month of April 2022.
Thanks a lot
Cordially
Minh-Tam Pham")</f>
        <v>This is the first time that I do not know yet, if it is good I will have another car to insure at home for the month of April 2022.
Thanks a lot
Cordially
Minh-Tam Pham</v>
      </c>
    </row>
    <row r="522" ht="15.75" customHeight="1">
      <c r="A522" s="2">
        <v>4.0</v>
      </c>
      <c r="B522" s="2" t="s">
        <v>1547</v>
      </c>
      <c r="C522" s="2" t="s">
        <v>1548</v>
      </c>
      <c r="D522" s="2" t="s">
        <v>576</v>
      </c>
      <c r="E522" s="2" t="s">
        <v>14</v>
      </c>
      <c r="F522" s="2" t="s">
        <v>15</v>
      </c>
      <c r="G522" s="2" t="s">
        <v>1549</v>
      </c>
      <c r="H522" s="2" t="s">
        <v>400</v>
      </c>
      <c r="I522" s="2" t="str">
        <f>IFERROR(__xludf.DUMMYFUNCTION("GOOGLETRANSLATE(C522,""fr"",""en"")"),"When you choose lowcost insurance, you have to expect a lowcost service.
Obviously, this forum is a bit of the tears office and most people who write here are there to express dissatisfaction.
For my part, I am a customer for my car (who is 19 years o"&amp;"ld) and it is the insurance that offered me the best price.
What I am looking for is only a green paper to stick to the windshield to ride legally.
I do not have an illusion; .. in the event of a claim (responsible or not) I know very well that it will "&amp;"be the obstacle course to obtain compensation. Not that the insurance is dishonest, but that the processing of the file will be done slowly and not necessarily dealt with with great attention and empathy (they will respect the contract, the law and nothin"&amp;"g more. Unlike premium insurance which offer a real customer relationship).
For my car (which is worth less than 1000 euros) I do not need more .. if I am the victim of a hanging, I will have to take my pain in patience, but that will not cause me a fina"&amp;"ncial problem ...
On the other hand, for a new car bought on credit, it is clear that it could be problematic for a lot of people.
Think well before signing (and that's valid for all of his inexpensive insurance. Not especially Eurofil)
In short, we "&amp;"have the service that we pay ... me that suits me.
")</f>
        <v>When you choose lowcost insurance, you have to expect a lowcost service.
Obviously, this forum is a bit of the tears office and most people who write here are there to express dissatisfaction.
For my part, I am a customer for my car (who is 19 years old) and it is the insurance that offered me the best price.
What I am looking for is only a green paper to stick to the windshield to ride legally.
I do not have an illusion; .. in the event of a claim (responsible or not) I know very well that it will be the obstacle course to obtain compensation. Not that the insurance is dishonest, but that the processing of the file will be done slowly and not necessarily dealt with with great attention and empathy (they will respect the contract, the law and nothing more. Unlike premium insurance which offer a real customer relationship).
For my car (which is worth less than 1000 euros) I do not need more .. if I am the victim of a hanging, I will have to take my pain in patience, but that will not cause me a financial problem ...
On the other hand, for a new car bought on credit, it is clear that it could be problematic for a lot of people.
Think well before signing (and that's valid for all of his inexpensive insurance. Not especially Eurofil)
In short, we have the service that we pay ... me that suits me.
</v>
      </c>
    </row>
    <row r="523" ht="15.75" customHeight="1">
      <c r="A523" s="2">
        <v>4.0</v>
      </c>
      <c r="B523" s="2" t="s">
        <v>1550</v>
      </c>
      <c r="C523" s="2" t="s">
        <v>1551</v>
      </c>
      <c r="D523" s="2" t="s">
        <v>88</v>
      </c>
      <c r="E523" s="2" t="s">
        <v>31</v>
      </c>
      <c r="F523" s="2" t="s">
        <v>15</v>
      </c>
      <c r="G523" s="2" t="s">
        <v>144</v>
      </c>
      <c r="H523" s="2" t="s">
        <v>33</v>
      </c>
      <c r="I523" s="2" t="str">
        <f>IFERROR(__xludf.DUMMYFUNCTION("GOOGLETRANSLATE(C523,""fr"",""en"")"),"Very good phone listening with satisfactory response already a call for the transmission which was not made I hope it will be done with this second call")</f>
        <v>Very good phone listening with satisfactory response already a call for the transmission which was not made I hope it will be done with this second call</v>
      </c>
    </row>
    <row r="524" ht="15.75" customHeight="1">
      <c r="A524" s="2">
        <v>1.0</v>
      </c>
      <c r="B524" s="2" t="s">
        <v>1552</v>
      </c>
      <c r="C524" s="2" t="s">
        <v>1553</v>
      </c>
      <c r="D524" s="2" t="s">
        <v>414</v>
      </c>
      <c r="E524" s="2" t="s">
        <v>37</v>
      </c>
      <c r="F524" s="2" t="s">
        <v>15</v>
      </c>
      <c r="G524" s="2" t="s">
        <v>926</v>
      </c>
      <c r="H524" s="2" t="s">
        <v>436</v>
      </c>
      <c r="I524" s="2" t="str">
        <f>IFERROR(__xludf.DUMMYFUNCTION("GOOGLETRANSLATE(C524,""fr"",""en"")"),"They terminated us because we declared 2 phone breaks this year and when they had initially agreed to take care of them as part of the multi -risk home without emitting the slightest warning. These are purely unacceptable methods.")</f>
        <v>They terminated us because we declared 2 phone breaks this year and when they had initially agreed to take care of them as part of the multi -risk home without emitting the slightest warning. These are purely unacceptable methods.</v>
      </c>
    </row>
    <row r="525" ht="15.75" customHeight="1">
      <c r="A525" s="2">
        <v>5.0</v>
      </c>
      <c r="B525" s="2" t="s">
        <v>1554</v>
      </c>
      <c r="C525" s="2" t="s">
        <v>1555</v>
      </c>
      <c r="D525" s="2" t="s">
        <v>76</v>
      </c>
      <c r="E525" s="2" t="s">
        <v>51</v>
      </c>
      <c r="F525" s="2" t="s">
        <v>15</v>
      </c>
      <c r="G525" s="2" t="s">
        <v>690</v>
      </c>
      <c r="H525" s="2" t="s">
        <v>43</v>
      </c>
      <c r="I525" s="2" t="str">
        <f>IFERROR(__xludf.DUMMYFUNCTION("GOOGLETRANSLATE(C525,""fr"",""en"")"),"hello I am very happy with the price and the site very well done
Nothing is complicated at the moment I am satisfied a big thank you to this insurance.")</f>
        <v>hello I am very happy with the price and the site very well done
Nothing is complicated at the moment I am satisfied a big thank you to this insurance.</v>
      </c>
    </row>
    <row r="526" ht="15.75" customHeight="1">
      <c r="A526" s="2">
        <v>2.0</v>
      </c>
      <c r="B526" s="2" t="s">
        <v>1556</v>
      </c>
      <c r="C526" s="2" t="s">
        <v>1557</v>
      </c>
      <c r="D526" s="2" t="s">
        <v>13</v>
      </c>
      <c r="E526" s="2" t="s">
        <v>14</v>
      </c>
      <c r="F526" s="2" t="s">
        <v>15</v>
      </c>
      <c r="G526" s="2" t="s">
        <v>1558</v>
      </c>
      <c r="H526" s="2" t="s">
        <v>591</v>
      </c>
      <c r="I526" s="2" t="str">
        <f>IFERROR(__xludf.DUMMYFUNCTION("GOOGLETRANSLATE(C526,""fr"",""en"")"),"I have subscribed due to an attractive rate an all -risk contract. I am assured mainly and my wife as a secondary driver. The procedures were taken from 15 11 2016 departure date of the termination letter addressed to my former insurance. For this contrac"&amp;"t, I usefully sent 4 information statements since I was holder of two vehicles over the last 36 months and insured by two successive insurance companies. Until then nothing abnormal. On the other hand, most of the statements sent are subject to the mentio"&amp;"n ""in approval"". I wonder what the olive assurance can contest on documents sent by other companies. These documents are still being studied. By email, I asked to send myself a copy of the termination letter addressed to my old insurance. No answer. Per"&amp;"manent green card request. No answer.
At the olive tree it is silence that prevails! I would ignore the fact that they know how to send us emails to ask us for supporting documents. On the other hand, to answer us !!!!!!!!!!!!! I have been a customer wit"&amp;"h them for a month and I already regret it. I feel that the year is going to be long and that I am not at the end of my disappointments.")</f>
        <v>I have subscribed due to an attractive rate an all -risk contract. I am assured mainly and my wife as a secondary driver. The procedures were taken from 15 11 2016 departure date of the termination letter addressed to my former insurance. For this contract, I usefully sent 4 information statements since I was holder of two vehicles over the last 36 months and insured by two successive insurance companies. Until then nothing abnormal. On the other hand, most of the statements sent are subject to the mention "in approval". I wonder what the olive assurance can contest on documents sent by other companies. These documents are still being studied. By email, I asked to send myself a copy of the termination letter addressed to my old insurance. No answer. Permanent green card request. No answer.
At the olive tree it is silence that prevails! I would ignore the fact that they know how to send us emails to ask us for supporting documents. On the other hand, to answer us !!!!!!!!!!!!! I have been a customer with them for a month and I already regret it. I feel that the year is going to be long and that I am not at the end of my disappointments.</v>
      </c>
    </row>
    <row r="527" ht="15.75" customHeight="1">
      <c r="A527" s="2">
        <v>2.0</v>
      </c>
      <c r="B527" s="2" t="s">
        <v>1559</v>
      </c>
      <c r="C527" s="2" t="s">
        <v>1560</v>
      </c>
      <c r="D527" s="2" t="s">
        <v>88</v>
      </c>
      <c r="E527" s="2" t="s">
        <v>31</v>
      </c>
      <c r="F527" s="2" t="s">
        <v>15</v>
      </c>
      <c r="G527" s="2" t="s">
        <v>1561</v>
      </c>
      <c r="H527" s="2" t="s">
        <v>178</v>
      </c>
      <c r="I527" s="2" t="str">
        <f>IFERROR(__xludf.DUMMYFUNCTION("GOOGLETRANSLATE(C527,""fr"",""en"")"),"I have been assured for 1 year for this company, and I am very unhappy with the service of it with regard to telephone contact. After several calls to their platform, on the last call the employee hung up on me. The Accounting Service had made an error on"&amp;" our bank levy. After consulting my bank which informs me that no rejection has been made, I note that the accounting from Santiane is false.
When terminating my contract which was 1 year of existence on December 31, 2020, Santiane invokes deadlines for "&amp;"termination. Is keeping a customer under constraint healthy ??
In summary Fley this Santian mutual.")</f>
        <v>I have been assured for 1 year for this company, and I am very unhappy with the service of it with regard to telephone contact. After several calls to their platform, on the last call the employee hung up on me. The Accounting Service had made an error on our bank levy. After consulting my bank which informs me that no rejection has been made, I note that the accounting from Santiane is false.
When terminating my contract which was 1 year of existence on December 31, 2020, Santiane invokes deadlines for termination. Is keeping a customer under constraint healthy ??
In summary Fley this Santian mutual.</v>
      </c>
    </row>
    <row r="528" ht="15.75" customHeight="1">
      <c r="A528" s="2">
        <v>1.0</v>
      </c>
      <c r="B528" s="2" t="s">
        <v>1562</v>
      </c>
      <c r="C528" s="2" t="s">
        <v>1563</v>
      </c>
      <c r="D528" s="2" t="s">
        <v>20</v>
      </c>
      <c r="E528" s="2" t="s">
        <v>51</v>
      </c>
      <c r="F528" s="2" t="s">
        <v>15</v>
      </c>
      <c r="G528" s="2" t="s">
        <v>1564</v>
      </c>
      <c r="H528" s="2" t="s">
        <v>1319</v>
      </c>
      <c r="I528" s="2" t="str">
        <f>IFERROR(__xludf.DUMMYFUNCTION("GOOGLETRANSLATE(C528,""fr"",""en"")"),"We are insured at Assurbike but during our first claim (theft) we learn that it is AXA who manages the files.
.. In short, we've been waiting for 3 months ... 3 months that we are unemployed at the time without a vehicle. The He offers us a refund with 2"&amp;"5% deductible for the blow that is still 2000th in less ... and we are waiting for a advisor to win his phone but not Quedal! Still no money in view !! A deep rage because which will repair the financial damage to the loss of my job ??? What will I be abl"&amp;"e to take as a vehicle with 2000th in less!? It is me the victim of the flight but for once it is I who have it deep! Hatred towards this insurance!")</f>
        <v>We are insured at Assurbike but during our first claim (theft) we learn that it is AXA who manages the files.
.. In short, we've been waiting for 3 months ... 3 months that we are unemployed at the time without a vehicle. The He offers us a refund with 25% deductible for the blow that is still 2000th in less ... and we are waiting for a advisor to win his phone but not Quedal! Still no money in view !! A deep rage because which will repair the financial damage to the loss of my job ??? What will I be able to take as a vehicle with 2000th in less!? It is me the victim of the flight but for once it is I who have it deep! Hatred towards this insurance!</v>
      </c>
    </row>
    <row r="529" ht="15.75" customHeight="1">
      <c r="A529" s="2">
        <v>3.0</v>
      </c>
      <c r="B529" s="2" t="s">
        <v>1565</v>
      </c>
      <c r="C529" s="2" t="s">
        <v>1566</v>
      </c>
      <c r="D529" s="2" t="s">
        <v>13</v>
      </c>
      <c r="E529" s="2" t="s">
        <v>14</v>
      </c>
      <c r="F529" s="2" t="s">
        <v>15</v>
      </c>
      <c r="G529" s="2" t="s">
        <v>42</v>
      </c>
      <c r="H529" s="2" t="s">
        <v>43</v>
      </c>
      <c r="I529" s="2" t="str">
        <f>IFERROR(__xludf.DUMMYFUNCTION("GOOGLETRANSLATE(C529,""fr"",""en"")"),"Satisfaction and well received. Attractive and interesting price. I would recommend that those around me compare their insurance rate with your see the difference. Cordially")</f>
        <v>Satisfaction and well received. Attractive and interesting price. I would recommend that those around me compare their insurance rate with your see the difference. Cordially</v>
      </c>
    </row>
    <row r="530" ht="15.75" customHeight="1">
      <c r="A530" s="2">
        <v>1.0</v>
      </c>
      <c r="B530" s="2" t="s">
        <v>1567</v>
      </c>
      <c r="C530" s="2" t="s">
        <v>1568</v>
      </c>
      <c r="D530" s="2" t="s">
        <v>36</v>
      </c>
      <c r="E530" s="2" t="s">
        <v>14</v>
      </c>
      <c r="F530" s="2" t="s">
        <v>15</v>
      </c>
      <c r="G530" s="2" t="s">
        <v>587</v>
      </c>
      <c r="H530" s="2" t="s">
        <v>47</v>
      </c>
      <c r="I530" s="2" t="str">
        <f>IFERROR(__xludf.DUMMYFUNCTION("GOOGLETRANSLATE(C530,""fr"",""en"")"),"I find it unacceptable that the hanging price for a new customer is 2 times cheaper than the price I pay at the moment for the same vehicle.
I contacted the customer service which holds me a discourt that does not suit me. (Monthly payment, garage locati"&amp;"on, etc ...).")</f>
        <v>I find it unacceptable that the hanging price for a new customer is 2 times cheaper than the price I pay at the moment for the same vehicle.
I contacted the customer service which holds me a discourt that does not suit me. (Monthly payment, garage location, etc ...).</v>
      </c>
    </row>
    <row r="531" ht="15.75" customHeight="1">
      <c r="A531" s="2">
        <v>1.0</v>
      </c>
      <c r="B531" s="2" t="s">
        <v>1569</v>
      </c>
      <c r="C531" s="2" t="s">
        <v>1570</v>
      </c>
      <c r="D531" s="2" t="s">
        <v>60</v>
      </c>
      <c r="E531" s="2" t="s">
        <v>37</v>
      </c>
      <c r="F531" s="2" t="s">
        <v>15</v>
      </c>
      <c r="G531" s="2" t="s">
        <v>1571</v>
      </c>
      <c r="H531" s="2" t="s">
        <v>360</v>
      </c>
      <c r="I531" s="2" t="str">
        <f>IFERROR(__xludf.DUMMYFUNCTION("GOOGLETRANSLATE(C531,""fr"",""en"")"),"Do not subscribe to them ... I have been in depression since ... I was the victim of the road my file was classified, they told me six months later. Even though I called it very regularly")</f>
        <v>Do not subscribe to them ... I have been in depression since ... I was the victim of the road my file was classified, they told me six months later. Even though I called it very regularly</v>
      </c>
    </row>
    <row r="532" ht="15.75" customHeight="1">
      <c r="A532" s="2">
        <v>4.0</v>
      </c>
      <c r="B532" s="2" t="s">
        <v>1572</v>
      </c>
      <c r="C532" s="2" t="s">
        <v>1573</v>
      </c>
      <c r="D532" s="2" t="s">
        <v>36</v>
      </c>
      <c r="E532" s="2" t="s">
        <v>14</v>
      </c>
      <c r="F532" s="2" t="s">
        <v>15</v>
      </c>
      <c r="G532" s="2" t="s">
        <v>1574</v>
      </c>
      <c r="H532" s="2" t="s">
        <v>33</v>
      </c>
      <c r="I532" s="2" t="str">
        <f>IFERROR(__xludf.DUMMYFUNCTION("GOOGLETRANSLATE(C532,""fr"",""en"")"),"I thought I will save much more, the ad says on average 250 euros I know it is an average nevertheless I thought I was in the high range.")</f>
        <v>I thought I will save much more, the ad says on average 250 euros I know it is an average nevertheless I thought I was in the high range.</v>
      </c>
    </row>
    <row r="533" ht="15.75" customHeight="1">
      <c r="A533" s="2">
        <v>4.0</v>
      </c>
      <c r="B533" s="2" t="s">
        <v>1575</v>
      </c>
      <c r="C533" s="2" t="s">
        <v>1576</v>
      </c>
      <c r="D533" s="2" t="s">
        <v>36</v>
      </c>
      <c r="E533" s="2" t="s">
        <v>14</v>
      </c>
      <c r="F533" s="2" t="s">
        <v>15</v>
      </c>
      <c r="G533" s="2" t="s">
        <v>249</v>
      </c>
      <c r="H533" s="2" t="s">
        <v>43</v>
      </c>
      <c r="I533" s="2" t="str">
        <f>IFERROR(__xludf.DUMMYFUNCTION("GOOGLETRANSLATE(C533,""fr"",""en"")"),"I am satisfied with the service. Direct insurance.rapide, effective. I recommend direct insurance to all people who have no time to waste in agency! ????")</f>
        <v>I am satisfied with the service. Direct insurance.rapide, effective. I recommend direct insurance to all people who have no time to waste in agency! ????</v>
      </c>
    </row>
    <row r="534" ht="15.75" customHeight="1">
      <c r="A534" s="2">
        <v>5.0</v>
      </c>
      <c r="B534" s="2" t="s">
        <v>1577</v>
      </c>
      <c r="C534" s="2" t="s">
        <v>1578</v>
      </c>
      <c r="D534" s="2" t="s">
        <v>13</v>
      </c>
      <c r="E534" s="2" t="s">
        <v>14</v>
      </c>
      <c r="F534" s="2" t="s">
        <v>15</v>
      </c>
      <c r="G534" s="2" t="s">
        <v>1579</v>
      </c>
      <c r="H534" s="2" t="s">
        <v>145</v>
      </c>
      <c r="I534" s="2" t="str">
        <f>IFERROR(__xludf.DUMMYFUNCTION("GOOGLETRANSLATE(C534,""fr"",""en"")"),"Super customer service and ultra fast, value for money at the top.
Super happy to have known it is online insurance it really changes everything and without headache.")</f>
        <v>Super customer service and ultra fast, value for money at the top.
Super happy to have known it is online insurance it really changes everything and without headache.</v>
      </c>
    </row>
    <row r="535" ht="15.75" customHeight="1">
      <c r="A535" s="2">
        <v>4.0</v>
      </c>
      <c r="B535" s="2" t="s">
        <v>1580</v>
      </c>
      <c r="C535" s="2" t="s">
        <v>1581</v>
      </c>
      <c r="D535" s="2" t="s">
        <v>36</v>
      </c>
      <c r="E535" s="2" t="s">
        <v>14</v>
      </c>
      <c r="F535" s="2" t="s">
        <v>15</v>
      </c>
      <c r="G535" s="2" t="s">
        <v>377</v>
      </c>
      <c r="H535" s="2" t="s">
        <v>85</v>
      </c>
      <c r="I535" s="2" t="str">
        <f>IFERROR(__xludf.DUMMYFUNCTION("GOOGLETRANSLATE(C535,""fr"",""en"")"),"Fast insurance and top quality ratio!
On the other hand zero on certain extent as having to fight to have a loss break number in order to go to a garage of our choice ...")</f>
        <v>Fast insurance and top quality ratio!
On the other hand zero on certain extent as having to fight to have a loss break number in order to go to a garage of our choice ...</v>
      </c>
    </row>
    <row r="536" ht="15.75" customHeight="1">
      <c r="A536" s="2">
        <v>1.0</v>
      </c>
      <c r="B536" s="2" t="s">
        <v>1582</v>
      </c>
      <c r="C536" s="2" t="s">
        <v>1583</v>
      </c>
      <c r="D536" s="2" t="s">
        <v>93</v>
      </c>
      <c r="E536" s="2" t="s">
        <v>14</v>
      </c>
      <c r="F536" s="2" t="s">
        <v>15</v>
      </c>
      <c r="G536" s="2" t="s">
        <v>1584</v>
      </c>
      <c r="H536" s="2" t="s">
        <v>487</v>
      </c>
      <c r="I536" s="2" t="str">
        <f>IFERROR(__xludf.DUMMYFUNCTION("GOOGLETRANSLATE(C536,""fr"",""en"")"),"3 weeks since my claim and no reminder or response to the email from this insurer. Impossible to speak with someone. Commercial agencies are only there to sign a commercial contract to you. Scandal")</f>
        <v>3 weeks since my claim and no reminder or response to the email from this insurer. Impossible to speak with someone. Commercial agencies are only there to sign a commercial contract to you. Scandal</v>
      </c>
    </row>
    <row r="537" ht="15.75" customHeight="1">
      <c r="A537" s="2">
        <v>5.0</v>
      </c>
      <c r="B537" s="2" t="s">
        <v>1585</v>
      </c>
      <c r="C537" s="2" t="s">
        <v>1586</v>
      </c>
      <c r="D537" s="2" t="s">
        <v>36</v>
      </c>
      <c r="E537" s="2" t="s">
        <v>14</v>
      </c>
      <c r="F537" s="2" t="s">
        <v>15</v>
      </c>
      <c r="G537" s="2" t="s">
        <v>458</v>
      </c>
      <c r="H537" s="2" t="s">
        <v>33</v>
      </c>
      <c r="I537" s="2" t="str">
        <f>IFERROR(__xludf.DUMMYFUNCTION("GOOGLETRANSLATE(C537,""fr"",""en"")"),"Very warm telephone. Prices, ease of subscription. Broad choice of possible options that make a full insurance contract at the best price")</f>
        <v>Very warm telephone. Prices, ease of subscription. Broad choice of possible options that make a full insurance contract at the best price</v>
      </c>
    </row>
    <row r="538" ht="15.75" customHeight="1">
      <c r="A538" s="2">
        <v>5.0</v>
      </c>
      <c r="B538" s="2" t="s">
        <v>1587</v>
      </c>
      <c r="C538" s="2" t="s">
        <v>1588</v>
      </c>
      <c r="D538" s="2" t="s">
        <v>36</v>
      </c>
      <c r="E538" s="2" t="s">
        <v>14</v>
      </c>
      <c r="F538" s="2" t="s">
        <v>15</v>
      </c>
      <c r="G538" s="2" t="s">
        <v>1589</v>
      </c>
      <c r="H538" s="2" t="s">
        <v>43</v>
      </c>
      <c r="I538" s="2" t="str">
        <f>IFERROR(__xludf.DUMMYFUNCTION("GOOGLETRANSLATE(C538,""fr"",""en"")"),"Nickel no worries to subscribe online I recommend
Cheap and good guarantees. Attractive price, top guarantees.
Thank you and good luck")</f>
        <v>Nickel no worries to subscribe online I recommend
Cheap and good guarantees. Attractive price, top guarantees.
Thank you and good luck</v>
      </c>
    </row>
    <row r="539" ht="15.75" customHeight="1">
      <c r="A539" s="2">
        <v>5.0</v>
      </c>
      <c r="B539" s="2" t="s">
        <v>1590</v>
      </c>
      <c r="C539" s="2" t="s">
        <v>1591</v>
      </c>
      <c r="D539" s="2" t="s">
        <v>13</v>
      </c>
      <c r="E539" s="2" t="s">
        <v>14</v>
      </c>
      <c r="F539" s="2" t="s">
        <v>15</v>
      </c>
      <c r="G539" s="2" t="s">
        <v>1592</v>
      </c>
      <c r="H539" s="2" t="s">
        <v>320</v>
      </c>
      <c r="I539" s="2" t="str">
        <f>IFERROR(__xludf.DUMMYFUNCTION("GOOGLETRANSLATE(C539,""fr"",""en"")"),"Nothing to say. Fast, helpful, listening. I highly recommend.
Always available.
I am really not disappointed to have changed insurer!
")</f>
        <v>Nothing to say. Fast, helpful, listening. I highly recommend.
Always available.
I am really not disappointed to have changed insurer!
</v>
      </c>
    </row>
    <row r="540" ht="15.75" customHeight="1">
      <c r="A540" s="2">
        <v>2.0</v>
      </c>
      <c r="B540" s="2" t="s">
        <v>1593</v>
      </c>
      <c r="C540" s="2" t="s">
        <v>1594</v>
      </c>
      <c r="D540" s="2" t="s">
        <v>36</v>
      </c>
      <c r="E540" s="2" t="s">
        <v>14</v>
      </c>
      <c r="F540" s="2" t="s">
        <v>15</v>
      </c>
      <c r="G540" s="2" t="s">
        <v>1595</v>
      </c>
      <c r="H540" s="2" t="s">
        <v>85</v>
      </c>
      <c r="I540" s="2" t="str">
        <f>IFERROR(__xludf.DUMMYFUNCTION("GOOGLETRANSLATE(C540,""fr"",""en"")"),"Too bad, the prices more than competitive in the past, have very seriously increased with a difference of £ 1,000 in comparisons with other insurance for exactly the same guarantees. On the other hand despite the seniority and loyalty to this insurance, t"&amp;"he prices increases every year and no commercial gesture.")</f>
        <v>Too bad, the prices more than competitive in the past, have very seriously increased with a difference of £ 1,000 in comparisons with other insurance for exactly the same guarantees. On the other hand despite the seniority and loyalty to this insurance, the prices increases every year and no commercial gesture.</v>
      </c>
    </row>
    <row r="541" ht="15.75" customHeight="1">
      <c r="A541" s="2">
        <v>1.0</v>
      </c>
      <c r="B541" s="2" t="s">
        <v>1596</v>
      </c>
      <c r="C541" s="2" t="s">
        <v>1597</v>
      </c>
      <c r="D541" s="2" t="s">
        <v>13</v>
      </c>
      <c r="E541" s="2" t="s">
        <v>14</v>
      </c>
      <c r="F541" s="2" t="s">
        <v>15</v>
      </c>
      <c r="G541" s="2" t="s">
        <v>1598</v>
      </c>
      <c r="H541" s="2" t="s">
        <v>998</v>
      </c>
      <c r="I541" s="2" t="str">
        <f>IFERROR(__xludf.DUMMYFUNCTION("GOOGLETRANSLATE(C541,""fr"",""en"")"),"I have been at home for 5 years, without ever having had an accident. I changed my vehicle and I can't have an operator capable of making me an amendment ... Unpleasant staff and incompetent operators who hang up on the nose ... An online contract is good"&amp;", still you have to have operators concerned ... A advice ... Follow this insurer. I am Belgian ... and well imagine that she does not understand the Belgian, I speak without accent, a good Frenchman of a bac+5, but the fact of being Belgian obviously is "&amp;"enough to speak to the Belgian. .LANGUG which only exists in the sketches of some ... Brel, Raymond Devos ... are Belgian.")</f>
        <v>I have been at home for 5 years, without ever having had an accident. I changed my vehicle and I can't have an operator capable of making me an amendment ... Unpleasant staff and incompetent operators who hang up on the nose ... An online contract is good, still you have to have operators concerned ... A advice ... Follow this insurer. I am Belgian ... and well imagine that she does not understand the Belgian, I speak without accent, a good Frenchman of a bac+5, but the fact of being Belgian obviously is enough to speak to the Belgian. .LANGUG which only exists in the sketches of some ... Brel, Raymond Devos ... are Belgian.</v>
      </c>
    </row>
    <row r="542" ht="15.75" customHeight="1">
      <c r="A542" s="2">
        <v>1.0</v>
      </c>
      <c r="B542" s="2" t="s">
        <v>1599</v>
      </c>
      <c r="C542" s="2" t="s">
        <v>1600</v>
      </c>
      <c r="D542" s="2" t="s">
        <v>414</v>
      </c>
      <c r="E542" s="2" t="s">
        <v>14</v>
      </c>
      <c r="F542" s="2" t="s">
        <v>15</v>
      </c>
      <c r="G542" s="2" t="s">
        <v>1601</v>
      </c>
      <c r="H542" s="2" t="s">
        <v>95</v>
      </c>
      <c r="I542" s="2" t="str">
        <f>IFERROR(__xludf.DUMMYFUNCTION("GOOGLETRANSLATE(C542,""fr"",""en"")"),"Member for over 30 years, I left Maif in early 2020 following an accumulation of dissatisfaction. Auto and home insurance has increased considerably over the years and guarantees have decreased considerably. The drop of water that made the vase overwhelme"&amp;"d is when I suffered a ""lightning"" damage for which I was insured, and nothing was reimbursed to me, nothing nothing !!! Because ""obsolete material"", my TV and my pc and my washing machine nevertheless worked well, but not new enough to be reimbursed."&amp;" The other Summun was reached when the MAIF sent ""Habitat insurance"" ads explaining that it changed your faulty household appliances (washing machine for example) by a new one thanks to this assurance surely expensive I did not look ... Mutual values? r"&amp;"espect ? Ecology? No finally I leave the maif, I have more guarantees elsewhere for the same amount.
Years ago, following a burglary I was well compensated by the MAIF, even for an old TV, a hifi chain, CDs, clothes ... and a value camera but which dates"&amp;" .. ..
The values ​​of mutual aid are lost, now you have to make numbers and bring money, that's all.")</f>
        <v>Member for over 30 years, I left Maif in early 2020 following an accumulation of dissatisfaction. Auto and home insurance has increased considerably over the years and guarantees have decreased considerably. The drop of water that made the vase overwhelmed is when I suffered a "lightning" damage for which I was insured, and nothing was reimbursed to me, nothing nothing !!! Because "obsolete material", my TV and my pc and my washing machine nevertheless worked well, but not new enough to be reimbursed. The other Summun was reached when the MAIF sent "Habitat insurance" ads explaining that it changed your faulty household appliances (washing machine for example) by a new one thanks to this assurance surely expensive I did not look ... Mutual values? respect ? Ecology? No finally I leave the maif, I have more guarantees elsewhere for the same amount.
Years ago, following a burglary I was well compensated by the MAIF, even for an old TV, a hifi chain, CDs, clothes ... and a value camera but which dates .. ..
The values ​​of mutual aid are lost, now you have to make numbers and bring money, that's all.</v>
      </c>
    </row>
    <row r="543" ht="15.75" customHeight="1">
      <c r="A543" s="2">
        <v>5.0</v>
      </c>
      <c r="B543" s="2" t="s">
        <v>1602</v>
      </c>
      <c r="C543" s="2" t="s">
        <v>1603</v>
      </c>
      <c r="D543" s="2" t="s">
        <v>36</v>
      </c>
      <c r="E543" s="2" t="s">
        <v>14</v>
      </c>
      <c r="F543" s="2" t="s">
        <v>15</v>
      </c>
      <c r="G543" s="2" t="s">
        <v>814</v>
      </c>
      <c r="H543" s="2" t="s">
        <v>171</v>
      </c>
      <c r="I543" s="2" t="str">
        <f>IFERROR(__xludf.DUMMYFUNCTION("GOOGLETRANSLATE(C543,""fr"",""en"")"),"I am rather satisfied with the pricing conditions.
Also satisfied with the telephone advisor, as well as the speed to take out a new car contract.")</f>
        <v>I am rather satisfied with the pricing conditions.
Also satisfied with the telephone advisor, as well as the speed to take out a new car contract.</v>
      </c>
    </row>
    <row r="544" ht="15.75" customHeight="1">
      <c r="A544" s="2">
        <v>5.0</v>
      </c>
      <c r="B544" s="2" t="s">
        <v>1604</v>
      </c>
      <c r="C544" s="2" t="s">
        <v>1605</v>
      </c>
      <c r="D544" s="2" t="s">
        <v>76</v>
      </c>
      <c r="E544" s="2" t="s">
        <v>51</v>
      </c>
      <c r="F544" s="2" t="s">
        <v>15</v>
      </c>
      <c r="G544" s="2" t="s">
        <v>1606</v>
      </c>
      <c r="H544" s="2" t="s">
        <v>27</v>
      </c>
      <c r="I544" s="2" t="str">
        <f>IFERROR(__xludf.DUMMYFUNCTION("GOOGLETRANSLATE(C544,""fr"",""en"")"),"I am very satisfied with A.M.V These a very good insurance company thank you again I start you back to colleagues because you have very good prices")</f>
        <v>I am very satisfied with A.M.V These a very good insurance company thank you again I start you back to colleagues because you have very good prices</v>
      </c>
    </row>
    <row r="545" ht="15.75" customHeight="1">
      <c r="A545" s="2">
        <v>5.0</v>
      </c>
      <c r="B545" s="2" t="s">
        <v>1607</v>
      </c>
      <c r="C545" s="2" t="s">
        <v>1608</v>
      </c>
      <c r="D545" s="2" t="s">
        <v>13</v>
      </c>
      <c r="E545" s="2" t="s">
        <v>14</v>
      </c>
      <c r="F545" s="2" t="s">
        <v>15</v>
      </c>
      <c r="G545" s="2" t="s">
        <v>1609</v>
      </c>
      <c r="H545" s="2" t="s">
        <v>998</v>
      </c>
      <c r="I545" s="2" t="str">
        <f>IFERROR(__xludf.DUMMYFUNCTION("GOOGLETRANSLATE(C545,""fr"",""en"")"),"I have subscribed to the Olivier Assurance for its attractive prices and the guarantees offered at a very good price. Until I am completely delighted, the implementation of my file was done without problem!")</f>
        <v>I have subscribed to the Olivier Assurance for its attractive prices and the guarantees offered at a very good price. Until I am completely delighted, the implementation of my file was done without problem!</v>
      </c>
    </row>
    <row r="546" ht="15.75" customHeight="1">
      <c r="A546" s="2">
        <v>4.0</v>
      </c>
      <c r="B546" s="2" t="s">
        <v>1610</v>
      </c>
      <c r="C546" s="2" t="s">
        <v>1611</v>
      </c>
      <c r="D546" s="2" t="s">
        <v>13</v>
      </c>
      <c r="E546" s="2" t="s">
        <v>14</v>
      </c>
      <c r="F546" s="2" t="s">
        <v>15</v>
      </c>
      <c r="G546" s="2" t="s">
        <v>1612</v>
      </c>
      <c r="H546" s="2" t="s">
        <v>230</v>
      </c>
      <c r="I546" s="2" t="str">
        <f>IFERROR(__xludf.DUMMYFUNCTION("GOOGLETRANSLATE(C546,""fr"",""en"")"),"We were delighted by the telephone reception and this on several occasions.
The explanations given were clear.
The procedure to finalize not too complicated.")</f>
        <v>We were delighted by the telephone reception and this on several occasions.
The explanations given were clear.
The procedure to finalize not too complicated.</v>
      </c>
    </row>
    <row r="547" ht="15.75" customHeight="1">
      <c r="A547" s="2">
        <v>1.0</v>
      </c>
      <c r="B547" s="2" t="s">
        <v>1613</v>
      </c>
      <c r="C547" s="2" t="s">
        <v>1614</v>
      </c>
      <c r="D547" s="2" t="s">
        <v>264</v>
      </c>
      <c r="E547" s="2" t="s">
        <v>31</v>
      </c>
      <c r="F547" s="2" t="s">
        <v>15</v>
      </c>
      <c r="G547" s="2" t="s">
        <v>1615</v>
      </c>
      <c r="H547" s="2" t="s">
        <v>27</v>
      </c>
      <c r="I547" s="2" t="str">
        <f>IFERROR(__xludf.DUMMYFUNCTION("GOOGLETRANSLATE(C547,""fr"",""en"")"),"Too much of this mutual
They understand nothing and I would like to leave their home but I have been there since July
THEY ARE BAD!!!!!!!!!!!!
For 2 months I have been waiting for a refund and when I have never been told the same thing
I will take a l"&amp;"awyer because I do not intend to stay 1 year
")</f>
        <v>Too much of this mutual
They understand nothing and I would like to leave their home but I have been there since July
THEY ARE BAD!!!!!!!!!!!!
For 2 months I have been waiting for a refund and when I have never been told the same thing
I will take a lawyer because I do not intend to stay 1 year
</v>
      </c>
    </row>
    <row r="548" ht="15.75" customHeight="1">
      <c r="A548" s="2">
        <v>5.0</v>
      </c>
      <c r="B548" s="2" t="s">
        <v>1616</v>
      </c>
      <c r="C548" s="2" t="s">
        <v>1617</v>
      </c>
      <c r="D548" s="2" t="s">
        <v>50</v>
      </c>
      <c r="E548" s="2" t="s">
        <v>51</v>
      </c>
      <c r="F548" s="2" t="s">
        <v>15</v>
      </c>
      <c r="G548" s="2" t="s">
        <v>1618</v>
      </c>
      <c r="H548" s="2" t="s">
        <v>27</v>
      </c>
      <c r="I548" s="2" t="str">
        <f>IFERROR(__xludf.DUMMYFUNCTION("GOOGLETRANSLATE(C548,""fr"",""en"")"),"Very fast service with a really simple subscription.
Getting started with the really fast site.
Positive point: we do not receive any useless advertising call.
Thanks.")</f>
        <v>Very fast service with a really simple subscription.
Getting started with the really fast site.
Positive point: we do not receive any useless advertising call.
Thanks.</v>
      </c>
    </row>
    <row r="549" ht="15.75" customHeight="1">
      <c r="A549" s="2">
        <v>4.0</v>
      </c>
      <c r="B549" s="2" t="s">
        <v>1619</v>
      </c>
      <c r="C549" s="2" t="s">
        <v>1620</v>
      </c>
      <c r="D549" s="2" t="s">
        <v>36</v>
      </c>
      <c r="E549" s="2" t="s">
        <v>14</v>
      </c>
      <c r="F549" s="2" t="s">
        <v>15</v>
      </c>
      <c r="G549" s="2" t="s">
        <v>965</v>
      </c>
      <c r="H549" s="2" t="s">
        <v>85</v>
      </c>
      <c r="I549" s="2" t="str">
        <f>IFERROR(__xludf.DUMMYFUNCTION("GOOGLETRANSLATE(C549,""fr"",""en"")"),"The prices are ok. Since my subscription of 4 contracts I receive every 2 morning emails to claim the supporting documents which must be given for early July (LE7 exactly). I think it's a bit excessive
I await the sponsorships. I did not have confirmatio"&amp;"n of it would only be once per mail return.
It looks like you no longer need supporting documents than giving sponsorships .....")</f>
        <v>The prices are ok. Since my subscription of 4 contracts I receive every 2 morning emails to claim the supporting documents which must be given for early July (LE7 exactly). I think it's a bit excessive
I await the sponsorships. I did not have confirmation of it would only be once per mail return.
It looks like you no longer need supporting documents than giving sponsorships .....</v>
      </c>
    </row>
    <row r="550" ht="15.75" customHeight="1">
      <c r="A550" s="2">
        <v>2.0</v>
      </c>
      <c r="B550" s="2" t="s">
        <v>1621</v>
      </c>
      <c r="C550" s="2" t="s">
        <v>1622</v>
      </c>
      <c r="D550" s="2" t="s">
        <v>430</v>
      </c>
      <c r="E550" s="2" t="s">
        <v>37</v>
      </c>
      <c r="F550" s="2" t="s">
        <v>15</v>
      </c>
      <c r="G550" s="2" t="s">
        <v>177</v>
      </c>
      <c r="H550" s="2" t="s">
        <v>178</v>
      </c>
      <c r="I550" s="2" t="str">
        <f>IFERROR(__xludf.DUMMYFUNCTION("GOOGLETRANSLATE(C550,""fr"",""en"")"),"Hello,
Following a burglary my insurer ""the Macif"" for the lack of invoices does not reimburse anything. Knowing that my cash receipts were mostly published on sensitive thermo paper that fades over time, it is a great opportunity not to reimburse an"&amp;"ything.
With this observation, the Macif nevertheless associates its image with that of a skipper Charlie Dalin, at the start of the Vendée Globe 2020 by not hesitating to engulf considerable sums in institutional advertising, to the detriment of its mem"&amp;"bers ... Disposed advertising From a mutual to the service of his own image!
")</f>
        <v>Hello,
Following a burglary my insurer "the Macif" for the lack of invoices does not reimburse anything. Knowing that my cash receipts were mostly published on sensitive thermo paper that fades over time, it is a great opportunity not to reimburse anything.
With this observation, the Macif nevertheless associates its image with that of a skipper Charlie Dalin, at the start of the Vendée Globe 2020 by not hesitating to engulf considerable sums in institutional advertising, to the detriment of its members ... Disposed advertising From a mutual to the service of his own image!
</v>
      </c>
    </row>
    <row r="551" ht="15.75" customHeight="1">
      <c r="A551" s="2">
        <v>3.0</v>
      </c>
      <c r="B551" s="2" t="s">
        <v>1623</v>
      </c>
      <c r="C551" s="2" t="s">
        <v>1624</v>
      </c>
      <c r="D551" s="2" t="s">
        <v>36</v>
      </c>
      <c r="E551" s="2" t="s">
        <v>14</v>
      </c>
      <c r="F551" s="2" t="s">
        <v>15</v>
      </c>
      <c r="G551" s="2" t="s">
        <v>77</v>
      </c>
      <c r="H551" s="2" t="s">
        <v>27</v>
      </c>
      <c r="I551" s="2" t="str">
        <f>IFERROR(__xludf.DUMMYFUNCTION("GOOGLETRANSLATE(C551,""fr"",""en"")"),"Thanks to Direct Assurance for your confidence.
Regarding the value for money, Direct Insurance is for me one of the best insurance on the market.")</f>
        <v>Thanks to Direct Assurance for your confidence.
Regarding the value for money, Direct Insurance is for me one of the best insurance on the market.</v>
      </c>
    </row>
    <row r="552" ht="15.75" customHeight="1">
      <c r="A552" s="2">
        <v>1.0</v>
      </c>
      <c r="B552" s="2" t="s">
        <v>1625</v>
      </c>
      <c r="C552" s="2" t="s">
        <v>1626</v>
      </c>
      <c r="D552" s="2" t="s">
        <v>430</v>
      </c>
      <c r="E552" s="2" t="s">
        <v>37</v>
      </c>
      <c r="F552" s="2" t="s">
        <v>15</v>
      </c>
      <c r="G552" s="2" t="s">
        <v>1627</v>
      </c>
      <c r="H552" s="2" t="s">
        <v>297</v>
      </c>
      <c r="I552" s="2" t="str">
        <f>IFERROR(__xludf.DUMMYFUNCTION("GOOGLETRANSLATE(C552,""fr"",""en"")"),"Insurance to flee - Customers for 40 years in Macif with a dozen contracts, we were victims of a large water damage and were not covered despite that we are insured for this risk.")</f>
        <v>Insurance to flee - Customers for 40 years in Macif with a dozen contracts, we were victims of a large water damage and were not covered despite that we are insured for this risk.</v>
      </c>
    </row>
    <row r="553" ht="15.75" customHeight="1">
      <c r="A553" s="2">
        <v>4.0</v>
      </c>
      <c r="B553" s="2" t="s">
        <v>1628</v>
      </c>
      <c r="C553" s="2" t="s">
        <v>1629</v>
      </c>
      <c r="D553" s="2" t="s">
        <v>13</v>
      </c>
      <c r="E553" s="2" t="s">
        <v>14</v>
      </c>
      <c r="F553" s="2" t="s">
        <v>15</v>
      </c>
      <c r="G553" s="2" t="s">
        <v>814</v>
      </c>
      <c r="H553" s="2" t="s">
        <v>171</v>
      </c>
      <c r="I553" s="2" t="str">
        <f>IFERROR(__xludf.DUMMYFUNCTION("GOOGLETRANSLATE(C553,""fr"",""en"")"),"Unable to subscribe to internet insurance, ""a problem has occurred"": terribly frustrating. At the end of the 15th quote, I ended up calling: the problem was solved in a phone call, 20min top time! Nickel.")</f>
        <v>Unable to subscribe to internet insurance, "a problem has occurred": terribly frustrating. At the end of the 15th quote, I ended up calling: the problem was solved in a phone call, 20min top time! Nickel.</v>
      </c>
    </row>
    <row r="554" ht="15.75" customHeight="1">
      <c r="A554" s="2">
        <v>1.0</v>
      </c>
      <c r="B554" s="2" t="s">
        <v>1630</v>
      </c>
      <c r="C554" s="2" t="s">
        <v>1631</v>
      </c>
      <c r="D554" s="2" t="s">
        <v>576</v>
      </c>
      <c r="E554" s="2" t="s">
        <v>14</v>
      </c>
      <c r="F554" s="2" t="s">
        <v>15</v>
      </c>
      <c r="G554" s="2" t="s">
        <v>1632</v>
      </c>
      <c r="H554" s="2" t="s">
        <v>184</v>
      </c>
      <c r="I554" s="2" t="str">
        <f>IFERROR(__xludf.DUMMYFUNCTION("GOOGLETRANSLATE(C554,""fr"",""en"")"),"It is true that she is drunk the community manager, it's been a while since I read customer reviews on Eurofil because I want to change my ass car, and I admit to being cooled after reading everything I read . So certainly they are cheaper but it would se"&amp;"em that it is at the expense of reception, follow -up, services and so on. But the most heartbreaking is the responses of the community manager who always answer the same thing and the same blah, these are only ""standard"" answers that they send to each "&amp;"message !! Long live mediocrity")</f>
        <v>It is true that she is drunk the community manager, it's been a while since I read customer reviews on Eurofil because I want to change my ass car, and I admit to being cooled after reading everything I read . So certainly they are cheaper but it would seem that it is at the expense of reception, follow -up, services and so on. But the most heartbreaking is the responses of the community manager who always answer the same thing and the same blah, these are only "standard" answers that they send to each message !! Long live mediocrity</v>
      </c>
    </row>
    <row r="555" ht="15.75" customHeight="1">
      <c r="A555" s="2">
        <v>1.0</v>
      </c>
      <c r="B555" s="2" t="s">
        <v>1633</v>
      </c>
      <c r="C555" s="2" t="s">
        <v>1634</v>
      </c>
      <c r="D555" s="2" t="s">
        <v>826</v>
      </c>
      <c r="E555" s="2" t="s">
        <v>37</v>
      </c>
      <c r="F555" s="2" t="s">
        <v>15</v>
      </c>
      <c r="G555" s="2" t="s">
        <v>1420</v>
      </c>
      <c r="H555" s="2" t="s">
        <v>487</v>
      </c>
      <c r="I555" s="2" t="str">
        <f>IFERROR(__xludf.DUMMYFUNCTION("GOOGLETRANSLATE(C555,""fr"",""en"")"),"Claim processing time: higher than 1 year
Number of customer advisor: 1 for all of France.
After sending my file to ""the expert"" he tells me to see with Sogessur and they claims to have received nothing. Strip absolutely unless you have time and money"&amp;" to lose")</f>
        <v>Claim processing time: higher than 1 year
Number of customer advisor: 1 for all of France.
After sending my file to "the expert" he tells me to see with Sogessur and they claims to have received nothing. Strip absolutely unless you have time and money to lose</v>
      </c>
    </row>
    <row r="556" ht="15.75" customHeight="1">
      <c r="A556" s="2">
        <v>3.0</v>
      </c>
      <c r="B556" s="2" t="s">
        <v>1635</v>
      </c>
      <c r="C556" s="2" t="s">
        <v>1636</v>
      </c>
      <c r="D556" s="2" t="s">
        <v>125</v>
      </c>
      <c r="E556" s="2" t="s">
        <v>37</v>
      </c>
      <c r="F556" s="2" t="s">
        <v>15</v>
      </c>
      <c r="G556" s="2" t="s">
        <v>1637</v>
      </c>
      <c r="H556" s="2" t="s">
        <v>313</v>
      </c>
      <c r="I556" s="2" t="str">
        <f>IFERROR(__xludf.DUMMYFUNCTION("GOOGLETRANSLATE(C556,""fr"",""en"")"),"I wait every day to be taken care of for a GMF disaster with the Macif he rejects the ball, I fed up especially since it is for the management of an oven door.")</f>
        <v>I wait every day to be taken care of for a GMF disaster with the Macif he rejects the ball, I fed up especially since it is for the management of an oven door.</v>
      </c>
    </row>
    <row r="557" ht="15.75" customHeight="1">
      <c r="A557" s="2">
        <v>1.0</v>
      </c>
      <c r="B557" s="2" t="s">
        <v>1638</v>
      </c>
      <c r="C557" s="2" t="s">
        <v>1639</v>
      </c>
      <c r="D557" s="2" t="s">
        <v>55</v>
      </c>
      <c r="E557" s="2" t="s">
        <v>14</v>
      </c>
      <c r="F557" s="2" t="s">
        <v>15</v>
      </c>
      <c r="G557" s="2" t="s">
        <v>1640</v>
      </c>
      <c r="H557" s="2" t="s">
        <v>320</v>
      </c>
      <c r="I557" s="2" t="str">
        <f>IFERROR(__xludf.DUMMYFUNCTION("GOOGLETRANSLATE(C557,""fr"",""en"")"),"Very bad, works with an expert cabinet in wick with them, does not reimburse with absolutely aberrant diagnoses, I will take 1 lawyer and terminate my 3 contracts at home ....")</f>
        <v>Very bad, works with an expert cabinet in wick with them, does not reimburse with absolutely aberrant diagnoses, I will take 1 lawyer and terminate my 3 contracts at home ....</v>
      </c>
    </row>
    <row r="558" ht="15.75" customHeight="1">
      <c r="A558" s="2">
        <v>1.0</v>
      </c>
      <c r="B558" s="2" t="s">
        <v>1641</v>
      </c>
      <c r="C558" s="2" t="s">
        <v>1642</v>
      </c>
      <c r="D558" s="2" t="s">
        <v>304</v>
      </c>
      <c r="E558" s="2" t="s">
        <v>21</v>
      </c>
      <c r="F558" s="2" t="s">
        <v>15</v>
      </c>
      <c r="G558" s="2" t="s">
        <v>1643</v>
      </c>
      <c r="H558" s="2" t="s">
        <v>81</v>
      </c>
      <c r="I558" s="2" t="str">
        <f>IFERROR(__xludf.DUMMYFUNCTION("GOOGLETRANSLATE(C558,""fr"",""en"")"),"I did not receive the two annual statements on December 31, 2019 from my two life insurance contracts at my mail address in Spain. The previous years I had received them without problem at the latest early March")</f>
        <v>I did not receive the two annual statements on December 31, 2019 from my two life insurance contracts at my mail address in Spain. The previous years I had received them without problem at the latest early March</v>
      </c>
    </row>
    <row r="559" ht="15.75" customHeight="1">
      <c r="A559" s="2">
        <v>2.0</v>
      </c>
      <c r="B559" s="2" t="s">
        <v>1644</v>
      </c>
      <c r="C559" s="2" t="s">
        <v>1645</v>
      </c>
      <c r="D559" s="2" t="s">
        <v>80</v>
      </c>
      <c r="E559" s="2" t="s">
        <v>37</v>
      </c>
      <c r="F559" s="2" t="s">
        <v>15</v>
      </c>
      <c r="G559" s="2" t="s">
        <v>1646</v>
      </c>
      <c r="H559" s="2" t="s">
        <v>167</v>
      </c>
      <c r="I559" s="2" t="str">
        <f>IFERROR(__xludf.DUMMYFUNCTION("GOOGLETRANSLATE(C559,""fr"",""en"")"),"The MAAF remains good time insurance that you do not need them, it is enough to have 2 claims housing in 3 years it saw you as a offender, despite several other contracts as well as financial investments
")</f>
        <v>The MAAF remains good time insurance that you do not need them, it is enough to have 2 claims housing in 3 years it saw you as a offender, despite several other contracts as well as financial investments
</v>
      </c>
    </row>
    <row r="560" ht="15.75" customHeight="1">
      <c r="A560" s="2">
        <v>2.0</v>
      </c>
      <c r="B560" s="2" t="s">
        <v>1647</v>
      </c>
      <c r="C560" s="2" t="s">
        <v>1648</v>
      </c>
      <c r="D560" s="2" t="s">
        <v>125</v>
      </c>
      <c r="E560" s="2" t="s">
        <v>37</v>
      </c>
      <c r="F560" s="2" t="s">
        <v>15</v>
      </c>
      <c r="G560" s="2" t="s">
        <v>1649</v>
      </c>
      <c r="H560" s="2" t="s">
        <v>591</v>
      </c>
      <c r="I560" s="2" t="str">
        <f>IFERROR(__xludf.DUMMYFUNCTION("GOOGLETRANSLATE(C560,""fr"",""en"")"),"The slogan of the G.M.F: ""The GMF service, the efficiency for your tranquility"" ... Defense of laughter!
For 35 years, I paid my insurance subscription to this GMF which currently seems in a suicidal phase, to read the many comments on the Internet.
M"&amp;"y odyssey begins with a banal water leak at my neighbor's neighbor in early December 2016.
Very boring damage on my ceiling and my walls.
My neighbor, makes a statement to his insurer, the MA ... F, which solves the problem quickly.
I make a statement,"&amp;" with the blind confidence of the GMF neophyte.
On December 26, 2016, seeing nothing coming, I move to the GMF agency.
The employee who receives me tells me that it is ""Rennes"" who takes care of it and that ""Rennes"" will contact me at the right time"&amp;", then disinterested in my case.
I understood that at the GMF agency, nobody had nothing to ""fuck"" my disaster.
The next day, I wrote to Thierry Derez, president of the GMF to complain about the facts and tell him that it was not good to do that to me"&amp;".
To date, I’m still waiting for an answer from him.
I think he either, he has nothing to ""fuck"" my disaster. He surely has something else to do.
To date, almost 2 months after my statement, nothing, but nothing, has been settled.
Me, I'm waiting .."&amp;". They will wait a long time my next contribution because I will quickly stretch their GMF.
I am still lucky: my accommodation is not under the waters and with my family, we are not in a boat, pending the life buoy that our brave insurer would launch us "&amp;"with its slogan: ""The GMF , efficiency for your tranquility ”.
Of course, I'm going to go and make sure elsewhere. Why not, at M… .F as my neighbor?
And I who wanted to entrust the GMF with the management of my life insurance plan: I was hot for my mon"&amp;"ey!
")</f>
        <v>The slogan of the G.M.F: "The GMF service, the efficiency for your tranquility" ... Defense of laughter!
For 35 years, I paid my insurance subscription to this GMF which currently seems in a suicidal phase, to read the many comments on the Internet.
My odyssey begins with a banal water leak at my neighbor's neighbor in early December 2016.
Very boring damage on my ceiling and my walls.
My neighbor, makes a statement to his insurer, the MA ... F, which solves the problem quickly.
I make a statement, with the blind confidence of the GMF neophyte.
On December 26, 2016, seeing nothing coming, I move to the GMF agency.
The employee who receives me tells me that it is "Rennes" who takes care of it and that "Rennes" will contact me at the right time, then disinterested in my case.
I understood that at the GMF agency, nobody had nothing to "fuck" my disaster.
The next day, I wrote to Thierry Derez, president of the GMF to complain about the facts and tell him that it was not good to do that to me.
To date, I’m still waiting for an answer from him.
I think he either, he has nothing to "fuck" my disaster. He surely has something else to do.
To date, almost 2 months after my statement, nothing, but nothing, has been settled.
Me, I'm waiting ... They will wait a long time my next contribution because I will quickly stretch their GMF.
I am still lucky: my accommodation is not under the waters and with my family, we are not in a boat, pending the life buoy that our brave insurer would launch us with its slogan: "The GMF , efficiency for your tranquility ”.
Of course, I'm going to go and make sure elsewhere. Why not, at M… .F as my neighbor?
And I who wanted to entrust the GMF with the management of my life insurance plan: I was hot for my money!
</v>
      </c>
    </row>
    <row r="561" ht="15.75" customHeight="1">
      <c r="A561" s="2">
        <v>4.0</v>
      </c>
      <c r="B561" s="2" t="s">
        <v>1650</v>
      </c>
      <c r="C561" s="2" t="s">
        <v>1651</v>
      </c>
      <c r="D561" s="2" t="s">
        <v>199</v>
      </c>
      <c r="E561" s="2" t="s">
        <v>200</v>
      </c>
      <c r="F561" s="2" t="s">
        <v>15</v>
      </c>
      <c r="G561" s="2" t="s">
        <v>562</v>
      </c>
      <c r="H561" s="2" t="s">
        <v>230</v>
      </c>
      <c r="I561" s="2" t="str">
        <f>IFERROR(__xludf.DUMMYFUNCTION("GOOGLETRANSLATE(C561,""fr"",""en"")"),"I am fully satisfied with this operation
Simple and easy to use, fast
Understanding,
Thank you fully
Cordially
Mr Ciquet")</f>
        <v>I am fully satisfied with this operation
Simple and easy to use, fast
Understanding,
Thank you fully
Cordially
Mr Ciquet</v>
      </c>
    </row>
    <row r="562" ht="15.75" customHeight="1">
      <c r="A562" s="2">
        <v>4.0</v>
      </c>
      <c r="B562" s="2" t="s">
        <v>1652</v>
      </c>
      <c r="C562" s="2" t="s">
        <v>1653</v>
      </c>
      <c r="D562" s="2" t="s">
        <v>36</v>
      </c>
      <c r="E562" s="2" t="s">
        <v>14</v>
      </c>
      <c r="F562" s="2" t="s">
        <v>15</v>
      </c>
      <c r="G562" s="2" t="s">
        <v>772</v>
      </c>
      <c r="H562" s="2" t="s">
        <v>33</v>
      </c>
      <c r="I562" s="2" t="str">
        <f>IFERROR(__xludf.DUMMYFUNCTION("GOOGLETRANSLATE(C562,""fr"",""en"")"),"I am satisfied with the service
Interesting price but I would have liked to have a better prices having 2 vehicles and my home insurance at home
I am satisfied with the service
Interesting price but I would have liked to have a better prices having 2 v"&amp;"ehicles and my home insurance at home")</f>
        <v>I am satisfied with the service
Interesting price but I would have liked to have a better prices having 2 vehicles and my home insurance at home
I am satisfied with the service
Interesting price but I would have liked to have a better prices having 2 vehicles and my home insurance at home</v>
      </c>
    </row>
    <row r="563" ht="15.75" customHeight="1">
      <c r="A563" s="2">
        <v>1.0</v>
      </c>
      <c r="B563" s="2" t="s">
        <v>1654</v>
      </c>
      <c r="C563" s="2" t="s">
        <v>1655</v>
      </c>
      <c r="D563" s="2" t="s">
        <v>354</v>
      </c>
      <c r="E563" s="2" t="s">
        <v>37</v>
      </c>
      <c r="F563" s="2" t="s">
        <v>15</v>
      </c>
      <c r="G563" s="2" t="s">
        <v>178</v>
      </c>
      <c r="H563" s="2" t="s">
        <v>178</v>
      </c>
      <c r="I563" s="2" t="str">
        <f>IFERROR(__xludf.DUMMYFUNCTION("GOOGLETRANSLATE(C563,""fr"",""en"")"),"After a first opinion on this site concerning CIC Assramances and therefore ACM-IARD an answer was sent to me by ""Isabelle"" ... Thanks to you. I haven't contacted you yet because I am waiting (LRAR suite, 2 telephone calls to ACM Group 20 and 27, 2 remi"&amp;"nders by email) of the expert's report for the cracks due to drought 2019 (and In continuation summer 2020 !!). I stay without news to date. The law forces you to send me this report! You block a ""voluntary"" and ""decided"" blocking by your governing bo"&amp;"dies to voluntarily block the files of victims of claims! It is lamentable but so much in the mind ... The insured pays his contributions and the insurance companies do everything to avoid compensating a disaster. Laws exist and you do not take it because"&amp;" you are counting on ""ignorance of the small people"".
To those who will read me, an asso exists (there are others): the forgetting of the heat wave. Come and see the site and register. The union will make the strength in the face of these insurer assur"&amp;"ances and lies.")</f>
        <v>After a first opinion on this site concerning CIC Assramances and therefore ACM-IARD an answer was sent to me by "Isabelle" ... Thanks to you. I haven't contacted you yet because I am waiting (LRAR suite, 2 telephone calls to ACM Group 20 and 27, 2 reminders by email) of the expert's report for the cracks due to drought 2019 (and In continuation summer 2020 !!). I stay without news to date. The law forces you to send me this report! You block a "voluntary" and "decided" blocking by your governing bodies to voluntarily block the files of victims of claims! It is lamentable but so much in the mind ... The insured pays his contributions and the insurance companies do everything to avoid compensating a disaster. Laws exist and you do not take it because you are counting on "ignorance of the small people".
To those who will read me, an asso exists (there are others): the forgetting of the heat wave. Come and see the site and register. The union will make the strength in the face of these insurer assurances and lies.</v>
      </c>
    </row>
    <row r="564" ht="15.75" customHeight="1">
      <c r="A564" s="2">
        <v>4.0</v>
      </c>
      <c r="B564" s="2" t="s">
        <v>1656</v>
      </c>
      <c r="C564" s="2" t="s">
        <v>1657</v>
      </c>
      <c r="D564" s="2" t="s">
        <v>36</v>
      </c>
      <c r="E564" s="2" t="s">
        <v>14</v>
      </c>
      <c r="F564" s="2" t="s">
        <v>15</v>
      </c>
      <c r="G564" s="2" t="s">
        <v>542</v>
      </c>
      <c r="H564" s="2" t="s">
        <v>171</v>
      </c>
      <c r="I564" s="2" t="str">
        <f>IFERROR(__xludf.DUMMYFUNCTION("GOOGLETRANSLATE(C564,""fr"",""en"")"),"The prices would indicate a competent level according to the advisor, for a loyal customer but is not reflected on the proposal.
I realize that your colleagues propose after signing less expensive competitive contracts at ISO SIRMER.")</f>
        <v>The prices would indicate a competent level according to the advisor, for a loyal customer but is not reflected on the proposal.
I realize that your colleagues propose after signing less expensive competitive contracts at ISO SIRMER.</v>
      </c>
    </row>
    <row r="565" ht="15.75" customHeight="1">
      <c r="A565" s="2">
        <v>4.0</v>
      </c>
      <c r="B565" s="2" t="s">
        <v>1658</v>
      </c>
      <c r="C565" s="2" t="s">
        <v>1659</v>
      </c>
      <c r="D565" s="2" t="s">
        <v>13</v>
      </c>
      <c r="E565" s="2" t="s">
        <v>14</v>
      </c>
      <c r="F565" s="2" t="s">
        <v>15</v>
      </c>
      <c r="G565" s="2" t="s">
        <v>1660</v>
      </c>
      <c r="H565" s="2" t="s">
        <v>33</v>
      </c>
      <c r="I565" s="2" t="str">
        <f>IFERROR(__xludf.DUMMYFUNCTION("GOOGLETRANSLATE(C565,""fr"",""en"")"),"I am satisfied with your price
Except disappointed for the file fees
Cordially
Mr. MULLIER
Best regards
All the best")</f>
        <v>I am satisfied with your price
Except disappointed for the file fees
Cordially
Mr. MULLIER
Best regards
All the best</v>
      </c>
    </row>
    <row r="566" ht="15.75" customHeight="1">
      <c r="A566" s="2">
        <v>1.0</v>
      </c>
      <c r="B566" s="2" t="s">
        <v>1661</v>
      </c>
      <c r="C566" s="2" t="s">
        <v>1662</v>
      </c>
      <c r="D566" s="2" t="s">
        <v>414</v>
      </c>
      <c r="E566" s="2" t="s">
        <v>37</v>
      </c>
      <c r="F566" s="2" t="s">
        <v>15</v>
      </c>
      <c r="G566" s="2" t="s">
        <v>1663</v>
      </c>
      <c r="H566" s="2" t="s">
        <v>287</v>
      </c>
      <c r="I566" s="2" t="str">
        <f>IFERROR(__xludf.DUMMYFUNCTION("GOOGLETRANSLATE(C566,""fr"",""en"")"),"I put a star because we cannot put less. Here are more than a year (October 2015) that I called upon the MAIF for water damage. The cause: a leak in the water supply outside the house which caused degradations to the interior and exterior walls, swells th"&amp;"e frames and degrades the paintings. Response from the MAIF after passing by an ""expert"" from the company Eurexo: these are only hair lifts. Result a year later the flight worsened, flooded basement, Veolia well obliged to intervene this time to repair "&amp;"the leak. The damage has become greater of course. But on the Maif side, despite two reminders, it's always radio silence.")</f>
        <v>I put a star because we cannot put less. Here are more than a year (October 2015) that I called upon the MAIF for water damage. The cause: a leak in the water supply outside the house which caused degradations to the interior and exterior walls, swells the frames and degrades the paintings. Response from the MAIF after passing by an "expert" from the company Eurexo: these are only hair lifts. Result a year later the flight worsened, flooded basement, Veolia well obliged to intervene this time to repair the leak. The damage has become greater of course. But on the Maif side, despite two reminders, it's always radio silence.</v>
      </c>
    </row>
    <row r="567" ht="15.75" customHeight="1">
      <c r="A567" s="2">
        <v>2.0</v>
      </c>
      <c r="B567" s="2" t="s">
        <v>1664</v>
      </c>
      <c r="C567" s="2" t="s">
        <v>1665</v>
      </c>
      <c r="D567" s="2" t="s">
        <v>143</v>
      </c>
      <c r="E567" s="2" t="s">
        <v>31</v>
      </c>
      <c r="F567" s="2" t="s">
        <v>15</v>
      </c>
      <c r="G567" s="2" t="s">
        <v>1579</v>
      </c>
      <c r="H567" s="2" t="s">
        <v>145</v>
      </c>
      <c r="I567" s="2" t="str">
        <f>IFERROR(__xludf.DUMMYFUNCTION("GOOGLETRANSLATE(C567,""fr"",""en"")"),"I'm still waiting for my 1/3 paid card.
The application does not work I can't identify for 1 week.
It's very long.
I need my card tomorrow!")</f>
        <v>I'm still waiting for my 1/3 paid card.
The application does not work I can't identify for 1 week.
It's very long.
I need my card tomorrow!</v>
      </c>
    </row>
    <row r="568" ht="15.75" customHeight="1">
      <c r="A568" s="2">
        <v>3.0</v>
      </c>
      <c r="B568" s="2" t="s">
        <v>1666</v>
      </c>
      <c r="C568" s="2" t="s">
        <v>1667</v>
      </c>
      <c r="D568" s="2" t="s">
        <v>20</v>
      </c>
      <c r="E568" s="2" t="s">
        <v>14</v>
      </c>
      <c r="F568" s="2" t="s">
        <v>15</v>
      </c>
      <c r="G568" s="2" t="s">
        <v>1668</v>
      </c>
      <c r="H568" s="2" t="s">
        <v>167</v>
      </c>
      <c r="I568" s="2" t="str">
        <f>IFERROR(__xludf.DUMMYFUNCTION("GOOGLETRANSLATE(C568,""fr"",""en"")"),"AXA has been ensuring my vehicles for years. I find it useful to have an agency contact. Always a solution to bring. I am very satisfied. The price may seem a little high but the service rendered is of quality. The Internet customer area also offers a clu"&amp;"b with discounts in several stores.")</f>
        <v>AXA has been ensuring my vehicles for years. I find it useful to have an agency contact. Always a solution to bring. I am very satisfied. The price may seem a little high but the service rendered is of quality. The Internet customer area also offers a club with discounts in several stores.</v>
      </c>
    </row>
    <row r="569" ht="15.75" customHeight="1">
      <c r="A569" s="2">
        <v>4.0</v>
      </c>
      <c r="B569" s="2" t="s">
        <v>1669</v>
      </c>
      <c r="C569" s="2" t="s">
        <v>1670</v>
      </c>
      <c r="D569" s="2" t="s">
        <v>125</v>
      </c>
      <c r="E569" s="2" t="s">
        <v>14</v>
      </c>
      <c r="F569" s="2" t="s">
        <v>15</v>
      </c>
      <c r="G569" s="2" t="s">
        <v>1671</v>
      </c>
      <c r="H569" s="2" t="s">
        <v>17</v>
      </c>
      <c r="I569" s="2" t="str">
        <f>IFERROR(__xludf.DUMMYFUNCTION("GOOGLETRANSLATE(C569,""fr"",""en"")"),"Having had a sinister (degraded parking vehicle) Fire ar d and several impacts on degradation wing caused by an individual and not another vehicle. The deductible provided for the contract fully supported by the GMF. Very happy surprise.
")</f>
        <v>Having had a sinister (degraded parking vehicle) Fire ar d and several impacts on degradation wing caused by an individual and not another vehicle. The deductible provided for the contract fully supported by the GMF. Very happy surprise.
</v>
      </c>
    </row>
    <row r="570" ht="15.75" customHeight="1">
      <c r="A570" s="2">
        <v>1.0</v>
      </c>
      <c r="B570" s="2" t="s">
        <v>1672</v>
      </c>
      <c r="C570" s="2" t="s">
        <v>1673</v>
      </c>
      <c r="D570" s="2" t="s">
        <v>393</v>
      </c>
      <c r="E570" s="2" t="s">
        <v>51</v>
      </c>
      <c r="F570" s="2" t="s">
        <v>15</v>
      </c>
      <c r="G570" s="2" t="s">
        <v>1674</v>
      </c>
      <c r="H570" s="2" t="s">
        <v>1167</v>
      </c>
      <c r="I570" s="2" t="str">
        <f>IFERROR(__xludf.DUMMYFUNCTION("GOOGLETRANSLATE(C570,""fr"",""en"")"),"Following a two -wheel accident or I was recognized not responsible my scooter was recognized wreck the advisor to recommend my leaving the samples of the monthly premium this as long as the reimbursement of the vehicle has reached me and then he will rei"&amp;"mburse me the premiums From this period, 4 months of payment 160 e at the time of today no refund or response to the mail and cherry on the cake 150 e of the assessment value of the scooter has not reached me according to the said online he waits for the "&amp;"Fund for the opposing party")</f>
        <v>Following a two -wheel accident or I was recognized not responsible my scooter was recognized wreck the advisor to recommend my leaving the samples of the monthly premium this as long as the reimbursement of the vehicle has reached me and then he will reimburse me the premiums From this period, 4 months of payment 160 e at the time of today no refund or response to the mail and cherry on the cake 150 e of the assessment value of the scooter has not reached me according to the said online he waits for the Fund for the opposing party</v>
      </c>
    </row>
    <row r="571" ht="15.75" customHeight="1">
      <c r="A571" s="2">
        <v>2.0</v>
      </c>
      <c r="B571" s="2" t="s">
        <v>1675</v>
      </c>
      <c r="C571" s="2" t="s">
        <v>1676</v>
      </c>
      <c r="D571" s="2" t="s">
        <v>264</v>
      </c>
      <c r="E571" s="2" t="s">
        <v>31</v>
      </c>
      <c r="F571" s="2" t="s">
        <v>15</v>
      </c>
      <c r="G571" s="2" t="s">
        <v>351</v>
      </c>
      <c r="H571" s="2" t="s">
        <v>47</v>
      </c>
      <c r="I571" s="2" t="str">
        <f>IFERROR(__xludf.DUMMYFUNCTION("GOOGLETRANSLATE(C571,""fr"",""en"")"),"Mutual to flee !!!!! do not reimburse. Neither respond to emails or telephone. The website is inaccessible. On the intermediary of the broker, no more results.")</f>
        <v>Mutual to flee !!!!! do not reimburse. Neither respond to emails or telephone. The website is inaccessible. On the intermediary of the broker, no more results.</v>
      </c>
    </row>
    <row r="572" ht="15.75" customHeight="1">
      <c r="A572" s="2">
        <v>4.0</v>
      </c>
      <c r="B572" s="2" t="s">
        <v>1677</v>
      </c>
      <c r="C572" s="2" t="s">
        <v>1678</v>
      </c>
      <c r="D572" s="2" t="s">
        <v>50</v>
      </c>
      <c r="E572" s="2" t="s">
        <v>51</v>
      </c>
      <c r="F572" s="2" t="s">
        <v>15</v>
      </c>
      <c r="G572" s="2" t="s">
        <v>1679</v>
      </c>
      <c r="H572" s="2" t="s">
        <v>47</v>
      </c>
      <c r="I572" s="2" t="str">
        <f>IFERROR(__xludf.DUMMYFUNCTION("GOOGLETRANSLATE(C572,""fr"",""en"")"),"
Thank you for the speed of taking into account our request, corresponding to our expectations
We will recommend you without problem in the future because they are satisfied with the proposal
")</f>
        <v>
Thank you for the speed of taking into account our request, corresponding to our expectations
We will recommend you without problem in the future because they are satisfied with the proposal
</v>
      </c>
    </row>
    <row r="573" ht="15.75" customHeight="1">
      <c r="A573" s="2">
        <v>4.0</v>
      </c>
      <c r="B573" s="2" t="s">
        <v>1680</v>
      </c>
      <c r="C573" s="2" t="s">
        <v>1681</v>
      </c>
      <c r="D573" s="2" t="s">
        <v>211</v>
      </c>
      <c r="E573" s="2" t="s">
        <v>31</v>
      </c>
      <c r="F573" s="2" t="s">
        <v>15</v>
      </c>
      <c r="G573" s="2" t="s">
        <v>1682</v>
      </c>
      <c r="H573" s="2" t="s">
        <v>240</v>
      </c>
      <c r="I573" s="2" t="str">
        <f>IFERROR(__xludf.DUMMYFUNCTION("GOOGLETRANSLATE(C573,""fr"",""en"")"),"I only note my relationship with my Santian correspondent, since I will be covered only in qq months ... I will therefore wait before noting this mutual. I am already a client of the Owliance group, so I remain in known land. So far I was satisfied with c"&amp;"ustomer relations ...")</f>
        <v>I only note my relationship with my Santian correspondent, since I will be covered only in qq months ... I will therefore wait before noting this mutual. I am already a client of the Owliance group, so I remain in known land. So far I was satisfied with customer relations ...</v>
      </c>
    </row>
    <row r="574" ht="15.75" customHeight="1">
      <c r="A574" s="2">
        <v>1.0</v>
      </c>
      <c r="B574" s="2" t="s">
        <v>1683</v>
      </c>
      <c r="C574" s="2" t="s">
        <v>1684</v>
      </c>
      <c r="D574" s="2" t="s">
        <v>143</v>
      </c>
      <c r="E574" s="2" t="s">
        <v>31</v>
      </c>
      <c r="F574" s="2" t="s">
        <v>15</v>
      </c>
      <c r="G574" s="2" t="s">
        <v>1685</v>
      </c>
      <c r="H574" s="2" t="s">
        <v>356</v>
      </c>
      <c r="I574" s="2" t="str">
        <f>IFERROR(__xludf.DUMMYFUNCTION("GOOGLETRANSLATE(C574,""fr"",""en"")"),"Very unsatisfied. I chose April for the mutual of my 2 dogs and I regret. You have to wait between 3 weeks and 1 month to be reimbursed. Keeping them by phone is a miracle. They are not kind and unprofessional. Flee this mutual !!!")</f>
        <v>Very unsatisfied. I chose April for the mutual of my 2 dogs and I regret. You have to wait between 3 weeks and 1 month to be reimbursed. Keeping them by phone is a miracle. They are not kind and unprofessional. Flee this mutual !!!</v>
      </c>
    </row>
    <row r="575" ht="15.75" customHeight="1">
      <c r="A575" s="2">
        <v>3.0</v>
      </c>
      <c r="B575" s="2" t="s">
        <v>1686</v>
      </c>
      <c r="C575" s="2" t="s">
        <v>1687</v>
      </c>
      <c r="D575" s="2" t="s">
        <v>36</v>
      </c>
      <c r="E575" s="2" t="s">
        <v>14</v>
      </c>
      <c r="F575" s="2" t="s">
        <v>15</v>
      </c>
      <c r="G575" s="2" t="s">
        <v>600</v>
      </c>
      <c r="H575" s="2" t="s">
        <v>27</v>
      </c>
      <c r="I575" s="2" t="str">
        <f>IFERROR(__xludf.DUMMYFUNCTION("GOOGLETRANSLATE(C575,""fr"",""en"")"),"To see in the event of a problem, but the lowest rates compared to other insurances, although the fees of files and taxes are surprising and therefore in the end equivalent rates of the AXA group")</f>
        <v>To see in the event of a problem, but the lowest rates compared to other insurances, although the fees of files and taxes are surprising and therefore in the end equivalent rates of the AXA group</v>
      </c>
    </row>
    <row r="576" ht="15.75" customHeight="1">
      <c r="A576" s="2">
        <v>4.0</v>
      </c>
      <c r="B576" s="2" t="s">
        <v>1688</v>
      </c>
      <c r="C576" s="2" t="s">
        <v>1689</v>
      </c>
      <c r="D576" s="2" t="s">
        <v>36</v>
      </c>
      <c r="E576" s="2" t="s">
        <v>14</v>
      </c>
      <c r="F576" s="2" t="s">
        <v>15</v>
      </c>
      <c r="G576" s="2" t="s">
        <v>43</v>
      </c>
      <c r="H576" s="2" t="s">
        <v>43</v>
      </c>
      <c r="I576" s="2" t="str">
        <f>IFERROR(__xludf.DUMMYFUNCTION("GOOGLETRANSLATE(C576,""fr"",""en"")"),"This is the insurance of me dear that I found.
My cousin advised me and we agree to take your insurement
I hope to be very satisfied")</f>
        <v>This is the insurance of me dear that I found.
My cousin advised me and we agree to take your insurement
I hope to be very satisfied</v>
      </c>
    </row>
    <row r="577" ht="15.75" customHeight="1">
      <c r="A577" s="2">
        <v>5.0</v>
      </c>
      <c r="B577" s="2" t="s">
        <v>1690</v>
      </c>
      <c r="C577" s="2" t="s">
        <v>1691</v>
      </c>
      <c r="D577" s="2" t="s">
        <v>36</v>
      </c>
      <c r="E577" s="2" t="s">
        <v>14</v>
      </c>
      <c r="F577" s="2" t="s">
        <v>15</v>
      </c>
      <c r="G577" s="2" t="s">
        <v>170</v>
      </c>
      <c r="H577" s="2" t="s">
        <v>171</v>
      </c>
      <c r="I577" s="2" t="str">
        <f>IFERROR(__xludf.DUMMYFUNCTION("GOOGLETRANSLATE(C577,""fr"",""en"")"),"Very happy and satisfied with direct insurance. Very easy to fill and fast site. A great ease of taking out insurance. I recommend")</f>
        <v>Very happy and satisfied with direct insurance. Very easy to fill and fast site. A great ease of taking out insurance. I recommend</v>
      </c>
    </row>
    <row r="578" ht="15.75" customHeight="1">
      <c r="A578" s="2">
        <v>5.0</v>
      </c>
      <c r="B578" s="2" t="s">
        <v>1692</v>
      </c>
      <c r="C578" s="2" t="s">
        <v>1693</v>
      </c>
      <c r="D578" s="2" t="s">
        <v>36</v>
      </c>
      <c r="E578" s="2" t="s">
        <v>14</v>
      </c>
      <c r="F578" s="2" t="s">
        <v>15</v>
      </c>
      <c r="G578" s="2" t="s">
        <v>749</v>
      </c>
      <c r="H578" s="2" t="s">
        <v>171</v>
      </c>
      <c r="I578" s="2" t="str">
        <f>IFERROR(__xludf.DUMMYFUNCTION("GOOGLETRANSLATE(C578,""fr"",""en"")"),"Very satisfied for the moment. The opening and validation of the contract has properly carried out. The prices are lower than in the competitors. I advise!")</f>
        <v>Very satisfied for the moment. The opening and validation of the contract has properly carried out. The prices are lower than in the competitors. I advise!</v>
      </c>
    </row>
    <row r="579" ht="15.75" customHeight="1">
      <c r="A579" s="2">
        <v>1.0</v>
      </c>
      <c r="B579" s="2" t="s">
        <v>1694</v>
      </c>
      <c r="C579" s="2" t="s">
        <v>1695</v>
      </c>
      <c r="D579" s="2" t="s">
        <v>60</v>
      </c>
      <c r="E579" s="2" t="s">
        <v>37</v>
      </c>
      <c r="F579" s="2" t="s">
        <v>15</v>
      </c>
      <c r="G579" s="2" t="s">
        <v>1618</v>
      </c>
      <c r="H579" s="2" t="s">
        <v>27</v>
      </c>
      <c r="I579" s="2" t="str">
        <f>IFERROR(__xludf.DUMMYFUNCTION("GOOGLETRANSLATE(C579,""fr"",""en"")"),"The online insurance version is a disaster. I have been renewing requests by email for 2 months which remain unanswered. In addition, it is not a complex or extravagant request (request for insurance certificate mentioning the telework activity). By phone"&amp;" I was not more successful, the ""free and immediate reminders"" and 3 owners of the telephone appointments3 have not worked for anything. Never a reminder. And when I contact them directly ""your waiting time is estimated at less than 4 minutes"", I do n"&amp;"ot know if they are equipped with clocks but 30 minutes after I am still waiting. On the other hand, no delay in taking the samples. Mediocre insurance: I do not recommend, especially if you need them.")</f>
        <v>The online insurance version is a disaster. I have been renewing requests by email for 2 months which remain unanswered. In addition, it is not a complex or extravagant request (request for insurance certificate mentioning the telework activity). By phone I was not more successful, the "free and immediate reminders" and 3 owners of the telephone appointments3 have not worked for anything. Never a reminder. And when I contact them directly "your waiting time is estimated at less than 4 minutes", I do not know if they are equipped with clocks but 30 minutes after I am still waiting. On the other hand, no delay in taking the samples. Mediocre insurance: I do not recommend, especially if you need them.</v>
      </c>
    </row>
    <row r="580" ht="15.75" customHeight="1">
      <c r="A580" s="2">
        <v>5.0</v>
      </c>
      <c r="B580" s="2" t="s">
        <v>1696</v>
      </c>
      <c r="C580" s="2" t="s">
        <v>1697</v>
      </c>
      <c r="D580" s="2" t="s">
        <v>36</v>
      </c>
      <c r="E580" s="2" t="s">
        <v>14</v>
      </c>
      <c r="F580" s="2" t="s">
        <v>15</v>
      </c>
      <c r="G580" s="2" t="s">
        <v>32</v>
      </c>
      <c r="H580" s="2" t="s">
        <v>33</v>
      </c>
      <c r="I580" s="2" t="str">
        <f>IFERROR(__xludf.DUMMYFUNCTION("GOOGLETRANSLATE(C580,""fr"",""en"")"),"Very satisfied thank you for the speed of processing and the offers offered awaits more than my green card thank you and the supporting documents requested cordially Madame Zapata")</f>
        <v>Very satisfied thank you for the speed of processing and the offers offered awaits more than my green card thank you and the supporting documents requested cordially Madame Zapata</v>
      </c>
    </row>
    <row r="581" ht="15.75" customHeight="1">
      <c r="A581" s="2">
        <v>1.0</v>
      </c>
      <c r="B581" s="2" t="s">
        <v>1698</v>
      </c>
      <c r="C581" s="2" t="s">
        <v>1699</v>
      </c>
      <c r="D581" s="2" t="s">
        <v>304</v>
      </c>
      <c r="E581" s="2" t="s">
        <v>21</v>
      </c>
      <c r="F581" s="2" t="s">
        <v>15</v>
      </c>
      <c r="G581" s="2" t="s">
        <v>1523</v>
      </c>
      <c r="H581" s="2" t="s">
        <v>240</v>
      </c>
      <c r="I581" s="2" t="str">
        <f>IFERROR(__xludf.DUMMYFUNCTION("GOOGLETRANSLATE(C581,""fr"",""en"")"),"Their number is very well prowled. You may send a complete file, they ask you for an already supplied part and this (as if by chance) before the maturity of the 30 days to which they are required to pay. They count, on the discouragement of beneficiary he"&amp;"irs. Their goal, to drag things. Unfortunately for them, my partner being a lawyer and used to this kind of practice, I had anticipated by recording the parts sent. Suddenly, in addition to the payment of capital, I intend to ask for interest on the basis"&amp;" of their proven bad faith. Do not let yourself be done and keep evidence of the parts you send them. Based on these evidence, the tribunal de grande instance, will decide in your favor.")</f>
        <v>Their number is very well prowled. You may send a complete file, they ask you for an already supplied part and this (as if by chance) before the maturity of the 30 days to which they are required to pay. They count, on the discouragement of beneficiary heirs. Their goal, to drag things. Unfortunately for them, my partner being a lawyer and used to this kind of practice, I had anticipated by recording the parts sent. Suddenly, in addition to the payment of capital, I intend to ask for interest on the basis of their proven bad faith. Do not let yourself be done and keep evidence of the parts you send them. Based on these evidence, the tribunal de grande instance, will decide in your favor.</v>
      </c>
    </row>
    <row r="582" ht="15.75" customHeight="1">
      <c r="A582" s="2">
        <v>2.0</v>
      </c>
      <c r="B582" s="2" t="s">
        <v>1700</v>
      </c>
      <c r="C582" s="2" t="s">
        <v>1701</v>
      </c>
      <c r="D582" s="2" t="s">
        <v>430</v>
      </c>
      <c r="E582" s="2" t="s">
        <v>14</v>
      </c>
      <c r="F582" s="2" t="s">
        <v>15</v>
      </c>
      <c r="G582" s="2" t="s">
        <v>1702</v>
      </c>
      <c r="H582" s="2" t="s">
        <v>276</v>
      </c>
      <c r="I582" s="2" t="str">
        <f>IFERROR(__xludf.DUMMYFUNCTION("GOOGLETRANSLATE(C582,""fr"",""en"")"),"To shorten it.
More than 6 weeks than my vehicle to burn, I specify insured in big omnium with increased value, on foot with my 3 children, and nothing apart from being wandered from one agent to another. I repeated, 30 times the same Something each time"&amp;" to someone different, in passing I never had the person dealing with my file. I specify 4 past experts, encrypted by the expert, insured has increased value, invoice and the 632 others returned documents etc etc ....
Here 2 weeks ago I was told on the p"&amp;"hone, when I was left to speak of course, Mr weekend you have the proposal it remains just the signature of the region's expert, I don't know everything because a Each time we tell you a new lie, and you are compensated.
Let me laugh, finally cry !!!!!!!"&amp;"
Simply shameful.
Ah yes replacement vehicle cat B, I will look for it from Europcar following their reservation 15 J, and when I bring it back 225 euros to pay !!!!!!!
I contact a mediator and my lawyer if nothing arranged in the weekend.")</f>
        <v>To shorten it.
More than 6 weeks than my vehicle to burn, I specify insured in big omnium with increased value, on foot with my 3 children, and nothing apart from being wandered from one agent to another. I repeated, 30 times the same Something each time to someone different, in passing I never had the person dealing with my file. I specify 4 past experts, encrypted by the expert, insured has increased value, invoice and the 632 others returned documents etc etc ....
Here 2 weeks ago I was told on the phone, when I was left to speak of course, Mr weekend you have the proposal it remains just the signature of the region's expert, I don't know everything because a Each time we tell you a new lie, and you are compensated.
Let me laugh, finally cry !!!!!!!
Simply shameful.
Ah yes replacement vehicle cat B, I will look for it from Europcar following their reservation 15 J, and when I bring it back 225 euros to pay !!!!!!!
I contact a mediator and my lawyer if nothing arranged in the weekend.</v>
      </c>
    </row>
    <row r="583" ht="15.75" customHeight="1">
      <c r="A583" s="2">
        <v>3.0</v>
      </c>
      <c r="B583" s="2" t="s">
        <v>1703</v>
      </c>
      <c r="C583" s="2" t="s">
        <v>1704</v>
      </c>
      <c r="D583" s="2" t="s">
        <v>125</v>
      </c>
      <c r="E583" s="2" t="s">
        <v>14</v>
      </c>
      <c r="F583" s="2" t="s">
        <v>15</v>
      </c>
      <c r="G583" s="2" t="s">
        <v>1705</v>
      </c>
      <c r="H583" s="2" t="s">
        <v>33</v>
      </c>
      <c r="I583" s="2" t="str">
        <f>IFERROR(__xludf.DUMMYFUNCTION("GOOGLETRANSLATE(C583,""fr"",""en"")"),"Powerful assistance in the event of a breakdown or accident
Effective refund during a break -in of my vehicle with seats flight
I did not have the opportunity to use other services")</f>
        <v>Powerful assistance in the event of a breakdown or accident
Effective refund during a break -in of my vehicle with seats flight
I did not have the opportunity to use other services</v>
      </c>
    </row>
    <row r="584" ht="15.75" customHeight="1">
      <c r="A584" s="2">
        <v>5.0</v>
      </c>
      <c r="B584" s="2" t="s">
        <v>1706</v>
      </c>
      <c r="C584" s="2" t="s">
        <v>1707</v>
      </c>
      <c r="D584" s="2" t="s">
        <v>36</v>
      </c>
      <c r="E584" s="2" t="s">
        <v>14</v>
      </c>
      <c r="F584" s="2" t="s">
        <v>15</v>
      </c>
      <c r="G584" s="2" t="s">
        <v>530</v>
      </c>
      <c r="H584" s="2" t="s">
        <v>33</v>
      </c>
      <c r="I584" s="2" t="str">
        <f>IFERROR(__xludf.DUMMYFUNCTION("GOOGLETRANSLATE(C584,""fr"",""en"")"),"Very happy with the revive and the very fast price thank you I recommend all your insurance I hope to receive a commercial gesture because I sponsored ´")</f>
        <v>Very happy with the revive and the very fast price thank you I recommend all your insurance I hope to receive a commercial gesture because I sponsored ´</v>
      </c>
    </row>
    <row r="585" ht="15.75" customHeight="1">
      <c r="A585" s="2">
        <v>2.0</v>
      </c>
      <c r="B585" s="2" t="s">
        <v>1708</v>
      </c>
      <c r="C585" s="2" t="s">
        <v>1709</v>
      </c>
      <c r="D585" s="2" t="s">
        <v>20</v>
      </c>
      <c r="E585" s="2" t="s">
        <v>14</v>
      </c>
      <c r="F585" s="2" t="s">
        <v>15</v>
      </c>
      <c r="G585" s="2" t="s">
        <v>1710</v>
      </c>
      <c r="H585" s="2" t="s">
        <v>998</v>
      </c>
      <c r="I585" s="2" t="str">
        <f>IFERROR(__xludf.DUMMYFUNCTION("GOOGLETRANSLATE(C585,""fr"",""en"")"),"Very disappointed by the annual increase in cars without reason valid and without penalty in question. So I will leave after more than 20 years as a customer (before it was the UAP which was taken up by AXA)
")</f>
        <v>Very disappointed by the annual increase in cars without reason valid and without penalty in question. So I will leave after more than 20 years as a customer (before it was the UAP which was taken up by AXA)
</v>
      </c>
    </row>
    <row r="586" ht="15.75" customHeight="1">
      <c r="A586" s="2">
        <v>3.0</v>
      </c>
      <c r="B586" s="2" t="s">
        <v>1711</v>
      </c>
      <c r="C586" s="2" t="s">
        <v>1712</v>
      </c>
      <c r="D586" s="2" t="s">
        <v>13</v>
      </c>
      <c r="E586" s="2" t="s">
        <v>14</v>
      </c>
      <c r="F586" s="2" t="s">
        <v>15</v>
      </c>
      <c r="G586" s="2" t="s">
        <v>1713</v>
      </c>
      <c r="H586" s="2" t="s">
        <v>27</v>
      </c>
      <c r="I586" s="2" t="str">
        <f>IFERROR(__xludf.DUMMYFUNCTION("GOOGLETRANSLATE(C586,""fr"",""en"")"),"I am satisfied with the service ... I hope to remain satisfied throughout my contract and that the price can drop as months see weeks")</f>
        <v>I am satisfied with the service ... I hope to remain satisfied throughout my contract and that the price can drop as months see weeks</v>
      </c>
    </row>
    <row r="587" ht="15.75" customHeight="1">
      <c r="A587" s="2">
        <v>5.0</v>
      </c>
      <c r="B587" s="2" t="s">
        <v>1714</v>
      </c>
      <c r="C587" s="2" t="s">
        <v>1715</v>
      </c>
      <c r="D587" s="2" t="s">
        <v>13</v>
      </c>
      <c r="E587" s="2" t="s">
        <v>14</v>
      </c>
      <c r="F587" s="2" t="s">
        <v>15</v>
      </c>
      <c r="G587" s="2" t="s">
        <v>1716</v>
      </c>
      <c r="H587" s="2" t="s">
        <v>33</v>
      </c>
      <c r="I587" s="2" t="str">
        <f>IFERROR(__xludf.DUMMYFUNCTION("GOOGLETRANSLATE(C587,""fr"",""en"")"),"I discovered Olivier insurance by looking on the internet on a comparator site and it is the cheapest.
I am also very satisfied with customer service.
I recommend Olivier insurance")</f>
        <v>I discovered Olivier insurance by looking on the internet on a comparator site and it is the cheapest.
I am also very satisfied with customer service.
I recommend Olivier insurance</v>
      </c>
    </row>
    <row r="588" ht="15.75" customHeight="1">
      <c r="A588" s="2">
        <v>4.0</v>
      </c>
      <c r="B588" s="2" t="s">
        <v>1717</v>
      </c>
      <c r="C588" s="2" t="s">
        <v>1718</v>
      </c>
      <c r="D588" s="2" t="s">
        <v>36</v>
      </c>
      <c r="E588" s="2" t="s">
        <v>14</v>
      </c>
      <c r="F588" s="2" t="s">
        <v>15</v>
      </c>
      <c r="G588" s="2" t="s">
        <v>458</v>
      </c>
      <c r="H588" s="2" t="s">
        <v>33</v>
      </c>
      <c r="I588" s="2" t="str">
        <f>IFERROR(__xludf.DUMMYFUNCTION("GOOGLETRANSLATE(C588,""fr"",""en"")"),"I really find that this online insurance is simple and practical easy to adhere.
For the moment I really recommend direct insurance
Best regards")</f>
        <v>I really find that this online insurance is simple and practical easy to adhere.
For the moment I really recommend direct insurance
Best regards</v>
      </c>
    </row>
    <row r="589" ht="15.75" customHeight="1">
      <c r="A589" s="2">
        <v>1.0</v>
      </c>
      <c r="B589" s="2" t="s">
        <v>1719</v>
      </c>
      <c r="C589" s="2" t="s">
        <v>1720</v>
      </c>
      <c r="D589" s="2" t="s">
        <v>36</v>
      </c>
      <c r="E589" s="2" t="s">
        <v>14</v>
      </c>
      <c r="F589" s="2" t="s">
        <v>15</v>
      </c>
      <c r="G589" s="2" t="s">
        <v>1045</v>
      </c>
      <c r="H589" s="2" t="s">
        <v>47</v>
      </c>
      <c r="I589" s="2" t="str">
        <f>IFERROR(__xludf.DUMMYFUNCTION("GOOGLETRANSLATE(C589,""fr"",""en"")"),"After a first awful experience with Direct Assurance, I told myself that it was my manager who was bad and I therefore decided to give them a second chance.
After a second claim, I realize how much this insurer is not at the level. I take care of taking "&amp;"the steps between the expert and the garage because they are not so long. My vehicle is immobilized in a partner garage for a week and a half and despite a contract that stipulates it I still do not have a loan vehicle !!! No expert has gone to date. No o"&amp;"ne follows the file. And above all it is never their fault (either it is the fault of the expert, or the fault of the garage). I expected more and I am very disappointed.
I close the disaster and I flee direct insurance this time. And I invite each perso"&amp;"n who reads this message not to subscribe to them or to terminate.")</f>
        <v>After a first awful experience with Direct Assurance, I told myself that it was my manager who was bad and I therefore decided to give them a second chance.
After a second claim, I realize how much this insurer is not at the level. I take care of taking the steps between the expert and the garage because they are not so long. My vehicle is immobilized in a partner garage for a week and a half and despite a contract that stipulates it I still do not have a loan vehicle !!! No expert has gone to date. No one follows the file. And above all it is never their fault (either it is the fault of the expert, or the fault of the garage). I expected more and I am very disappointed.
I close the disaster and I flee direct insurance this time. And I invite each person who reads this message not to subscribe to them or to terminate.</v>
      </c>
    </row>
    <row r="590" ht="15.75" customHeight="1">
      <c r="A590" s="2">
        <v>4.0</v>
      </c>
      <c r="B590" s="2" t="s">
        <v>1721</v>
      </c>
      <c r="C590" s="2" t="s">
        <v>1722</v>
      </c>
      <c r="D590" s="2" t="s">
        <v>430</v>
      </c>
      <c r="E590" s="2" t="s">
        <v>37</v>
      </c>
      <c r="F590" s="2" t="s">
        <v>15</v>
      </c>
      <c r="G590" s="2" t="s">
        <v>1723</v>
      </c>
      <c r="H590" s="2" t="s">
        <v>95</v>
      </c>
      <c r="I590" s="2" t="str">
        <f>IFERROR(__xludf.DUMMYFUNCTION("GOOGLETRANSLATE(C590,""fr"",""en"")"),"I find it unacceptable that when we go into monthly payment the final contribution is more expensive than if you pay in one go. When I pay for a year, I don't have 2% interest. CDLT.")</f>
        <v>I find it unacceptable that when we go into monthly payment the final contribution is more expensive than if you pay in one go. When I pay for a year, I don't have 2% interest. CDLT.</v>
      </c>
    </row>
    <row r="591" ht="15.75" customHeight="1">
      <c r="A591" s="2">
        <v>3.0</v>
      </c>
      <c r="B591" s="2" t="s">
        <v>1724</v>
      </c>
      <c r="C591" s="2" t="s">
        <v>1725</v>
      </c>
      <c r="D591" s="2" t="s">
        <v>414</v>
      </c>
      <c r="E591" s="2" t="s">
        <v>37</v>
      </c>
      <c r="F591" s="2" t="s">
        <v>15</v>
      </c>
      <c r="G591" s="2" t="s">
        <v>794</v>
      </c>
      <c r="H591" s="2" t="s">
        <v>137</v>
      </c>
      <c r="I591" s="2" t="str">
        <f>IFERROR(__xludf.DUMMYFUNCTION("GOOGLETRANSLATE(C591,""fr"",""en"")"),"I have been insured MAIF for over forty years. For two years I have had a complex of complex water damage (a leak on an old diet and the evacuations which are under the house in a hedgehog and broken). My interventions with the MAIF have always had a defe"&amp;"rred response first to take into account the problems and now on the serious consideration of the damage (for example: I am offered to replace a travertine floor by covering with a floor PVC). The compensation proposed are not the subject of quotes and th"&amp;"e letters are the type ""you should be happy"". If we are not the dispute must be according to their inevitation set by the MAIF with an insured expert. Stupidly, I thought it was them .... so I took mine which is not free of course. The current speech is"&amp;" ""that we took advantage of the maif"". I don't think I am concerned, but what I can say is that the trend seems to have reversed. It is true that since the Maif has been on the stock market. It's the price to pay ? And we are mistreated, by experts and "&amp;"on the phone.")</f>
        <v>I have been insured MAIF for over forty years. For two years I have had a complex of complex water damage (a leak on an old diet and the evacuations which are under the house in a hedgehog and broken). My interventions with the MAIF have always had a deferred response first to take into account the problems and now on the serious consideration of the damage (for example: I am offered to replace a travertine floor by covering with a floor PVC). The compensation proposed are not the subject of quotes and the letters are the type "you should be happy". If we are not the dispute must be according to their inevitation set by the MAIF with an insured expert. Stupidly, I thought it was them .... so I took mine which is not free of course. The current speech is "that we took advantage of the maif". I don't think I am concerned, but what I can say is that the trend seems to have reversed. It is true that since the Maif has been on the stock market. It's the price to pay ? And we are mistreated, by experts and on the phone.</v>
      </c>
    </row>
    <row r="592" ht="15.75" customHeight="1">
      <c r="A592" s="2">
        <v>1.0</v>
      </c>
      <c r="B592" s="2" t="s">
        <v>1726</v>
      </c>
      <c r="C592" s="2" t="s">
        <v>1727</v>
      </c>
      <c r="D592" s="2" t="s">
        <v>36</v>
      </c>
      <c r="E592" s="2" t="s">
        <v>14</v>
      </c>
      <c r="F592" s="2" t="s">
        <v>15</v>
      </c>
      <c r="G592" s="2" t="s">
        <v>1728</v>
      </c>
      <c r="H592" s="2" t="s">
        <v>69</v>
      </c>
      <c r="I592" s="2" t="str">
        <f>IFERROR(__xludf.DUMMYFUNCTION("GOOGLETRANSLATE(C592,""fr"",""en"")"),"Customer service and mediocre lassistance endless waiting I would not recommend to any of my family or friends and I intend to terminate when I could as quickly as possible save you")</f>
        <v>Customer service and mediocre lassistance endless waiting I would not recommend to any of my family or friends and I intend to terminate when I could as quickly as possible save you</v>
      </c>
    </row>
    <row r="593" ht="15.75" customHeight="1">
      <c r="A593" s="2">
        <v>1.0</v>
      </c>
      <c r="B593" s="2" t="s">
        <v>1729</v>
      </c>
      <c r="C593" s="2" t="s">
        <v>1730</v>
      </c>
      <c r="D593" s="2" t="s">
        <v>36</v>
      </c>
      <c r="E593" s="2" t="s">
        <v>14</v>
      </c>
      <c r="F593" s="2" t="s">
        <v>15</v>
      </c>
      <c r="G593" s="2" t="s">
        <v>1731</v>
      </c>
      <c r="H593" s="2" t="s">
        <v>130</v>
      </c>
      <c r="I593" s="2" t="str">
        <f>IFERROR(__xludf.DUMMYFUNCTION("GOOGLETRANSLATE(C593,""fr"",""en"")"),"Surprise of this new decade. Increase of + 25% of the reference contribution. Unheard of but we learn every day. No mail or email to notify the customer.")</f>
        <v>Surprise of this new decade. Increase of + 25% of the reference contribution. Unheard of but we learn every day. No mail or email to notify the customer.</v>
      </c>
    </row>
    <row r="594" ht="15.75" customHeight="1">
      <c r="A594" s="2">
        <v>2.0</v>
      </c>
      <c r="B594" s="2" t="s">
        <v>1732</v>
      </c>
      <c r="C594" s="2" t="s">
        <v>1733</v>
      </c>
      <c r="D594" s="2" t="s">
        <v>125</v>
      </c>
      <c r="E594" s="2" t="s">
        <v>37</v>
      </c>
      <c r="F594" s="2" t="s">
        <v>15</v>
      </c>
      <c r="G594" s="2" t="s">
        <v>970</v>
      </c>
      <c r="H594" s="2" t="s">
        <v>171</v>
      </c>
      <c r="I594" s="2" t="str">
        <f>IFERROR(__xludf.DUMMYFUNCTION("GOOGLETRANSLATE(C594,""fr"",""en"")"),"It has been 6 months since I declared my claims to be ""burglary"". To make me pay the franchise they were reactive in the month following the burglary however for the work on the bay fractured window and the deteriorated tiles following the fall of perfu"&amp;"me from the burglars we are still waiting !!! ... after business passage Who are approved and mandated by the GMF more than 4 months ago, I still await the validation of the quote (tiles) by GMF and the intervention to correct the deteriorations.
To make"&amp;" the contributions and franchises pay for there is no problem but to keep their commitments for which they are paid then there they are on absent subscribers it is the 6th time that I call and without progress, I am told that we will take Contact with us "&amp;"for the rest!. It is shameful and desperate.")</f>
        <v>It has been 6 months since I declared my claims to be "burglary". To make me pay the franchise they were reactive in the month following the burglary however for the work on the bay fractured window and the deteriorated tiles following the fall of perfume from the burglars we are still waiting !!! ... after business passage Who are approved and mandated by the GMF more than 4 months ago, I still await the validation of the quote (tiles) by GMF and the intervention to correct the deteriorations.
To make the contributions and franchises pay for there is no problem but to keep their commitments for which they are paid then there they are on absent subscribers it is the 6th time that I call and without progress, I am told that we will take Contact with us for the rest!. It is shameful and desperate.</v>
      </c>
    </row>
    <row r="595" ht="15.75" customHeight="1">
      <c r="A595" s="2">
        <v>1.0</v>
      </c>
      <c r="B595" s="2" t="s">
        <v>1734</v>
      </c>
      <c r="C595" s="2" t="s">
        <v>1735</v>
      </c>
      <c r="D595" s="2" t="s">
        <v>50</v>
      </c>
      <c r="E595" s="2" t="s">
        <v>51</v>
      </c>
      <c r="F595" s="2" t="s">
        <v>15</v>
      </c>
      <c r="G595" s="2" t="s">
        <v>1736</v>
      </c>
      <c r="H595" s="2" t="s">
        <v>306</v>
      </c>
      <c r="I595" s="2" t="str">
        <f>IFERROR(__xludf.DUMMYFUNCTION("GOOGLETRANSLATE(C595,""fr"",""en"")"),"After 6 years of loss contribution for a BMW 1150RT I move 5 km.
I receive my new schedule which goes from 200 euros to 345 euros for the same services !!!
I call and I point out the problem, I am told that it's normal !!!
Outraged, the more loyalty we"&amp;" have and the more the old motorcycle is the more we pay ???
80% increase and it does not shock them, suddenly of the April Moto, amazed adventure,")</f>
        <v>After 6 years of loss contribution for a BMW 1150RT I move 5 km.
I receive my new schedule which goes from 200 euros to 345 euros for the same services !!!
I call and I point out the problem, I am told that it's normal !!!
Outraged, the more loyalty we have and the more the old motorcycle is the more we pay ???
80% increase and it does not shock them, suddenly of the April Moto, amazed adventure,</v>
      </c>
    </row>
    <row r="596" ht="15.75" customHeight="1">
      <c r="A596" s="2">
        <v>1.0</v>
      </c>
      <c r="B596" s="2" t="s">
        <v>1737</v>
      </c>
      <c r="C596" s="2" t="s">
        <v>1738</v>
      </c>
      <c r="D596" s="2" t="s">
        <v>576</v>
      </c>
      <c r="E596" s="2" t="s">
        <v>14</v>
      </c>
      <c r="F596" s="2" t="s">
        <v>15</v>
      </c>
      <c r="G596" s="2" t="s">
        <v>455</v>
      </c>
      <c r="H596" s="2" t="s">
        <v>145</v>
      </c>
      <c r="I596" s="2" t="str">
        <f>IFERROR(__xludf.DUMMYFUNCTION("GOOGLETRANSLATE(C596,""fr"",""en"")"),"Insurer to avoid,
It is downright insurance that does not give any insurance, I have an item for an incident of which I was not responsible it is following a defect in the roads.
People who do not provide their work and function.
")</f>
        <v>Insurer to avoid,
It is downright insurance that does not give any insurance, I have an item for an incident of which I was not responsible it is following a defect in the roads.
People who do not provide their work and function.
</v>
      </c>
    </row>
    <row r="597" ht="15.75" customHeight="1">
      <c r="A597" s="2">
        <v>5.0</v>
      </c>
      <c r="B597" s="2" t="s">
        <v>1739</v>
      </c>
      <c r="C597" s="2" t="s">
        <v>1740</v>
      </c>
      <c r="D597" s="2" t="s">
        <v>199</v>
      </c>
      <c r="E597" s="2" t="s">
        <v>200</v>
      </c>
      <c r="F597" s="2" t="s">
        <v>15</v>
      </c>
      <c r="G597" s="2" t="s">
        <v>424</v>
      </c>
      <c r="H597" s="2" t="s">
        <v>230</v>
      </c>
      <c r="I597" s="2" t="str">
        <f>IFERROR(__xludf.DUMMYFUNCTION("GOOGLETRANSLATE(C597,""fr"",""en"")"),"Very simple to create a file, the prices offered are interesting and the advisor has been responsive and effective. I recommend this broker team.")</f>
        <v>Very simple to create a file, the prices offered are interesting and the advisor has been responsive and effective. I recommend this broker team.</v>
      </c>
    </row>
    <row r="598" ht="15.75" customHeight="1">
      <c r="A598" s="2">
        <v>1.0</v>
      </c>
      <c r="B598" s="2" t="s">
        <v>1741</v>
      </c>
      <c r="C598" s="2" t="s">
        <v>1742</v>
      </c>
      <c r="D598" s="2" t="s">
        <v>60</v>
      </c>
      <c r="E598" s="2" t="s">
        <v>37</v>
      </c>
      <c r="F598" s="2" t="s">
        <v>15</v>
      </c>
      <c r="G598" s="2" t="s">
        <v>1743</v>
      </c>
      <c r="H598" s="2" t="s">
        <v>117</v>
      </c>
      <c r="I598" s="2" t="str">
        <f>IFERROR(__xludf.DUMMYFUNCTION("GOOGLETRANSLATE(C598,""fr"",""en"")"),"Bad insurance to pay there is people but when there is a claim there is no one left")</f>
        <v>Bad insurance to pay there is people but when there is a claim there is no one left</v>
      </c>
    </row>
    <row r="599" ht="15.75" customHeight="1">
      <c r="A599" s="2">
        <v>5.0</v>
      </c>
      <c r="B599" s="2" t="s">
        <v>1744</v>
      </c>
      <c r="C599" s="2" t="s">
        <v>1745</v>
      </c>
      <c r="D599" s="2" t="s">
        <v>199</v>
      </c>
      <c r="E599" s="2" t="s">
        <v>200</v>
      </c>
      <c r="F599" s="2" t="s">
        <v>15</v>
      </c>
      <c r="G599" s="2" t="s">
        <v>77</v>
      </c>
      <c r="H599" s="2" t="s">
        <v>27</v>
      </c>
      <c r="I599" s="2" t="str">
        <f>IFERROR(__xludf.DUMMYFUNCTION("GOOGLETRANSLATE(C599,""fr"",""en"")"),"Very simple online procedure with interesting prices and an ease of reaching advisers if necessary I am satisfied with the services and services offered")</f>
        <v>Very simple online procedure with interesting prices and an ease of reaching advisers if necessary I am satisfied with the services and services offered</v>
      </c>
    </row>
    <row r="600" ht="15.75" customHeight="1">
      <c r="A600" s="2">
        <v>3.0</v>
      </c>
      <c r="B600" s="2" t="s">
        <v>1746</v>
      </c>
      <c r="C600" s="2" t="s">
        <v>1747</v>
      </c>
      <c r="D600" s="2" t="s">
        <v>211</v>
      </c>
      <c r="E600" s="2" t="s">
        <v>31</v>
      </c>
      <c r="F600" s="2" t="s">
        <v>15</v>
      </c>
      <c r="G600" s="2" t="s">
        <v>1748</v>
      </c>
      <c r="H600" s="2" t="s">
        <v>213</v>
      </c>
      <c r="I600" s="2" t="str">
        <f>IFERROR(__xludf.DUMMYFUNCTION("GOOGLETRANSLATE(C600,""fr"",""en"")"),"I am very satisfied")</f>
        <v>I am very satisfied</v>
      </c>
    </row>
    <row r="601" ht="15.75" customHeight="1">
      <c r="A601" s="2">
        <v>5.0</v>
      </c>
      <c r="B601" s="2" t="s">
        <v>1749</v>
      </c>
      <c r="C601" s="2" t="s">
        <v>1750</v>
      </c>
      <c r="D601" s="2" t="s">
        <v>36</v>
      </c>
      <c r="E601" s="2" t="s">
        <v>14</v>
      </c>
      <c r="F601" s="2" t="s">
        <v>15</v>
      </c>
      <c r="G601" s="2" t="s">
        <v>1027</v>
      </c>
      <c r="H601" s="2" t="s">
        <v>171</v>
      </c>
      <c r="I601" s="2" t="str">
        <f>IFERROR(__xludf.DUMMYFUNCTION("GOOGLETRANSLATE(C601,""fr"",""en"")"),"I don't have much to say apart from the price of my insurance, it suits my budget perfectly. In terms of insurance, this is what suits me best. thank you for everything")</f>
        <v>I don't have much to say apart from the price of my insurance, it suits my budget perfectly. In terms of insurance, this is what suits me best. thank you for everything</v>
      </c>
    </row>
    <row r="602" ht="15.75" customHeight="1">
      <c r="A602" s="2">
        <v>5.0</v>
      </c>
      <c r="B602" s="2" t="s">
        <v>1751</v>
      </c>
      <c r="C602" s="2" t="s">
        <v>1752</v>
      </c>
      <c r="D602" s="2" t="s">
        <v>36</v>
      </c>
      <c r="E602" s="2" t="s">
        <v>14</v>
      </c>
      <c r="F602" s="2" t="s">
        <v>15</v>
      </c>
      <c r="G602" s="2" t="s">
        <v>1753</v>
      </c>
      <c r="H602" s="2" t="s">
        <v>33</v>
      </c>
      <c r="I602" s="2" t="str">
        <f>IFERROR(__xludf.DUMMYFUNCTION("GOOGLETRANSLATE(C602,""fr"",""en"")"),"Very satisfied with simplicity to subscribe and prices that are perfect. To be confirmed over time on the efficiency and responsiveness of insurance.")</f>
        <v>Very satisfied with simplicity to subscribe and prices that are perfect. To be confirmed over time on the efficiency and responsiveness of insurance.</v>
      </c>
    </row>
    <row r="603" ht="15.75" customHeight="1">
      <c r="A603" s="2">
        <v>2.0</v>
      </c>
      <c r="B603" s="2" t="s">
        <v>1754</v>
      </c>
      <c r="C603" s="2" t="s">
        <v>1755</v>
      </c>
      <c r="D603" s="2" t="s">
        <v>30</v>
      </c>
      <c r="E603" s="2" t="s">
        <v>31</v>
      </c>
      <c r="F603" s="2" t="s">
        <v>15</v>
      </c>
      <c r="G603" s="2" t="s">
        <v>1756</v>
      </c>
      <c r="H603" s="2" t="s">
        <v>47</v>
      </c>
      <c r="I603" s="2" t="str">
        <f>IFERROR(__xludf.DUMMYFUNCTION("GOOGLETRANSLATE(C603,""fr"",""en"")"),"Mutual that does not manage the files of these customers it's been 2 months since I await the validation of the portability of my mutual while the documents have been shipped more than 2 times.
Not serious more they take 4 to 6 weeks to reimburse you.
I"&amp;" do not recommend the mutual")</f>
        <v>Mutual that does not manage the files of these customers it's been 2 months since I await the validation of the portability of my mutual while the documents have been shipped more than 2 times.
Not serious more they take 4 to 6 weeks to reimburse you.
I do not recommend the mutual</v>
      </c>
    </row>
    <row r="604" ht="15.75" customHeight="1">
      <c r="A604" s="2">
        <v>4.0</v>
      </c>
      <c r="B604" s="2" t="s">
        <v>1757</v>
      </c>
      <c r="C604" s="2" t="s">
        <v>1758</v>
      </c>
      <c r="D604" s="2" t="s">
        <v>143</v>
      </c>
      <c r="E604" s="2" t="s">
        <v>31</v>
      </c>
      <c r="F604" s="2" t="s">
        <v>15</v>
      </c>
      <c r="G604" s="2" t="s">
        <v>755</v>
      </c>
      <c r="H604" s="2" t="s">
        <v>145</v>
      </c>
      <c r="I604" s="2" t="str">
        <f>IFERROR(__xludf.DUMMYFUNCTION("GOOGLETRANSLATE(C604,""fr"",""en"")"),"Prices suit me. To see for the future, I barely subscribe for the first time then difficult to give a more advanced opinion as to my satisfaction.")</f>
        <v>Prices suit me. To see for the future, I barely subscribe for the first time then difficult to give a more advanced opinion as to my satisfaction.</v>
      </c>
    </row>
    <row r="605" ht="15.75" customHeight="1">
      <c r="A605" s="2">
        <v>4.0</v>
      </c>
      <c r="B605" s="2" t="s">
        <v>1759</v>
      </c>
      <c r="C605" s="2" t="s">
        <v>1760</v>
      </c>
      <c r="D605" s="2" t="s">
        <v>36</v>
      </c>
      <c r="E605" s="2" t="s">
        <v>14</v>
      </c>
      <c r="F605" s="2" t="s">
        <v>15</v>
      </c>
      <c r="G605" s="2" t="s">
        <v>171</v>
      </c>
      <c r="H605" s="2" t="s">
        <v>171</v>
      </c>
      <c r="I605" s="2" t="str">
        <f>IFERROR(__xludf.DUMMYFUNCTION("GOOGLETRANSLATE(C605,""fr"",""en"")"),"Very satisfied with the slightly expensive relational contact for my little scholarship because I do not work.
Answer to all my questions no one listening and very pleasant for a first contact.")</f>
        <v>Very satisfied with the slightly expensive relational contact for my little scholarship because I do not work.
Answer to all my questions no one listening and very pleasant for a first contact.</v>
      </c>
    </row>
    <row r="606" ht="15.75" customHeight="1">
      <c r="A606" s="2">
        <v>2.0</v>
      </c>
      <c r="B606" s="2" t="s">
        <v>1761</v>
      </c>
      <c r="C606" s="2" t="s">
        <v>1762</v>
      </c>
      <c r="D606" s="2" t="s">
        <v>125</v>
      </c>
      <c r="E606" s="2" t="s">
        <v>37</v>
      </c>
      <c r="F606" s="2" t="s">
        <v>15</v>
      </c>
      <c r="G606" s="2" t="s">
        <v>1763</v>
      </c>
      <c r="H606" s="2" t="s">
        <v>106</v>
      </c>
      <c r="I606" s="2" t="str">
        <f>IFERROR(__xludf.DUMMYFUNCTION("GOOGLETRANSLATE(C606,""fr"",""en"")"),"Unreachable on the phone or you wait 10 minutes to see 15 minutes to have someone. Regarding the claims home, the person who takes care of you is unreachable on their direct line, no response to emails on the insured space and for more than 2 months no fo"&amp;"llow -up following the amicable observation of water. On the other hand they remind you very quickly to make you take out car insurance. Not happy at all")</f>
        <v>Unreachable on the phone or you wait 10 minutes to see 15 minutes to have someone. Regarding the claims home, the person who takes care of you is unreachable on their direct line, no response to emails on the insured space and for more than 2 months no follow -up following the amicable observation of water. On the other hand they remind you very quickly to make you take out car insurance. Not happy at all</v>
      </c>
    </row>
    <row r="607" ht="15.75" customHeight="1">
      <c r="A607" s="2">
        <v>3.0</v>
      </c>
      <c r="B607" s="2" t="s">
        <v>1764</v>
      </c>
      <c r="C607" s="2" t="s">
        <v>1765</v>
      </c>
      <c r="D607" s="2" t="s">
        <v>55</v>
      </c>
      <c r="E607" s="2" t="s">
        <v>14</v>
      </c>
      <c r="F607" s="2" t="s">
        <v>15</v>
      </c>
      <c r="G607" s="2" t="s">
        <v>1766</v>
      </c>
      <c r="H607" s="2" t="s">
        <v>81</v>
      </c>
      <c r="I607" s="2" t="str">
        <f>IFERROR(__xludf.DUMMYFUNCTION("GOOGLETRANSLATE(C607,""fr"",""en"")"),"Poor insurance very expensive no warranty
They are just there to extract your money every me")</f>
        <v>Poor insurance very expensive no warranty
They are just there to extract your money every me</v>
      </c>
    </row>
    <row r="608" ht="15.75" customHeight="1">
      <c r="A608" s="2">
        <v>5.0</v>
      </c>
      <c r="B608" s="2" t="s">
        <v>1767</v>
      </c>
      <c r="C608" s="2" t="s">
        <v>1768</v>
      </c>
      <c r="D608" s="2" t="s">
        <v>211</v>
      </c>
      <c r="E608" s="2" t="s">
        <v>31</v>
      </c>
      <c r="F608" s="2" t="s">
        <v>15</v>
      </c>
      <c r="G608" s="2" t="s">
        <v>1769</v>
      </c>
      <c r="H608" s="2" t="s">
        <v>145</v>
      </c>
      <c r="I608" s="2" t="str">
        <f>IFERROR(__xludf.DUMMYFUNCTION("GOOGLETRANSLATE(C608,""fr"",""en"")"),"Very welcome from Emeline, pleasant on the phone. She answered all my questions positively. His answers were clear and precise.")</f>
        <v>Very welcome from Emeline, pleasant on the phone. She answered all my questions positively. His answers were clear and precise.</v>
      </c>
    </row>
    <row r="609" ht="15.75" customHeight="1">
      <c r="A609" s="2">
        <v>4.0</v>
      </c>
      <c r="B609" s="2" t="s">
        <v>1770</v>
      </c>
      <c r="C609" s="2" t="s">
        <v>1771</v>
      </c>
      <c r="D609" s="2" t="s">
        <v>125</v>
      </c>
      <c r="E609" s="2" t="s">
        <v>37</v>
      </c>
      <c r="F609" s="2" t="s">
        <v>15</v>
      </c>
      <c r="G609" s="2" t="s">
        <v>1772</v>
      </c>
      <c r="H609" s="2" t="s">
        <v>130</v>
      </c>
      <c r="I609" s="2" t="str">
        <f>IFERROR(__xludf.DUMMYFUNCTION("GOOGLETRANSLATE(C609,""fr"",""en"")"),"Excellent monitoring of the disaster, a trusted customer relationship and a speed of execution and exemplary compensation")</f>
        <v>Excellent monitoring of the disaster, a trusted customer relationship and a speed of execution and exemplary compensation</v>
      </c>
    </row>
    <row r="610" ht="15.75" customHeight="1">
      <c r="A610" s="2">
        <v>4.0</v>
      </c>
      <c r="B610" s="2" t="s">
        <v>1773</v>
      </c>
      <c r="C610" s="2" t="s">
        <v>1774</v>
      </c>
      <c r="D610" s="2" t="s">
        <v>36</v>
      </c>
      <c r="E610" s="2" t="s">
        <v>14</v>
      </c>
      <c r="F610" s="2" t="s">
        <v>15</v>
      </c>
      <c r="G610" s="2" t="s">
        <v>52</v>
      </c>
      <c r="H610" s="2" t="s">
        <v>27</v>
      </c>
      <c r="I610" s="2" t="str">
        <f>IFERROR(__xludf.DUMMYFUNCTION("GOOGLETRANSLATE(C610,""fr"",""en"")"),"The subscription is simple and quick
I find the prices very suitable for my vehicle to insure
It seems to be good insurance I highly recommend
")</f>
        <v>The subscription is simple and quick
I find the prices very suitable for my vehicle to insure
It seems to be good insurance I highly recommend
</v>
      </c>
    </row>
    <row r="611" ht="15.75" customHeight="1">
      <c r="A611" s="2">
        <v>4.0</v>
      </c>
      <c r="B611" s="2" t="s">
        <v>1775</v>
      </c>
      <c r="C611" s="2" t="s">
        <v>1776</v>
      </c>
      <c r="D611" s="2" t="s">
        <v>36</v>
      </c>
      <c r="E611" s="2" t="s">
        <v>14</v>
      </c>
      <c r="F611" s="2" t="s">
        <v>15</v>
      </c>
      <c r="G611" s="2" t="s">
        <v>84</v>
      </c>
      <c r="H611" s="2" t="s">
        <v>85</v>
      </c>
      <c r="I611" s="2" t="str">
        <f>IFERROR(__xludf.DUMMYFUNCTION("GOOGLETRANSLATE(C611,""fr"",""en"")"),"The prices suit me. I am satisfied with your services and recommend your insurance company to other people around me and the family.")</f>
        <v>The prices suit me. I am satisfied with your services and recommend your insurance company to other people around me and the family.</v>
      </c>
    </row>
    <row r="612" ht="15.75" customHeight="1">
      <c r="A612" s="2">
        <v>2.0</v>
      </c>
      <c r="B612" s="2" t="s">
        <v>1777</v>
      </c>
      <c r="C612" s="2" t="s">
        <v>1778</v>
      </c>
      <c r="D612" s="2" t="s">
        <v>842</v>
      </c>
      <c r="E612" s="2" t="s">
        <v>31</v>
      </c>
      <c r="F612" s="2" t="s">
        <v>15</v>
      </c>
      <c r="G612" s="2" t="s">
        <v>1541</v>
      </c>
      <c r="H612" s="2" t="s">
        <v>167</v>
      </c>
      <c r="I612" s="2" t="str">
        <f>IFERROR(__xludf.DUMMYFUNCTION("GOOGLETRANSLATE(C612,""fr"",""en"")"),"They have canceled the guarantees of my children without warning me.
You are good to garner money without the service that goes with it.")</f>
        <v>They have canceled the guarantees of my children without warning me.
You are good to garner money without the service that goes with it.</v>
      </c>
    </row>
    <row r="613" ht="15.75" customHeight="1">
      <c r="A613" s="2">
        <v>1.0</v>
      </c>
      <c r="B613" s="2" t="s">
        <v>1779</v>
      </c>
      <c r="C613" s="2" t="s">
        <v>1780</v>
      </c>
      <c r="D613" s="2" t="s">
        <v>80</v>
      </c>
      <c r="E613" s="2" t="s">
        <v>37</v>
      </c>
      <c r="F613" s="2" t="s">
        <v>15</v>
      </c>
      <c r="G613" s="2" t="s">
        <v>1781</v>
      </c>
      <c r="H613" s="2" t="s">
        <v>276</v>
      </c>
      <c r="I613" s="2" t="str">
        <f>IFERROR(__xludf.DUMMYFUNCTION("GOOGLETRANSLATE(C613,""fr"",""en"")"),"Assurance that does not completely do with the world, I am in dispute on a portal destroyed by the storm in December 2019, and since no news. I sent at least ten emails, no answer. By cons to collect the sums of contribution, there are people.")</f>
        <v>Assurance that does not completely do with the world, I am in dispute on a portal destroyed by the storm in December 2019, and since no news. I sent at least ten emails, no answer. By cons to collect the sums of contribution, there are people.</v>
      </c>
    </row>
    <row r="614" ht="15.75" customHeight="1">
      <c r="A614" s="2">
        <v>5.0</v>
      </c>
      <c r="B614" s="2" t="s">
        <v>1782</v>
      </c>
      <c r="C614" s="2" t="s">
        <v>1783</v>
      </c>
      <c r="D614" s="2" t="s">
        <v>36</v>
      </c>
      <c r="E614" s="2" t="s">
        <v>14</v>
      </c>
      <c r="F614" s="2" t="s">
        <v>15</v>
      </c>
      <c r="G614" s="2" t="s">
        <v>666</v>
      </c>
      <c r="H614" s="2" t="s">
        <v>85</v>
      </c>
      <c r="I614" s="2" t="str">
        <f>IFERROR(__xludf.DUMMYFUNCTION("GOOGLETRANSLATE(C614,""fr"",""en"")"),"I am satisfied with the service, it was fast and the prices suit me.
If all goes well I intend to buy a second vehicle compared to what Directly offered me.")</f>
        <v>I am satisfied with the service, it was fast and the prices suit me.
If all goes well I intend to buy a second vehicle compared to what Directly offered me.</v>
      </c>
    </row>
    <row r="615" ht="15.75" customHeight="1">
      <c r="A615" s="2">
        <v>1.0</v>
      </c>
      <c r="B615" s="2" t="s">
        <v>1784</v>
      </c>
      <c r="C615" s="2" t="s">
        <v>1785</v>
      </c>
      <c r="D615" s="2" t="s">
        <v>20</v>
      </c>
      <c r="E615" s="2" t="s">
        <v>14</v>
      </c>
      <c r="F615" s="2" t="s">
        <v>15</v>
      </c>
      <c r="G615" s="2" t="s">
        <v>1786</v>
      </c>
      <c r="H615" s="2" t="s">
        <v>487</v>
      </c>
      <c r="I615" s="2" t="str">
        <f>IFERROR(__xludf.DUMMYFUNCTION("GOOGLETRANSLATE(C615,""fr"",""en"")"),"Very disgusted with axa morocco in tangier. I am really very disappointed ... bcp of problem during the payment nothing is clear. The agent says that the system is not reliable.")</f>
        <v>Very disgusted with axa morocco in tangier. I am really very disappointed ... bcp of problem during the payment nothing is clear. The agent says that the system is not reliable.</v>
      </c>
    </row>
    <row r="616" ht="15.75" customHeight="1">
      <c r="A616" s="2">
        <v>2.0</v>
      </c>
      <c r="B616" s="2" t="s">
        <v>1787</v>
      </c>
      <c r="C616" s="2" t="s">
        <v>1788</v>
      </c>
      <c r="D616" s="2" t="s">
        <v>790</v>
      </c>
      <c r="E616" s="2" t="s">
        <v>121</v>
      </c>
      <c r="F616" s="2" t="s">
        <v>15</v>
      </c>
      <c r="G616" s="2" t="s">
        <v>1789</v>
      </c>
      <c r="H616" s="2" t="s">
        <v>223</v>
      </c>
      <c r="I616" s="2" t="str">
        <f>IFERROR(__xludf.DUMMYFUNCTION("GOOGLETRANSLATE(C616,""fr"",""en"")"),"Of very bad times, they have taken care of me for 55 months and for 1 years has stopped care since all the agricultural credits in France no longer works with them, so I recommend to all Crédit Agricole customers to change insurance for home credit and ta"&amp;"ke theirs")</f>
        <v>Of very bad times, they have taken care of me for 55 months and for 1 years has stopped care since all the agricultural credits in France no longer works with them, so I recommend to all Crédit Agricole customers to change insurance for home credit and take theirs</v>
      </c>
    </row>
    <row r="617" ht="15.75" customHeight="1">
      <c r="A617" s="2">
        <v>2.0</v>
      </c>
      <c r="B617" s="2" t="s">
        <v>1790</v>
      </c>
      <c r="C617" s="2" t="s">
        <v>1791</v>
      </c>
      <c r="D617" s="2" t="s">
        <v>125</v>
      </c>
      <c r="E617" s="2" t="s">
        <v>14</v>
      </c>
      <c r="F617" s="2" t="s">
        <v>15</v>
      </c>
      <c r="G617" s="2" t="s">
        <v>1792</v>
      </c>
      <c r="H617" s="2" t="s">
        <v>313</v>
      </c>
      <c r="I617" s="2" t="str">
        <f>IFERROR(__xludf.DUMMYFUNCTION("GOOGLETRANSLATE(C617,""fr"",""en"")"),"Impossible does not negotiate the price despite four GMF car contracts main residence and legal assistance")</f>
        <v>Impossible does not negotiate the price despite four GMF car contracts main residence and legal assistance</v>
      </c>
    </row>
    <row r="618" ht="15.75" customHeight="1">
      <c r="A618" s="2">
        <v>1.0</v>
      </c>
      <c r="B618" s="2" t="s">
        <v>1793</v>
      </c>
      <c r="C618" s="2" t="s">
        <v>1794</v>
      </c>
      <c r="D618" s="2" t="s">
        <v>1795</v>
      </c>
      <c r="E618" s="2" t="s">
        <v>121</v>
      </c>
      <c r="F618" s="2" t="s">
        <v>15</v>
      </c>
      <c r="G618" s="2" t="s">
        <v>1796</v>
      </c>
      <c r="H618" s="2" t="s">
        <v>313</v>
      </c>
      <c r="I618" s="2" t="str">
        <f>IFERROR(__xludf.DUMMYFUNCTION("GOOGLETRANSLATE(C618,""fr"",""en"")"),"Hello I am in a more complex wage maintenance situation and also impossible to reach them for so much adherent at home since the beginning of the year, a great matter in matters on their part of many forums denounces this mutism and disrespect which they "&amp;"share I have This fact for part filed a complaint for lies advertising and sale of false engagement. My institution having been informed of the procedure I advise you in doing as much to all those who concerns to join them, I think that you have to block "&amp;"you Christmas well")</f>
        <v>Hello I am in a more complex wage maintenance situation and also impossible to reach them for so much adherent at home since the beginning of the year, a great matter in matters on their part of many forums denounces this mutism and disrespect which they share I have This fact for part filed a complaint for lies advertising and sale of false engagement. My institution having been informed of the procedure I advise you in doing as much to all those who concerns to join them, I think that you have to block you Christmas well</v>
      </c>
    </row>
    <row r="619" ht="15.75" customHeight="1">
      <c r="A619" s="2">
        <v>1.0</v>
      </c>
      <c r="B619" s="2" t="s">
        <v>1797</v>
      </c>
      <c r="C619" s="2" t="s">
        <v>1798</v>
      </c>
      <c r="D619" s="2" t="s">
        <v>414</v>
      </c>
      <c r="E619" s="2" t="s">
        <v>14</v>
      </c>
      <c r="F619" s="2" t="s">
        <v>15</v>
      </c>
      <c r="G619" s="2" t="s">
        <v>1799</v>
      </c>
      <c r="H619" s="2" t="s">
        <v>320</v>
      </c>
      <c r="I619" s="2" t="str">
        <f>IFERROR(__xludf.DUMMYFUNCTION("GOOGLETRANSLATE(C619,""fr"",""en"")"),"I just asked them for a quote. I come across a commercially aggressive person.
I can later realize that the contract was signed (obviously not by me). In parallel I was insured with another much cheaper insurer!
These facts are very serious if an ad"&amp;"visor has signed for me!
I do not recommend at all, neither closely, nor by far!")</f>
        <v>I just asked them for a quote. I come across a commercially aggressive person.
I can later realize that the contract was signed (obviously not by me). In parallel I was insured with another much cheaper insurer!
These facts are very serious if an advisor has signed for me!
I do not recommend at all, neither closely, nor by far!</v>
      </c>
    </row>
    <row r="620" ht="15.75" customHeight="1">
      <c r="A620" s="2">
        <v>4.0</v>
      </c>
      <c r="B620" s="2" t="s">
        <v>1800</v>
      </c>
      <c r="C620" s="2" t="s">
        <v>1801</v>
      </c>
      <c r="D620" s="2" t="s">
        <v>13</v>
      </c>
      <c r="E620" s="2" t="s">
        <v>14</v>
      </c>
      <c r="F620" s="2" t="s">
        <v>15</v>
      </c>
      <c r="G620" s="2" t="s">
        <v>782</v>
      </c>
      <c r="H620" s="2" t="s">
        <v>269</v>
      </c>
      <c r="I620" s="2" t="str">
        <f>IFERROR(__xludf.DUMMYFUNCTION("GOOGLETRANSLATE(C620,""fr"",""en"")"),"I have just taken out a car contract on the Olivier Insurance website. Simple and quick. Correct price with regard to guarantees. To see for the suite so sinister ...")</f>
        <v>I have just taken out a car contract on the Olivier Insurance website. Simple and quick. Correct price with regard to guarantees. To see for the suite so sinister ...</v>
      </c>
    </row>
    <row r="621" ht="15.75" customHeight="1">
      <c r="A621" s="2">
        <v>2.0</v>
      </c>
      <c r="B621" s="2" t="s">
        <v>1802</v>
      </c>
      <c r="C621" s="2" t="s">
        <v>1803</v>
      </c>
      <c r="D621" s="2" t="s">
        <v>430</v>
      </c>
      <c r="E621" s="2" t="s">
        <v>51</v>
      </c>
      <c r="F621" s="2" t="s">
        <v>15</v>
      </c>
      <c r="G621" s="2" t="s">
        <v>1272</v>
      </c>
      <c r="H621" s="2" t="s">
        <v>487</v>
      </c>
      <c r="I621" s="2" t="str">
        <f>IFERROR(__xludf.DUMMYFUNCTION("GOOGLETRANSLATE(C621,""fr"",""en"")"),"Attention insurer who announces that it is necessary to engrave a scooter if name no flight insurance and if I am not happy I can see elsewhere for you to choose")</f>
        <v>Attention insurer who announces that it is necessary to engrave a scooter if name no flight insurance and if I am not happy I can see elsewhere for you to choose</v>
      </c>
    </row>
    <row r="622" ht="15.75" customHeight="1">
      <c r="A622" s="2">
        <v>5.0</v>
      </c>
      <c r="B622" s="2" t="s">
        <v>1804</v>
      </c>
      <c r="C622" s="2" t="s">
        <v>1805</v>
      </c>
      <c r="D622" s="2" t="s">
        <v>238</v>
      </c>
      <c r="E622" s="2" t="s">
        <v>31</v>
      </c>
      <c r="F622" s="2" t="s">
        <v>15</v>
      </c>
      <c r="G622" s="2" t="s">
        <v>565</v>
      </c>
      <c r="H622" s="2" t="s">
        <v>85</v>
      </c>
      <c r="I622" s="2" t="str">
        <f>IFERROR(__xludf.DUMMYFUNCTION("GOOGLETRANSLATE(C622,""fr"",""en"")"),"Hello,
This little word to express my most perfect satisfaction with regard to my mutual contract with Generation.
In addition to the guarantees that really cover health expenses, I have always had to do with charming and above all very available staff,"&amp;" which becomes very difficult to find in these overloaded times.
Thank you again for your professionalism.
Well to you.")</f>
        <v>Hello,
This little word to express my most perfect satisfaction with regard to my mutual contract with Generation.
In addition to the guarantees that really cover health expenses, I have always had to do with charming and above all very available staff, which becomes very difficult to find in these overloaded times.
Thank you again for your professionalism.
Well to you.</v>
      </c>
    </row>
    <row r="623" ht="15.75" customHeight="1">
      <c r="A623" s="2">
        <v>1.0</v>
      </c>
      <c r="B623" s="2" t="s">
        <v>1806</v>
      </c>
      <c r="C623" s="2" t="s">
        <v>1807</v>
      </c>
      <c r="D623" s="2" t="s">
        <v>636</v>
      </c>
      <c r="E623" s="2" t="s">
        <v>31</v>
      </c>
      <c r="F623" s="2" t="s">
        <v>15</v>
      </c>
      <c r="G623" s="2" t="s">
        <v>1808</v>
      </c>
      <c r="H623" s="2" t="s">
        <v>117</v>
      </c>
      <c r="I623" s="2" t="str">
        <f>IFERROR(__xludf.DUMMYFUNCTION("GOOGLETRANSLATE(C623,""fr"",""en"")"),"To flee, we have adhered for 2 months any refund to make any teletransmission of fact with the CPAM. Error on birth dates The social security numbers ... on the other hand to take any concern for no delay. The biggest regret of my life to have known this "&amp;"mutual")</f>
        <v>To flee, we have adhered for 2 months any refund to make any teletransmission of fact with the CPAM. Error on birth dates The social security numbers ... on the other hand to take any concern for no delay. The biggest regret of my life to have known this mutual</v>
      </c>
    </row>
    <row r="624" ht="15.75" customHeight="1">
      <c r="A624" s="2">
        <v>3.0</v>
      </c>
      <c r="B624" s="2" t="s">
        <v>1809</v>
      </c>
      <c r="C624" s="2" t="s">
        <v>1810</v>
      </c>
      <c r="D624" s="2" t="s">
        <v>88</v>
      </c>
      <c r="E624" s="2" t="s">
        <v>31</v>
      </c>
      <c r="F624" s="2" t="s">
        <v>15</v>
      </c>
      <c r="G624" s="2" t="s">
        <v>1808</v>
      </c>
      <c r="H624" s="2" t="s">
        <v>117</v>
      </c>
      <c r="I624" s="2" t="str">
        <f>IFERROR(__xludf.DUMMYFUNCTION("GOOGLETRANSLATE(C624,""fr"",""en"")"),"Satisfied with customer service and the answers provided ...........")</f>
        <v>Satisfied with customer service and the answers provided ...........</v>
      </c>
    </row>
    <row r="625" ht="15.75" customHeight="1">
      <c r="A625" s="2">
        <v>5.0</v>
      </c>
      <c r="B625" s="2" t="s">
        <v>1811</v>
      </c>
      <c r="C625" s="2" t="s">
        <v>1812</v>
      </c>
      <c r="D625" s="2" t="s">
        <v>13</v>
      </c>
      <c r="E625" s="2" t="s">
        <v>14</v>
      </c>
      <c r="F625" s="2" t="s">
        <v>15</v>
      </c>
      <c r="G625" s="2" t="s">
        <v>1813</v>
      </c>
      <c r="H625" s="2" t="s">
        <v>47</v>
      </c>
      <c r="I625" s="2" t="str">
        <f>IFERROR(__xludf.DUMMYFUNCTION("GOOGLETRANSLATE(C625,""fr"",""en"")"),"Nothing to report very happy for the moment the price challenged all competition and the options offer are great thank you to your teams I hope to continue to be satisfied")</f>
        <v>Nothing to report very happy for the moment the price challenged all competition and the options offer are great thank you to your teams I hope to continue to be satisfied</v>
      </c>
    </row>
    <row r="626" ht="15.75" customHeight="1">
      <c r="A626" s="2">
        <v>3.0</v>
      </c>
      <c r="B626" s="2" t="s">
        <v>1814</v>
      </c>
      <c r="C626" s="2" t="s">
        <v>1815</v>
      </c>
      <c r="D626" s="2" t="s">
        <v>13</v>
      </c>
      <c r="E626" s="2" t="s">
        <v>14</v>
      </c>
      <c r="F626" s="2" t="s">
        <v>15</v>
      </c>
      <c r="G626" s="2" t="s">
        <v>1816</v>
      </c>
      <c r="H626" s="2" t="s">
        <v>578</v>
      </c>
      <c r="I626" s="2" t="str">
        <f>IFERROR(__xludf.DUMMYFUNCTION("GOOGLETRANSLATE(C626,""fr"",""en"")"),"I have a non -responsible disaster during treatment and given the comments I have read, I worry a lot. To see in the coming days ....")</f>
        <v>I have a non -responsible disaster during treatment and given the comments I have read, I worry a lot. To see in the coming days ....</v>
      </c>
    </row>
    <row r="627" ht="15.75" customHeight="1">
      <c r="A627" s="2">
        <v>5.0</v>
      </c>
      <c r="B627" s="2" t="s">
        <v>1817</v>
      </c>
      <c r="C627" s="2" t="s">
        <v>1818</v>
      </c>
      <c r="D627" s="2" t="s">
        <v>36</v>
      </c>
      <c r="E627" s="2" t="s">
        <v>14</v>
      </c>
      <c r="F627" s="2" t="s">
        <v>15</v>
      </c>
      <c r="G627" s="2" t="s">
        <v>163</v>
      </c>
      <c r="H627" s="2" t="s">
        <v>85</v>
      </c>
      <c r="I627" s="2" t="str">
        <f>IFERROR(__xludf.DUMMYFUNCTION("GOOGLETRANSLATE(C627,""fr"",""en"")"),"Quick and practical quote, clear and complete site. Fast. I have nothing to add.
Thank you for the support and rapid start of insurance!")</f>
        <v>Quick and practical quote, clear and complete site. Fast. I have nothing to add.
Thank you for the support and rapid start of insurance!</v>
      </c>
    </row>
    <row r="628" ht="15.75" customHeight="1">
      <c r="A628" s="2">
        <v>1.0</v>
      </c>
      <c r="B628" s="2" t="s">
        <v>1819</v>
      </c>
      <c r="C628" s="2" t="s">
        <v>1820</v>
      </c>
      <c r="D628" s="2" t="s">
        <v>88</v>
      </c>
      <c r="E628" s="2" t="s">
        <v>31</v>
      </c>
      <c r="F628" s="2" t="s">
        <v>15</v>
      </c>
      <c r="G628" s="2" t="s">
        <v>1821</v>
      </c>
      <c r="H628" s="2" t="s">
        <v>149</v>
      </c>
      <c r="I628" s="2" t="str">
        <f>IFERROR(__xludf.DUMMYFUNCTION("GOOGLETRANSLATE(C628,""fr"",""en"")")," To flee absolutely difficult to reach, impossible to terminate sends message on site and oops impossible as usual. By phone, arm yourself with patience!
I sent a registered letter on October 21 to terminate my Mutual Arriving Mutual on 01/01 I was on ti"&amp;"me but I was wrong on my letter and I put on 1/01/2021 instead of 31 /12/2020 for the end date. So letter of refusal of termination for date error and of course they took 1 month and a half to answer me. So I send a certificate from my employer saying tha"&amp;"t I had to join the mandatory mutual insurance company still by recommended and there no answer ... No messaging on the site that oops is disturbed ... what about calls calls Telephone or we are waiting for leads that you are answered, never the right per"&amp;"son on the phone and we pass you the service but oops the phone cuts you have to remember and re-demi-hour waiting but we can do nothing for me You have to send a letter but of course that I am in my right and then phew I swell them I feel good and there "&amp;"I am clinging to the nose very surprised because I have not been imply or insistent I have been working in the trade since if For a long time that I know that the poor girl who is on the end of the line there is for nothing but for once I almost regret no"&amp;"t having pissed off. The next step I will call on the mediator of the Republic and file a complaint to terminate a mutual that I no longer need we walk on the head. In short to flee absolutely
")</f>
        <v> To flee absolutely difficult to reach, impossible to terminate sends message on site and oops impossible as usual. By phone, arm yourself with patience!
I sent a registered letter on October 21 to terminate my Mutual Arriving Mutual on 01/01 I was on time but I was wrong on my letter and I put on 1/01/2021 instead of 31 /12/2020 for the end date. So letter of refusal of termination for date error and of course they took 1 month and a half to answer me. So I send a certificate from my employer saying that I had to join the mandatory mutual insurance company still by recommended and there no answer ... No messaging on the site that oops is disturbed ... what about calls calls Telephone or we are waiting for leads that you are answered, never the right person on the phone and we pass you the service but oops the phone cuts you have to remember and re-demi-hour waiting but we can do nothing for me You have to send a letter but of course that I am in my right and then phew I swell them I feel good and there I am clinging to the nose very surprised because I have not been imply or insistent I have been working in the trade since if For a long time that I know that the poor girl who is on the end of the line there is for nothing but for once I almost regret not having pissed off. The next step I will call on the mediator of the Republic and file a complaint to terminate a mutual that I no longer need we walk on the head. In short to flee absolutely
</v>
      </c>
    </row>
    <row r="629" ht="15.75" customHeight="1">
      <c r="A629" s="2">
        <v>1.0</v>
      </c>
      <c r="B629" s="2" t="s">
        <v>1822</v>
      </c>
      <c r="C629" s="2" t="s">
        <v>1823</v>
      </c>
      <c r="D629" s="2" t="s">
        <v>264</v>
      </c>
      <c r="E629" s="2" t="s">
        <v>31</v>
      </c>
      <c r="F629" s="2" t="s">
        <v>15</v>
      </c>
      <c r="G629" s="2" t="s">
        <v>1824</v>
      </c>
      <c r="H629" s="2" t="s">
        <v>85</v>
      </c>
      <c r="I629" s="2" t="str">
        <f>IFERROR(__xludf.DUMMYFUNCTION("GOOGLETRANSLATE(C629,""fr"",""en"")"),"Notice to all those who have CEGEMA as mutual health insurance. Please write to us at the next emails. jeanpierrezerg@yahoo.fr and jMR93600@aol.com to glimpse an action against not honoring its mutual insurance commitments in terms of reimbursements and s"&amp;"ilent response.")</f>
        <v>Notice to all those who have CEGEMA as mutual health insurance. Please write to us at the next emails. jeanpierrezerg@yahoo.fr and jMR93600@aol.com to glimpse an action against not honoring its mutual insurance commitments in terms of reimbursements and silent response.</v>
      </c>
    </row>
    <row r="630" ht="15.75" customHeight="1">
      <c r="A630" s="2">
        <v>1.0</v>
      </c>
      <c r="B630" s="2" t="s">
        <v>1825</v>
      </c>
      <c r="C630" s="2" t="s">
        <v>1826</v>
      </c>
      <c r="D630" s="2" t="s">
        <v>636</v>
      </c>
      <c r="E630" s="2" t="s">
        <v>31</v>
      </c>
      <c r="F630" s="2" t="s">
        <v>15</v>
      </c>
      <c r="G630" s="2" t="s">
        <v>1827</v>
      </c>
      <c r="H630" s="2" t="s">
        <v>1167</v>
      </c>
      <c r="I630" s="2" t="str">
        <f>IFERROR(__xludf.DUMMYFUNCTION("GOOGLETRANSLATE(C630,""fr"",""en"")"),"I have never seen so much incompetence in M2, ..... ""Ah I can't tell you, I transmitted to the complaint service"" ...")</f>
        <v>I have never seen so much incompetence in M2, ..... "Ah I can't tell you, I transmitted to the complaint service" ...</v>
      </c>
    </row>
    <row r="631" ht="15.75" customHeight="1">
      <c r="A631" s="2">
        <v>5.0</v>
      </c>
      <c r="B631" s="2" t="s">
        <v>1828</v>
      </c>
      <c r="C631" s="2" t="s">
        <v>1829</v>
      </c>
      <c r="D631" s="2" t="s">
        <v>88</v>
      </c>
      <c r="E631" s="2" t="s">
        <v>31</v>
      </c>
      <c r="F631" s="2" t="s">
        <v>15</v>
      </c>
      <c r="G631" s="2" t="s">
        <v>1830</v>
      </c>
      <c r="H631" s="2" t="s">
        <v>130</v>
      </c>
      <c r="I631" s="2" t="str">
        <f>IFERROR(__xludf.DUMMYFUNCTION("GOOGLETRANSLATE(C631,""fr"",""en"")"),"I am very satisfied because my advisor Mr. Leonard Angstrom is endowed with a sense of communication and listening. It is his dedication for his work and his patience with the customers who pushed me to have confidence in him and to join your mutual. I wi"&amp;"sh him a very good luck.")</f>
        <v>I am very satisfied because my advisor Mr. Leonard Angstrom is endowed with a sense of communication and listening. It is his dedication for his work and his patience with the customers who pushed me to have confidence in him and to join your mutual. I wish him a very good luck.</v>
      </c>
    </row>
    <row r="632" ht="15.75" customHeight="1">
      <c r="A632" s="2">
        <v>4.0</v>
      </c>
      <c r="B632" s="2" t="s">
        <v>1831</v>
      </c>
      <c r="C632" s="2" t="s">
        <v>1832</v>
      </c>
      <c r="D632" s="2" t="s">
        <v>13</v>
      </c>
      <c r="E632" s="2" t="s">
        <v>14</v>
      </c>
      <c r="F632" s="2" t="s">
        <v>15</v>
      </c>
      <c r="G632" s="2" t="s">
        <v>858</v>
      </c>
      <c r="H632" s="2" t="s">
        <v>85</v>
      </c>
      <c r="I632" s="2" t="str">
        <f>IFERROR(__xludf.DUMMYFUNCTION("GOOGLETRANSLATE(C632,""fr"",""en"")"),"Satisfied.
I have not yet had to test the responsiveness and availability of the insurer in the event of an accident whether it is responsible or not so I reserve my full judgment for the moment (hoping never to be able to judge).
")</f>
        <v>Satisfied.
I have not yet had to test the responsiveness and availability of the insurer in the event of an accident whether it is responsible or not so I reserve my full judgment for the moment (hoping never to be able to judge).
</v>
      </c>
    </row>
    <row r="633" ht="15.75" customHeight="1">
      <c r="A633" s="2">
        <v>1.0</v>
      </c>
      <c r="B633" s="2" t="s">
        <v>1833</v>
      </c>
      <c r="C633" s="2" t="s">
        <v>1834</v>
      </c>
      <c r="D633" s="2" t="s">
        <v>30</v>
      </c>
      <c r="E633" s="2" t="s">
        <v>31</v>
      </c>
      <c r="F633" s="2" t="s">
        <v>15</v>
      </c>
      <c r="G633" s="2" t="s">
        <v>1835</v>
      </c>
      <c r="H633" s="2" t="s">
        <v>149</v>
      </c>
      <c r="I633" s="2" t="str">
        <f>IFERROR(__xludf.DUMMYFUNCTION("GOOGLETRANSLATE(C633,""fr"",""en"")"),"A mutual impossible to reach. Only reimburses small amounts, when it is an employer mutual with excellent guarantees. From the very low -end, in any case, not up to a mutual group with several thousand members.")</f>
        <v>A mutual impossible to reach. Only reimburses small amounts, when it is an employer mutual with excellent guarantees. From the very low -end, in any case, not up to a mutual group with several thousand members.</v>
      </c>
    </row>
    <row r="634" ht="15.75" customHeight="1">
      <c r="A634" s="2">
        <v>1.0</v>
      </c>
      <c r="B634" s="2" t="s">
        <v>1836</v>
      </c>
      <c r="C634" s="2" t="s">
        <v>1837</v>
      </c>
      <c r="D634" s="2" t="s">
        <v>1838</v>
      </c>
      <c r="E634" s="2" t="s">
        <v>253</v>
      </c>
      <c r="F634" s="2" t="s">
        <v>15</v>
      </c>
      <c r="G634" s="2" t="s">
        <v>178</v>
      </c>
      <c r="H634" s="2" t="s">
        <v>178</v>
      </c>
      <c r="I634" s="2" t="str">
        <f>IFERROR(__xludf.DUMMYFUNCTION("GOOGLETRANSLATE(C634,""fr"",""en"")"),"Literally taken hostage by this insurance! For 4 years, I have been insured with them, my subscription was € 26, then 4 years later € 55 !!!!
My cat is now sick, I can't go elsewhere! Impossible to reach customer service, my veterinarian having been mist"&amp;"aken to fill the treatment sheet since May, impossible to make me hear! I do not recommend it to anyone, to flee this insurance that triples the subscription! Go your way, even in front of an attractive contribution!")</f>
        <v>Literally taken hostage by this insurance! For 4 years, I have been insured with them, my subscription was € 26, then 4 years later € 55 !!!!
My cat is now sick, I can't go elsewhere! Impossible to reach customer service, my veterinarian having been mistaken to fill the treatment sheet since May, impossible to make me hear! I do not recommend it to anyone, to flee this insurance that triples the subscription! Go your way, even in front of an attractive contribution!</v>
      </c>
    </row>
    <row r="635" ht="15.75" customHeight="1">
      <c r="A635" s="2">
        <v>5.0</v>
      </c>
      <c r="B635" s="2" t="s">
        <v>1839</v>
      </c>
      <c r="C635" s="2" t="s">
        <v>1840</v>
      </c>
      <c r="D635" s="2" t="s">
        <v>76</v>
      </c>
      <c r="E635" s="2" t="s">
        <v>51</v>
      </c>
      <c r="F635" s="2" t="s">
        <v>15</v>
      </c>
      <c r="G635" s="2" t="s">
        <v>282</v>
      </c>
      <c r="H635" s="2" t="s">
        <v>27</v>
      </c>
      <c r="I635" s="2" t="str">
        <f>IFERROR(__xludf.DUMMYFUNCTION("GOOGLETRANSLATE(C635,""fr"",""en"")"),"I am very satisfied with the reception Tel, the Council and the overall service.
Bravo also for the ease of subscription of the contract
Have a good day")</f>
        <v>I am very satisfied with the reception Tel, the Council and the overall service.
Bravo also for the ease of subscription of the contract
Have a good day</v>
      </c>
    </row>
    <row r="636" ht="15.75" customHeight="1">
      <c r="A636" s="2">
        <v>1.0</v>
      </c>
      <c r="B636" s="2" t="s">
        <v>1841</v>
      </c>
      <c r="C636" s="2" t="s">
        <v>1842</v>
      </c>
      <c r="D636" s="2" t="s">
        <v>1075</v>
      </c>
      <c r="E636" s="2" t="s">
        <v>51</v>
      </c>
      <c r="F636" s="2" t="s">
        <v>15</v>
      </c>
      <c r="G636" s="2" t="s">
        <v>547</v>
      </c>
      <c r="H636" s="2" t="s">
        <v>137</v>
      </c>
      <c r="I636" s="2" t="str">
        <f>IFERROR(__xludf.DUMMYFUNCTION("GOOGLETRANSLATE(C636,""fr"",""en"")"),"It is better not to have a claim if one is a member of this mutual.")</f>
        <v>It is better not to have a claim if one is a member of this mutual.</v>
      </c>
    </row>
    <row r="637" ht="15.75" customHeight="1">
      <c r="A637" s="2">
        <v>4.0</v>
      </c>
      <c r="B637" s="2" t="s">
        <v>1843</v>
      </c>
      <c r="C637" s="2" t="s">
        <v>1844</v>
      </c>
      <c r="D637" s="2" t="s">
        <v>36</v>
      </c>
      <c r="E637" s="2" t="s">
        <v>14</v>
      </c>
      <c r="F637" s="2" t="s">
        <v>15</v>
      </c>
      <c r="G637" s="2" t="s">
        <v>377</v>
      </c>
      <c r="H637" s="2" t="s">
        <v>85</v>
      </c>
      <c r="I637" s="2" t="str">
        <f>IFERROR(__xludf.DUMMYFUNCTION("GOOGLETRANSLATE(C637,""fr"",""en"")"),"I am very satisfied with my direct insurance and the kindness of advisers during a very reasonable request and or questions and prices. Thank you Direct Assurance.")</f>
        <v>I am very satisfied with my direct insurance and the kindness of advisers during a very reasonable request and or questions and prices. Thank you Direct Assurance.</v>
      </c>
    </row>
    <row r="638" ht="15.75" customHeight="1">
      <c r="A638" s="2">
        <v>1.0</v>
      </c>
      <c r="B638" s="2" t="s">
        <v>1845</v>
      </c>
      <c r="C638" s="2" t="s">
        <v>1846</v>
      </c>
      <c r="D638" s="2" t="s">
        <v>264</v>
      </c>
      <c r="E638" s="2" t="s">
        <v>31</v>
      </c>
      <c r="F638" s="2" t="s">
        <v>15</v>
      </c>
      <c r="G638" s="2" t="s">
        <v>855</v>
      </c>
      <c r="H638" s="2" t="s">
        <v>320</v>
      </c>
      <c r="I638" s="2" t="str">
        <f>IFERROR(__xludf.DUMMYFUNCTION("GOOGLETRANSLATE(C638,""fr"",""en"")"),"First faith on I give my Cegema mutual card to a health professional (radiology), I am told no I do not take this mutual, so I ask why?
I am answered Cegema does not pay us, so I have to pay the difference is 30 percent.
And I have to wait a year to be "&amp;"able to change my mutual.
I will not keep a mutual that refused by health professionals
Alain Mountain")</f>
        <v>First faith on I give my Cegema mutual card to a health professional (radiology), I am told no I do not take this mutual, so I ask why?
I am answered Cegema does not pay us, so I have to pay the difference is 30 percent.
And I have to wait a year to be able to change my mutual.
I will not keep a mutual that refused by health professionals
Alain Mountain</v>
      </c>
    </row>
    <row r="639" ht="15.75" customHeight="1">
      <c r="A639" s="2">
        <v>4.0</v>
      </c>
      <c r="B639" s="2" t="s">
        <v>1847</v>
      </c>
      <c r="C639" s="2" t="s">
        <v>1848</v>
      </c>
      <c r="D639" s="2" t="s">
        <v>55</v>
      </c>
      <c r="E639" s="2" t="s">
        <v>14</v>
      </c>
      <c r="F639" s="2" t="s">
        <v>15</v>
      </c>
      <c r="G639" s="2" t="s">
        <v>1849</v>
      </c>
      <c r="H639" s="2" t="s">
        <v>684</v>
      </c>
      <c r="I639" s="2" t="str">
        <f>IFERROR(__xludf.DUMMYFUNCTION("GOOGLETRANSLATE(C639,""fr"",""en"")"),"Refund OK if you have a car would be reimbursed for the price of an electric bike but lacks total communication and Crédit Agricole takes the money but in the event of claims does not do nothing so to flee")</f>
        <v>Refund OK if you have a car would be reimbursed for the price of an electric bike but lacks total communication and Crédit Agricole takes the money but in the event of claims does not do nothing so to flee</v>
      </c>
    </row>
    <row r="640" ht="15.75" customHeight="1">
      <c r="A640" s="2">
        <v>5.0</v>
      </c>
      <c r="B640" s="2" t="s">
        <v>1850</v>
      </c>
      <c r="C640" s="2" t="s">
        <v>1851</v>
      </c>
      <c r="D640" s="2" t="s">
        <v>13</v>
      </c>
      <c r="E640" s="2" t="s">
        <v>14</v>
      </c>
      <c r="F640" s="2" t="s">
        <v>15</v>
      </c>
      <c r="G640" s="2" t="s">
        <v>230</v>
      </c>
      <c r="H640" s="2" t="s">
        <v>230</v>
      </c>
      <c r="I640" s="2" t="str">
        <f>IFERROR(__xludf.DUMMYFUNCTION("GOOGLETRANSLATE(C640,""fr"",""en"")"),"Very satisfied with my care when subscribing, very fast and efficient. Real operator listening to you. Happiness I fully recommend!")</f>
        <v>Very satisfied with my care when subscribing, very fast and efficient. Real operator listening to you. Happiness I fully recommend!</v>
      </c>
    </row>
    <row r="641" ht="15.75" customHeight="1">
      <c r="A641" s="2">
        <v>1.0</v>
      </c>
      <c r="B641" s="2" t="s">
        <v>1852</v>
      </c>
      <c r="C641" s="2" t="s">
        <v>1853</v>
      </c>
      <c r="D641" s="2" t="s">
        <v>285</v>
      </c>
      <c r="E641" s="2" t="s">
        <v>14</v>
      </c>
      <c r="F641" s="2" t="s">
        <v>15</v>
      </c>
      <c r="G641" s="2" t="s">
        <v>1646</v>
      </c>
      <c r="H641" s="2" t="s">
        <v>167</v>
      </c>
      <c r="I641" s="2" t="str">
        <f>IFERROR(__xludf.DUMMYFUNCTION("GOOGLETRANSLATE(C641,""fr"",""en"")"),"Paid by check in May 2018 documents sent by mail, pocketed check .... never received a green card despite dozens of requests, I drive without proof of insurance since even no customer number or contract never received anything in return from Their share, "&amp;"this insurance should not be recommended by ferret or lynx ..... FURST ACTIVE ACTIVE ASSUVE")</f>
        <v>Paid by check in May 2018 documents sent by mail, pocketed check .... never received a green card despite dozens of requests, I drive without proof of insurance since even no customer number or contract never received anything in return from Their share, this insurance should not be recommended by ferret or lynx ..... FURST ACTIVE ACTIVE ASSUVE</v>
      </c>
    </row>
    <row r="642" ht="15.75" customHeight="1">
      <c r="A642" s="2">
        <v>5.0</v>
      </c>
      <c r="B642" s="2" t="s">
        <v>1854</v>
      </c>
      <c r="C642" s="2" t="s">
        <v>1855</v>
      </c>
      <c r="D642" s="2" t="s">
        <v>50</v>
      </c>
      <c r="E642" s="2" t="s">
        <v>51</v>
      </c>
      <c r="F642" s="2" t="s">
        <v>15</v>
      </c>
      <c r="G642" s="2" t="s">
        <v>553</v>
      </c>
      <c r="H642" s="2" t="s">
        <v>230</v>
      </c>
      <c r="I642" s="2" t="str">
        <f>IFERROR(__xludf.DUMMYFUNCTION("GOOGLETRANSLATE(C642,""fr"",""en"")"),"I am satisfied good price very easy to access simple is then very fast I would recommend it to several of my friends and know is of course the family")</f>
        <v>I am satisfied good price very easy to access simple is then very fast I would recommend it to several of my friends and know is of course the family</v>
      </c>
    </row>
    <row r="643" ht="15.75" customHeight="1">
      <c r="A643" s="2">
        <v>1.0</v>
      </c>
      <c r="B643" s="2" t="s">
        <v>1856</v>
      </c>
      <c r="C643" s="2" t="s">
        <v>1857</v>
      </c>
      <c r="D643" s="2" t="s">
        <v>60</v>
      </c>
      <c r="E643" s="2" t="s">
        <v>37</v>
      </c>
      <c r="F643" s="2" t="s">
        <v>15</v>
      </c>
      <c r="G643" s="2" t="s">
        <v>1649</v>
      </c>
      <c r="H643" s="2" t="s">
        <v>591</v>
      </c>
      <c r="I643" s="2" t="str">
        <f>IFERROR(__xludf.DUMMYFUNCTION("GOOGLETRANSLATE(C643,""fr"",""en"")"),"Absolutely no management of their mistakes.
I requested termination of my contract before retraction period; Nothing is done!")</f>
        <v>Absolutely no management of their mistakes.
I requested termination of my contract before retraction period; Nothing is done!</v>
      </c>
    </row>
    <row r="644" ht="15.75" customHeight="1">
      <c r="A644" s="2">
        <v>3.0</v>
      </c>
      <c r="B644" s="2" t="s">
        <v>1858</v>
      </c>
      <c r="C644" s="2" t="s">
        <v>1859</v>
      </c>
      <c r="D644" s="2" t="s">
        <v>340</v>
      </c>
      <c r="E644" s="2" t="s">
        <v>21</v>
      </c>
      <c r="F644" s="2" t="s">
        <v>15</v>
      </c>
      <c r="G644" s="2" t="s">
        <v>1860</v>
      </c>
      <c r="H644" s="2" t="s">
        <v>90</v>
      </c>
      <c r="I644" s="2" t="str">
        <f>IFERROR(__xludf.DUMMYFUNCTION("GOOGLETRANSLATE(C644,""fr"",""en"")"),"I am very unhappy in 2006 Life insurance blocked 10 years and 20 years after I am told that it is now savings and retirement insurance.
Fortunately I went on April 13 to my Plessis agency because they found no trace of this account ??
No wonder bad date"&amp;" of birth so bad identity.
To date I ask to restore my file correctly
In addition every year I receive a paper indicating life insurance and not pension plan is really scandalous.
Cottet Christele born 09011970 and not 09011969 Contract number 61051365"&amp;"534 Open on 01/30/2006")</f>
        <v>I am very unhappy in 2006 Life insurance blocked 10 years and 20 years after I am told that it is now savings and retirement insurance.
Fortunately I went on April 13 to my Plessis agency because they found no trace of this account ??
No wonder bad date of birth so bad identity.
To date I ask to restore my file correctly
In addition every year I receive a paper indicating life insurance and not pension plan is really scandalous.
Cottet Christele born 09011970 and not 09011969 Contract number 61051365534 Open on 01/30/2006</v>
      </c>
    </row>
    <row r="645" ht="15.75" customHeight="1">
      <c r="A645" s="2">
        <v>2.0</v>
      </c>
      <c r="B645" s="2" t="s">
        <v>1861</v>
      </c>
      <c r="C645" s="2" t="s">
        <v>1862</v>
      </c>
      <c r="D645" s="2" t="s">
        <v>143</v>
      </c>
      <c r="E645" s="2" t="s">
        <v>200</v>
      </c>
      <c r="F645" s="2" t="s">
        <v>15</v>
      </c>
      <c r="G645" s="2" t="s">
        <v>1863</v>
      </c>
      <c r="H645" s="2" t="s">
        <v>255</v>
      </c>
      <c r="I645" s="2" t="str">
        <f>IFERROR(__xludf.DUMMYFUNCTION("GOOGLETRANSLATE(C645,""fr"",""en"")"),"Ensured since 2002 I have never had any need to resort to my guarantees subscribed and the insurer has always had in time his failures unfortunately reached recently of a genetic illness things are gateted, following the medical lexpertise carried out on "&amp;"request of the insurer, the reimbursement of the latter under the pretext of the conclusions of this doctor Le Courier giving me just as information that my state does not correspond to the guarantees subscribed that I also subscribed to an IPT warranty b"&amp;"ut from which I can do nothing
Following my different calls, with the time of expectations you have to imagine, endless, I have a first advice which tells me to send me the conclusions of the doctor. I receive a Courier, my steps these famous conclusions"&amp;", reappel, again, again, Then, manager of the absent file but still a promise to send these conclusions, Courier identical to the first, again, advises not understanding my grievances asks me to make him advice and waiting for this Courier. By the bank fo"&amp;"r another loan for this same real estate project and strangely, without even warning me this loan was completely sold by this one")</f>
        <v>Ensured since 2002 I have never had any need to resort to my guarantees subscribed and the insurer has always had in time his failures unfortunately reached recently of a genetic illness things are gateted, following the medical lexpertise carried out on request of the insurer, the reimbursement of the latter under the pretext of the conclusions of this doctor Le Courier giving me just as information that my state does not correspond to the guarantees subscribed that I also subscribed to an IPT warranty but from which I can do nothing
Following my different calls, with the time of expectations you have to imagine, endless, I have a first advice which tells me to send me the conclusions of the doctor. I receive a Courier, my steps these famous conclusions, reappel, again, again, Then, manager of the absent file but still a promise to send these conclusions, Courier identical to the first, again, advises not understanding my grievances asks me to make him advice and waiting for this Courier. By the bank for another loan for this same real estate project and strangely, without even warning me this loan was completely sold by this one</v>
      </c>
    </row>
    <row r="646" ht="15.75" customHeight="1">
      <c r="A646" s="2">
        <v>3.0</v>
      </c>
      <c r="B646" s="2" t="s">
        <v>1864</v>
      </c>
      <c r="C646" s="2" t="s">
        <v>1865</v>
      </c>
      <c r="D646" s="2" t="s">
        <v>88</v>
      </c>
      <c r="E646" s="2" t="s">
        <v>31</v>
      </c>
      <c r="F646" s="2" t="s">
        <v>15</v>
      </c>
      <c r="G646" s="2" t="s">
        <v>1866</v>
      </c>
      <c r="H646" s="2" t="s">
        <v>504</v>
      </c>
      <c r="I646" s="2" t="str">
        <f>IFERROR(__xludf.DUMMYFUNCTION("GOOGLETRANSLATE(C646,""fr"",""en"")"),"My telephone contact was Caroline who clearly informed me by answering quickly and well to all my kind and competent questions ... Bravo")</f>
        <v>My telephone contact was Caroline who clearly informed me by answering quickly and well to all my kind and competent questions ... Bravo</v>
      </c>
    </row>
    <row r="647" ht="15.75" customHeight="1">
      <c r="A647" s="2">
        <v>3.0</v>
      </c>
      <c r="B647" s="2" t="s">
        <v>1867</v>
      </c>
      <c r="C647" s="2" t="s">
        <v>1868</v>
      </c>
      <c r="D647" s="2" t="s">
        <v>13</v>
      </c>
      <c r="E647" s="2" t="s">
        <v>14</v>
      </c>
      <c r="F647" s="2" t="s">
        <v>15</v>
      </c>
      <c r="G647" s="2" t="s">
        <v>243</v>
      </c>
      <c r="H647" s="2" t="s">
        <v>47</v>
      </c>
      <c r="I647" s="2" t="str">
        <f>IFERROR(__xludf.DUMMYFUNCTION("GOOGLETRANSLATE(C647,""fr"",""en"")"),"I am satisfied but I was already insured at home so it could be easier for a 2nd subtraction to your insurance e semplifies the box e lose - time thank you
")</f>
        <v>I am satisfied but I was already insured at home so it could be easier for a 2nd subtraction to your insurance e semplifies the box e lose - time thank you
</v>
      </c>
    </row>
    <row r="648" ht="15.75" customHeight="1">
      <c r="A648" s="2">
        <v>4.0</v>
      </c>
      <c r="B648" s="2" t="s">
        <v>1869</v>
      </c>
      <c r="C648" s="2" t="s">
        <v>1870</v>
      </c>
      <c r="D648" s="2" t="s">
        <v>50</v>
      </c>
      <c r="E648" s="2" t="s">
        <v>51</v>
      </c>
      <c r="F648" s="2" t="s">
        <v>15</v>
      </c>
      <c r="G648" s="2" t="s">
        <v>101</v>
      </c>
      <c r="H648" s="2" t="s">
        <v>85</v>
      </c>
      <c r="I648" s="2" t="str">
        <f>IFERROR(__xludf.DUMMYFUNCTION("GOOGLETRANSLATE(C648,""fr"",""en"")"),"I am satisfied........
Reactivity........
Quick prices readjustment .......
I quickly had an advisor on the phone
Fairly clear and intuitive site
")</f>
        <v>I am satisfied........
Reactivity........
Quick prices readjustment .......
I quickly had an advisor on the phone
Fairly clear and intuitive site
</v>
      </c>
    </row>
    <row r="649" ht="15.75" customHeight="1">
      <c r="A649" s="2">
        <v>4.0</v>
      </c>
      <c r="B649" s="2" t="s">
        <v>1871</v>
      </c>
      <c r="C649" s="2" t="s">
        <v>1872</v>
      </c>
      <c r="D649" s="2" t="s">
        <v>13</v>
      </c>
      <c r="E649" s="2" t="s">
        <v>14</v>
      </c>
      <c r="F649" s="2" t="s">
        <v>15</v>
      </c>
      <c r="G649" s="2" t="s">
        <v>1873</v>
      </c>
      <c r="H649" s="2" t="s">
        <v>145</v>
      </c>
      <c r="I649" s="2" t="str">
        <f>IFERROR(__xludf.DUMMYFUNCTION("GOOGLETRANSLATE(C649,""fr"",""en"")"),"Satisfied for the moment, the registration is quite facilitated thanks to the simple interface, the provisional green card has received in less than 3 days. Challenge prices for all competition.")</f>
        <v>Satisfied for the moment, the registration is quite facilitated thanks to the simple interface, the provisional green card has received in less than 3 days. Challenge prices for all competition.</v>
      </c>
    </row>
    <row r="650" ht="15.75" customHeight="1">
      <c r="A650" s="2">
        <v>1.0</v>
      </c>
      <c r="B650" s="2" t="s">
        <v>1874</v>
      </c>
      <c r="C650" s="2" t="s">
        <v>1875</v>
      </c>
      <c r="D650" s="2" t="s">
        <v>20</v>
      </c>
      <c r="E650" s="2" t="s">
        <v>14</v>
      </c>
      <c r="F650" s="2" t="s">
        <v>15</v>
      </c>
      <c r="G650" s="2" t="s">
        <v>622</v>
      </c>
      <c r="H650" s="2" t="s">
        <v>39</v>
      </c>
      <c r="I650" s="2" t="str">
        <f>IFERROR(__xludf.DUMMYFUNCTION("GOOGLETRANSLATE(C650,""fr"",""en"")"),"Flee Axa !!! I wonder how I did to land in this company! Following the unemployment, an unpaid one of my 2 vehicles, the insurer refuses to provide me with the information statements while this contract was paid by the Banque de France over -indebtedness "&amp;"file! Following CA, I terminated the current car contract which was paid, always refusal to give me the RI, I will take a lawyer!")</f>
        <v>Flee Axa !!! I wonder how I did to land in this company! Following the unemployment, an unpaid one of my 2 vehicles, the insurer refuses to provide me with the information statements while this contract was paid by the Banque de France over -indebtedness file! Following CA, I terminated the current car contract which was paid, always refusal to give me the RI, I will take a lawyer!</v>
      </c>
    </row>
    <row r="651" ht="15.75" customHeight="1">
      <c r="A651" s="2">
        <v>1.0</v>
      </c>
      <c r="B651" s="2" t="s">
        <v>1876</v>
      </c>
      <c r="C651" s="2" t="s">
        <v>1877</v>
      </c>
      <c r="D651" s="2" t="s">
        <v>414</v>
      </c>
      <c r="E651" s="2" t="s">
        <v>14</v>
      </c>
      <c r="F651" s="2" t="s">
        <v>15</v>
      </c>
      <c r="G651" s="2" t="s">
        <v>1878</v>
      </c>
      <c r="H651" s="2" t="s">
        <v>462</v>
      </c>
      <c r="I651" s="2" t="str">
        <f>IFERROR(__xludf.DUMMYFUNCTION("GOOGLETRANSLATE(C651,""fr"",""en"")"),"MAIF in general, like all insurances, but even more here: you dress, you dress, even if you have confusion.
It's beautiful to make pubs where Bladi Blada, members ... Pfff! Wind all!
No one answers the phone. It is necessary to wait more than 10 min.
N"&amp;"ever the same person listening to you.
Everything is billed to you: even a simple change of address. Of course it is not legal, see the CNIL, but they will kindly tell you that it is for the additional costs of reissue of the card or God knows what (like"&amp;" as if the price and the fees of files and the costs attacks were not sufficient)
Impossible to do anything on their site and of course, no one responds to your emails.
In case of problems, you will need to be patient.
I have only had unresponsible acc"&amp;"idents but already it is the galley ....
In short, in recent years, maif has become hell.
So even if it means doubling for nothing, you might as well give your money to another cheaper insurer.
Militant insurer ... Pffff let me laugh. To flee.")</f>
        <v>MAIF in general, like all insurances, but even more here: you dress, you dress, even if you have confusion.
It's beautiful to make pubs where Bladi Blada, members ... Pfff! Wind all!
No one answers the phone. It is necessary to wait more than 10 min.
Never the same person listening to you.
Everything is billed to you: even a simple change of address. Of course it is not legal, see the CNIL, but they will kindly tell you that it is for the additional costs of reissue of the card or God knows what (like as if the price and the fees of files and the costs attacks were not sufficient)
Impossible to do anything on their site and of course, no one responds to your emails.
In case of problems, you will need to be patient.
I have only had unresponsible accidents but already it is the galley ....
In short, in recent years, maif has become hell.
So even if it means doubling for nothing, you might as well give your money to another cheaper insurer.
Militant insurer ... Pffff let me laugh. To flee.</v>
      </c>
    </row>
    <row r="652" ht="15.75" customHeight="1">
      <c r="A652" s="2">
        <v>1.0</v>
      </c>
      <c r="B652" s="2" t="s">
        <v>1879</v>
      </c>
      <c r="C652" s="2" t="s">
        <v>1880</v>
      </c>
      <c r="D652" s="2" t="s">
        <v>13</v>
      </c>
      <c r="E652" s="2" t="s">
        <v>14</v>
      </c>
      <c r="F652" s="2" t="s">
        <v>15</v>
      </c>
      <c r="G652" s="2" t="s">
        <v>1881</v>
      </c>
      <c r="H652" s="2" t="s">
        <v>471</v>
      </c>
      <c r="I652" s="2" t="str">
        <f>IFERROR(__xludf.DUMMYFUNCTION("GOOGLETRANSLATE(C652,""fr"",""en"")"),"After a year of subscription, the price increased by 15%, while my bonus also increases and the value of my car decreases. We couldn't give me clear explanations, I couldn't offer me something else either.")</f>
        <v>After a year of subscription, the price increased by 15%, while my bonus also increases and the value of my car decreases. We couldn't give me clear explanations, I couldn't offer me something else either.</v>
      </c>
    </row>
    <row r="653" ht="15.75" customHeight="1">
      <c r="A653" s="2">
        <v>3.0</v>
      </c>
      <c r="B653" s="2" t="s">
        <v>1882</v>
      </c>
      <c r="C653" s="2" t="s">
        <v>1883</v>
      </c>
      <c r="D653" s="2" t="s">
        <v>36</v>
      </c>
      <c r="E653" s="2" t="s">
        <v>14</v>
      </c>
      <c r="F653" s="2" t="s">
        <v>15</v>
      </c>
      <c r="G653" s="2" t="s">
        <v>32</v>
      </c>
      <c r="H653" s="2" t="s">
        <v>33</v>
      </c>
      <c r="I653" s="2" t="str">
        <f>IFERROR(__xludf.DUMMYFUNCTION("GOOGLETRANSLATE(C653,""fr"",""en"")"),"The price as well as the guarantees suit me. I would be ready to recommend direct insurance to my loved ones. Why not diversify my insurance in the future")</f>
        <v>The price as well as the guarantees suit me. I would be ready to recommend direct insurance to my loved ones. Why not diversify my insurance in the future</v>
      </c>
    </row>
    <row r="654" ht="15.75" customHeight="1">
      <c r="A654" s="2">
        <v>2.0</v>
      </c>
      <c r="B654" s="2" t="s">
        <v>1884</v>
      </c>
      <c r="C654" s="2" t="s">
        <v>1885</v>
      </c>
      <c r="D654" s="2" t="s">
        <v>36</v>
      </c>
      <c r="E654" s="2" t="s">
        <v>14</v>
      </c>
      <c r="F654" s="2" t="s">
        <v>15</v>
      </c>
      <c r="G654" s="2" t="s">
        <v>669</v>
      </c>
      <c r="H654" s="2" t="s">
        <v>85</v>
      </c>
      <c r="I654" s="2" t="str">
        <f>IFERROR(__xludf.DUMMYFUNCTION("GOOGLETRANSLATE(C654,""fr"",""en"")"),"No reproach in terms of service except the absence of response to my message on the site. On the other hand, over the years the premium has increased without any claim being declared. The prices are not as competitive as announced.")</f>
        <v>No reproach in terms of service except the absence of response to my message on the site. On the other hand, over the years the premium has increased without any claim being declared. The prices are not as competitive as announced.</v>
      </c>
    </row>
    <row r="655" ht="15.75" customHeight="1">
      <c r="A655" s="2">
        <v>5.0</v>
      </c>
      <c r="B655" s="2" t="s">
        <v>1886</v>
      </c>
      <c r="C655" s="2" t="s">
        <v>1887</v>
      </c>
      <c r="D655" s="2" t="s">
        <v>13</v>
      </c>
      <c r="E655" s="2" t="s">
        <v>14</v>
      </c>
      <c r="F655" s="2" t="s">
        <v>15</v>
      </c>
      <c r="G655" s="2" t="s">
        <v>444</v>
      </c>
      <c r="H655" s="2" t="s">
        <v>43</v>
      </c>
      <c r="I655" s="2" t="str">
        <f>IFERROR(__xludf.DUMMYFUNCTION("GOOGLETRANSLATE(C655,""fr"",""en"")"),"So far satisfied with my car insurance. The prices are very interesting. The signature of documents is simple by the website")</f>
        <v>So far satisfied with my car insurance. The prices are very interesting. The signature of documents is simple by the website</v>
      </c>
    </row>
    <row r="656" ht="15.75" customHeight="1">
      <c r="A656" s="2">
        <v>2.0</v>
      </c>
      <c r="B656" s="2" t="s">
        <v>1888</v>
      </c>
      <c r="C656" s="2" t="s">
        <v>1889</v>
      </c>
      <c r="D656" s="2" t="s">
        <v>13</v>
      </c>
      <c r="E656" s="2" t="s">
        <v>14</v>
      </c>
      <c r="F656" s="2" t="s">
        <v>15</v>
      </c>
      <c r="G656" s="2" t="s">
        <v>1163</v>
      </c>
      <c r="H656" s="2" t="s">
        <v>230</v>
      </c>
      <c r="I656" s="2" t="str">
        <f>IFERROR(__xludf.DUMMYFUNCTION("GOOGLETRANSLATE(C656,""fr"",""en"")"),"Subscription fees of 75 euros unjustified.
This is what drops my note on the price.
I just subscribed, I cannot yet give a note on satisfaction. Insurance remains insurance, it covers everything except what must be covered. We finally take it just to be"&amp;" in good standing.")</f>
        <v>Subscription fees of 75 euros unjustified.
This is what drops my note on the price.
I just subscribed, I cannot yet give a note on satisfaction. Insurance remains insurance, it covers everything except what must be covered. We finally take it just to be in good standing.</v>
      </c>
    </row>
    <row r="657" ht="15.75" customHeight="1">
      <c r="A657" s="2">
        <v>1.0</v>
      </c>
      <c r="B657" s="2" t="s">
        <v>1890</v>
      </c>
      <c r="C657" s="2" t="s">
        <v>1891</v>
      </c>
      <c r="D657" s="2" t="s">
        <v>80</v>
      </c>
      <c r="E657" s="2" t="s">
        <v>14</v>
      </c>
      <c r="F657" s="2" t="s">
        <v>15</v>
      </c>
      <c r="G657" s="2" t="s">
        <v>1892</v>
      </c>
      <c r="H657" s="2" t="s">
        <v>432</v>
      </c>
      <c r="I657" s="2" t="str">
        <f>IFERROR(__xludf.DUMMYFUNCTION("GOOGLETRANSLATE(C657,""fr"",""en"")"),"Lack of direct contact with a local advisor, lost files, long reimbursements, not respond to the mail, impossible to communicate with. The office to which we are supposed to be attached, it has changed a lot, we have been. We have been customers for almos"&amp;"t 50 years: 2 cars, 1 truck, a motorcycle, a store 'a show-linked to a home, a residence main, a GD studio in Paris and we can only select that a product in your criteria")</f>
        <v>Lack of direct contact with a local advisor, lost files, long reimbursements, not respond to the mail, impossible to communicate with. The office to which we are supposed to be attached, it has changed a lot, we have been. We have been customers for almost 50 years: 2 cars, 1 truck, a motorcycle, a store 'a show-linked to a home, a residence main, a GD studio in Paris and we can only select that a product in your criteria</v>
      </c>
    </row>
    <row r="658" ht="15.75" customHeight="1">
      <c r="A658" s="2">
        <v>4.0</v>
      </c>
      <c r="B658" s="2" t="s">
        <v>1893</v>
      </c>
      <c r="C658" s="2" t="s">
        <v>1894</v>
      </c>
      <c r="D658" s="2" t="s">
        <v>13</v>
      </c>
      <c r="E658" s="2" t="s">
        <v>14</v>
      </c>
      <c r="F658" s="2" t="s">
        <v>15</v>
      </c>
      <c r="G658" s="2" t="s">
        <v>658</v>
      </c>
      <c r="H658" s="2" t="s">
        <v>47</v>
      </c>
      <c r="I658" s="2" t="str">
        <f>IFERROR(__xludf.DUMMYFUNCTION("GOOGLETRANSLATE(C658,""fr"",""en"")"),"I am satisfied and happy with the price offered to make sure at home as well as the speed of the competent seller.
PS: Mr. OUAIRY Eric")</f>
        <v>I am satisfied and happy with the price offered to make sure at home as well as the speed of the competent seller.
PS: Mr. OUAIRY Eric</v>
      </c>
    </row>
    <row r="659" ht="15.75" customHeight="1">
      <c r="A659" s="2">
        <v>1.0</v>
      </c>
      <c r="B659" s="2" t="s">
        <v>1895</v>
      </c>
      <c r="C659" s="2" t="s">
        <v>1896</v>
      </c>
      <c r="D659" s="2" t="s">
        <v>13</v>
      </c>
      <c r="E659" s="2" t="s">
        <v>14</v>
      </c>
      <c r="F659" s="2" t="s">
        <v>15</v>
      </c>
      <c r="G659" s="2" t="s">
        <v>177</v>
      </c>
      <c r="H659" s="2" t="s">
        <v>178</v>
      </c>
      <c r="I659" s="2" t="str">
        <f>IFERROR(__xludf.DUMMYFUNCTION("GOOGLETRANSLATE(C659,""fr"",""en"")"),"I insured myself at home last year and I was very satisfied until today because my new schedule for 2021 announces more than 10 euros per month of increase !! I call for explanations knowing that I had no claim ... And there an old guy (to remain polite) "&amp;"explains to me that it is due to the increase in theft and accidents where I live (lol) so me no accident, a closed garage I pay for people who in confinement almost all year round have had accidents ??? Is that a joke?! On this guy starts to take me high"&amp;" and tell me that if I am not happy I have only to change insurance .. I dream .. well you have just lost a client thank you adios!")</f>
        <v>I insured myself at home last year and I was very satisfied until today because my new schedule for 2021 announces more than 10 euros per month of increase !! I call for explanations knowing that I had no claim ... And there an old guy (to remain polite) explains to me that it is due to the increase in theft and accidents where I live (lol) so me no accident, a closed garage I pay for people who in confinement almost all year round have had accidents ??? Is that a joke?! On this guy starts to take me high and tell me that if I am not happy I have only to change insurance .. I dream .. well you have just lost a client thank you adios!</v>
      </c>
    </row>
    <row r="660" ht="15.75" customHeight="1">
      <c r="A660" s="2">
        <v>5.0</v>
      </c>
      <c r="B660" s="2" t="s">
        <v>1897</v>
      </c>
      <c r="C660" s="2" t="s">
        <v>1898</v>
      </c>
      <c r="D660" s="2" t="s">
        <v>125</v>
      </c>
      <c r="E660" s="2" t="s">
        <v>14</v>
      </c>
      <c r="F660" s="2" t="s">
        <v>15</v>
      </c>
      <c r="G660" s="2" t="s">
        <v>279</v>
      </c>
      <c r="H660" s="2" t="s">
        <v>43</v>
      </c>
      <c r="I660" s="2" t="str">
        <f>IFERROR(__xludf.DUMMYFUNCTION("GOOGLETRANSLATE(C660,""fr"",""en"")"),"I will never change insurance, I tried several and in the end I was never disappointed with GMF, both for prices and for services and the speed of processing of files")</f>
        <v>I will never change insurance, I tried several and in the end I was never disappointed with GMF, both for prices and for services and the speed of processing of files</v>
      </c>
    </row>
    <row r="661" ht="15.75" customHeight="1">
      <c r="A661" s="2">
        <v>4.0</v>
      </c>
      <c r="B661" s="2" t="s">
        <v>1899</v>
      </c>
      <c r="C661" s="2" t="s">
        <v>1900</v>
      </c>
      <c r="D661" s="2" t="s">
        <v>36</v>
      </c>
      <c r="E661" s="2" t="s">
        <v>14</v>
      </c>
      <c r="F661" s="2" t="s">
        <v>15</v>
      </c>
      <c r="G661" s="2" t="s">
        <v>1901</v>
      </c>
      <c r="H661" s="2" t="s">
        <v>43</v>
      </c>
      <c r="I661" s="2" t="str">
        <f>IFERROR(__xludf.DUMMYFUNCTION("GOOGLETRANSLATE(C661,""fr"",""en"")"),"I am satisfied with the prices. Consulting who called me immediately after my quote nothing to complain about everything is indicated for the guarantees I hope")</f>
        <v>I am satisfied with the prices. Consulting who called me immediately after my quote nothing to complain about everything is indicated for the guarantees I hope</v>
      </c>
    </row>
    <row r="662" ht="15.75" customHeight="1">
      <c r="A662" s="2">
        <v>4.0</v>
      </c>
      <c r="B662" s="2" t="s">
        <v>1902</v>
      </c>
      <c r="C662" s="2" t="s">
        <v>1903</v>
      </c>
      <c r="D662" s="2" t="s">
        <v>104</v>
      </c>
      <c r="E662" s="2" t="s">
        <v>31</v>
      </c>
      <c r="F662" s="2" t="s">
        <v>15</v>
      </c>
      <c r="G662" s="2" t="s">
        <v>1904</v>
      </c>
      <c r="H662" s="2" t="s">
        <v>106</v>
      </c>
      <c r="I662" s="2" t="str">
        <f>IFERROR(__xludf.DUMMYFUNCTION("GOOGLETRANSLATE(C662,""fr"",""en"")"),"True to the M.G.P. Throughout my career in the police, I am fully satisfied with his performances. I regret, each time, the high amount of my subscription and despite 100% care by Social Security for all of my many pathologies.
Admittedly, my contract ha"&amp;"s two life insurance but, despite everything, I find my contribution quite high, compared to other mutuals which have already contacted me. Nevertheless I remain faithful to the MGP that I defended all my life, as long as as a member as a section delegate"&amp;". I show you all my gratitude and my inexpressible fidelity again. Francis Dupriez - Honorary Police CDT.
  ")</f>
        <v>True to the M.G.P. Throughout my career in the police, I am fully satisfied with his performances. I regret, each time, the high amount of my subscription and despite 100% care by Social Security for all of my many pathologies.
Admittedly, my contract has two life insurance but, despite everything, I find my contribution quite high, compared to other mutuals which have already contacted me. Nevertheless I remain faithful to the MGP that I defended all my life, as long as as a member as a section delegate. I show you all my gratitude and my inexpressible fidelity again. Francis Dupriez - Honorary Police CDT.
  </v>
      </c>
    </row>
    <row r="663" ht="15.75" customHeight="1">
      <c r="A663" s="2">
        <v>5.0</v>
      </c>
      <c r="B663" s="2" t="s">
        <v>1905</v>
      </c>
      <c r="C663" s="2" t="s">
        <v>1906</v>
      </c>
      <c r="D663" s="2" t="s">
        <v>13</v>
      </c>
      <c r="E663" s="2" t="s">
        <v>14</v>
      </c>
      <c r="F663" s="2" t="s">
        <v>15</v>
      </c>
      <c r="G663" s="2" t="s">
        <v>1462</v>
      </c>
      <c r="H663" s="2" t="s">
        <v>320</v>
      </c>
      <c r="I663" s="2" t="str">
        <f>IFERROR(__xludf.DUMMYFUNCTION("GOOGLETRANSLATE(C663,""fr"",""en"")"),"My interlocutors were very professional and friendly. Easy to use site, in particular to transmit documents for car insurance")</f>
        <v>My interlocutors were very professional and friendly. Easy to use site, in particular to transmit documents for car insurance</v>
      </c>
    </row>
    <row r="664" ht="15.75" customHeight="1">
      <c r="A664" s="2">
        <v>1.0</v>
      </c>
      <c r="B664" s="2" t="s">
        <v>1907</v>
      </c>
      <c r="C664" s="2" t="s">
        <v>1908</v>
      </c>
      <c r="D664" s="2" t="s">
        <v>252</v>
      </c>
      <c r="E664" s="2" t="s">
        <v>253</v>
      </c>
      <c r="F664" s="2" t="s">
        <v>15</v>
      </c>
      <c r="G664" s="2" t="s">
        <v>109</v>
      </c>
      <c r="H664" s="2" t="s">
        <v>110</v>
      </c>
      <c r="I664" s="2" t="str">
        <f>IFERROR(__xludf.DUMMYFUNCTION("GOOGLETRANSLATE(C664,""fr"",""en"")"),"Membership of this insurance for my dog ​​Braque de Weimar.
Excellent welcome when membership by phone (of course)
Things were spoiled during the first refund request following surgery on one eye
All documents are sent but as this intervention took pla"&amp;"ce during the deficiency deadline, no care ...
I call customer service (8 minutes of waiting) by explaining to them that this detail has never been stipulated to me when I joined this contract. But nothing did it (so the 650 euros were from my pocket)
A"&amp;" few months later, a new problem with an eye but completely different.
Send documents and the same thing, no care because they associated this problem on the first.
Call to customer service (11 minutes) to hear me say the same thing ... Yet the veterina"&amp;"rian's care sheet clearly indicates a different care
So 645 euros of my pocket because this time they made a scanner ...
So...
So assurance to avoid absolutely. I have just sent my termination letter and as a priori all the conversation with customer s"&amp;"ervice are recorded, I said what I thought of their insurance")</f>
        <v>Membership of this insurance for my dog ​​Braque de Weimar.
Excellent welcome when membership by phone (of course)
Things were spoiled during the first refund request following surgery on one eye
All documents are sent but as this intervention took place during the deficiency deadline, no care ...
I call customer service (8 minutes of waiting) by explaining to them that this detail has never been stipulated to me when I joined this contract. But nothing did it (so the 650 euros were from my pocket)
A few months later, a new problem with an eye but completely different.
Send documents and the same thing, no care because they associated this problem on the first.
Call to customer service (11 minutes) to hear me say the same thing ... Yet the veterinarian's care sheet clearly indicates a different care
So 645 euros of my pocket because this time they made a scanner ...
So...
So assurance to avoid absolutely. I have just sent my termination letter and as a priori all the conversation with customer service are recorded, I said what I thought of their insurance</v>
      </c>
    </row>
    <row r="665" ht="15.75" customHeight="1">
      <c r="A665" s="2">
        <v>1.0</v>
      </c>
      <c r="B665" s="2" t="s">
        <v>1909</v>
      </c>
      <c r="C665" s="2" t="s">
        <v>1910</v>
      </c>
      <c r="D665" s="2" t="s">
        <v>36</v>
      </c>
      <c r="E665" s="2" t="s">
        <v>14</v>
      </c>
      <c r="F665" s="2" t="s">
        <v>15</v>
      </c>
      <c r="G665" s="2" t="s">
        <v>1130</v>
      </c>
      <c r="H665" s="2" t="s">
        <v>153</v>
      </c>
      <c r="I665" s="2" t="str">
        <f>IFERROR(__xludf.DUMMYFUNCTION("GOOGLETRANSLATE(C665,""fr"",""en"")"),"Insurance really zero I got burglarly I have to wait 6 months to be compensated and the worst is that you tell you that the invoices are photocopies and that he does not take care of.
Alala what get crazy !!!!!")</f>
        <v>Insurance really zero I got burglarly I have to wait 6 months to be compensated and the worst is that you tell you that the invoices are photocopies and that he does not take care of.
Alala what get crazy !!!!!</v>
      </c>
    </row>
    <row r="666" ht="15.75" customHeight="1">
      <c r="A666" s="2">
        <v>4.0</v>
      </c>
      <c r="B666" s="2" t="s">
        <v>1911</v>
      </c>
      <c r="C666" s="2" t="s">
        <v>1912</v>
      </c>
      <c r="D666" s="2" t="s">
        <v>36</v>
      </c>
      <c r="E666" s="2" t="s">
        <v>14</v>
      </c>
      <c r="F666" s="2" t="s">
        <v>15</v>
      </c>
      <c r="G666" s="2" t="s">
        <v>749</v>
      </c>
      <c r="H666" s="2" t="s">
        <v>171</v>
      </c>
      <c r="I666" s="2" t="str">
        <f>IFERROR(__xludf.DUMMYFUNCTION("GOOGLETRANSLATE(C666,""fr"",""en"")"),"I am satisfied with the services,
Price satisfied
Sometimes difficult to have information by phone.
If a question embarrasses the person, it tends to simply hang up.
")</f>
        <v>I am satisfied with the services,
Price satisfied
Sometimes difficult to have information by phone.
If a question embarrasses the person, it tends to simply hang up.
</v>
      </c>
    </row>
    <row r="667" ht="15.75" customHeight="1">
      <c r="A667" s="2">
        <v>4.0</v>
      </c>
      <c r="B667" s="2" t="s">
        <v>1913</v>
      </c>
      <c r="C667" s="2" t="s">
        <v>1914</v>
      </c>
      <c r="D667" s="2" t="s">
        <v>13</v>
      </c>
      <c r="E667" s="2" t="s">
        <v>14</v>
      </c>
      <c r="F667" s="2" t="s">
        <v>15</v>
      </c>
      <c r="G667" s="2" t="s">
        <v>1915</v>
      </c>
      <c r="H667" s="2" t="s">
        <v>145</v>
      </c>
      <c r="I667" s="2" t="str">
        <f>IFERROR(__xludf.DUMMYFUNCTION("GOOGLETRANSLATE(C667,""fr"",""en"")"),"Good insurance and very attractive price! I recommend
Even for young permit all types of vehicle is accepted even sports
Thank you for their confidence")</f>
        <v>Good insurance and very attractive price! I recommend
Even for young permit all types of vehicle is accepted even sports
Thank you for their confidence</v>
      </c>
    </row>
    <row r="668" ht="15.75" customHeight="1">
      <c r="A668" s="2">
        <v>5.0</v>
      </c>
      <c r="B668" s="2" t="s">
        <v>1916</v>
      </c>
      <c r="C668" s="2" t="s">
        <v>1917</v>
      </c>
      <c r="D668" s="2" t="s">
        <v>13</v>
      </c>
      <c r="E668" s="2" t="s">
        <v>14</v>
      </c>
      <c r="F668" s="2" t="s">
        <v>15</v>
      </c>
      <c r="G668" s="2" t="s">
        <v>658</v>
      </c>
      <c r="H668" s="2" t="s">
        <v>47</v>
      </c>
      <c r="I668" s="2" t="str">
        <f>IFERROR(__xludf.DUMMYFUNCTION("GOOGLETRANSLATE(C668,""fr"",""en"")"),"Very satisfied, correct price, pleasant and component person, everything is clear, recalled quickly, I recommend the olive tree, thank you for the service and the prices")</f>
        <v>Very satisfied, correct price, pleasant and component person, everything is clear, recalled quickly, I recommend the olive tree, thank you for the service and the prices</v>
      </c>
    </row>
    <row r="669" ht="15.75" customHeight="1">
      <c r="A669" s="2">
        <v>1.0</v>
      </c>
      <c r="B669" s="2" t="s">
        <v>1918</v>
      </c>
      <c r="C669" s="2" t="s">
        <v>1919</v>
      </c>
      <c r="D669" s="2" t="s">
        <v>304</v>
      </c>
      <c r="E669" s="2" t="s">
        <v>200</v>
      </c>
      <c r="F669" s="2" t="s">
        <v>15</v>
      </c>
      <c r="G669" s="2" t="s">
        <v>1920</v>
      </c>
      <c r="H669" s="2" t="s">
        <v>110</v>
      </c>
      <c r="I669" s="2" t="str">
        <f>IFERROR(__xludf.DUMMYFUNCTION("GOOGLETRANSLATE(C669,""fr"",""en"")"),"1 month to change an option, bunk folder then restart zero. In addition, the medical team is stupid incapable of validating basic documents, replied unnecessary exams")</f>
        <v>1 month to change an option, bunk folder then restart zero. In addition, the medical team is stupid incapable of validating basic documents, replied unnecessary exams</v>
      </c>
    </row>
    <row r="670" ht="15.75" customHeight="1">
      <c r="A670" s="2">
        <v>3.0</v>
      </c>
      <c r="B670" s="2" t="s">
        <v>1921</v>
      </c>
      <c r="C670" s="2" t="s">
        <v>1922</v>
      </c>
      <c r="D670" s="2" t="s">
        <v>36</v>
      </c>
      <c r="E670" s="2" t="s">
        <v>14</v>
      </c>
      <c r="F670" s="2" t="s">
        <v>15</v>
      </c>
      <c r="G670" s="2" t="s">
        <v>1045</v>
      </c>
      <c r="H670" s="2" t="s">
        <v>47</v>
      </c>
      <c r="I670" s="2" t="str">
        <f>IFERROR(__xludf.DUMMYFUNCTION("GOOGLETRANSLATE(C670,""fr"",""en"")"),"Simple and practical especially for the declaration of simple online disaster,
Correct but not very negotiable price with excessive occasional ice cream and user package")</f>
        <v>Simple and practical especially for the declaration of simple online disaster,
Correct but not very negotiable price with excessive occasional ice cream and user package</v>
      </c>
    </row>
    <row r="671" ht="15.75" customHeight="1">
      <c r="A671" s="2">
        <v>5.0</v>
      </c>
      <c r="B671" s="2" t="s">
        <v>1923</v>
      </c>
      <c r="C671" s="2" t="s">
        <v>1924</v>
      </c>
      <c r="D671" s="2" t="s">
        <v>36</v>
      </c>
      <c r="E671" s="2" t="s">
        <v>14</v>
      </c>
      <c r="F671" s="2" t="s">
        <v>15</v>
      </c>
      <c r="G671" s="2" t="s">
        <v>187</v>
      </c>
      <c r="H671" s="2" t="s">
        <v>33</v>
      </c>
      <c r="I671" s="2" t="str">
        <f>IFERROR(__xludf.DUMMYFUNCTION("GOOGLETRANSLATE(C671,""fr"",""en"")"),"Very satisfied with the responsiveness and simplicity of the process!
Some bugs on the site but the finalization went well
everything we can expect from insurance")</f>
        <v>Very satisfied with the responsiveness and simplicity of the process!
Some bugs on the site but the finalization went well
everything we can expect from insurance</v>
      </c>
    </row>
    <row r="672" ht="15.75" customHeight="1">
      <c r="A672" s="2">
        <v>3.0</v>
      </c>
      <c r="B672" s="2" t="s">
        <v>1925</v>
      </c>
      <c r="C672" s="2" t="s">
        <v>1926</v>
      </c>
      <c r="D672" s="2" t="s">
        <v>36</v>
      </c>
      <c r="E672" s="2" t="s">
        <v>14</v>
      </c>
      <c r="F672" s="2" t="s">
        <v>15</v>
      </c>
      <c r="G672" s="2" t="s">
        <v>1310</v>
      </c>
      <c r="H672" s="2" t="s">
        <v>33</v>
      </c>
      <c r="I672" s="2" t="str">
        <f>IFERROR(__xludf.DUMMYFUNCTION("GOOGLETRANSLATE(C672,""fr"",""en"")"),"Not really competitive price compared to competition.
I thought I had a better price when you see advertising, it's a shame, maybe you can make an effort ...")</f>
        <v>Not really competitive price compared to competition.
I thought I had a better price when you see advertising, it's a shame, maybe you can make an effort ...</v>
      </c>
    </row>
    <row r="673" ht="15.75" customHeight="1">
      <c r="A673" s="2">
        <v>3.0</v>
      </c>
      <c r="B673" s="2" t="s">
        <v>1927</v>
      </c>
      <c r="C673" s="2" t="s">
        <v>1928</v>
      </c>
      <c r="D673" s="2" t="s">
        <v>826</v>
      </c>
      <c r="E673" s="2" t="s">
        <v>37</v>
      </c>
      <c r="F673" s="2" t="s">
        <v>15</v>
      </c>
      <c r="G673" s="2" t="s">
        <v>57</v>
      </c>
      <c r="H673" s="2" t="s">
        <v>57</v>
      </c>
      <c r="I673" s="2" t="str">
        <f>IFERROR(__xludf.DUMMYFUNCTION("GOOGLETRANSLATE(C673,""fr"",""en"")"),"hello
There has been a flight to me for 3 months but SOGESSUR they have refused for reimbursement, I have given all purchase invoices but he does not want; is that possible against his decition I can reclaim and where I can reclammation against his
than"&amp;"k you")</f>
        <v>hello
There has been a flight to me for 3 months but SOGESSUR they have refused for reimbursement, I have given all purchase invoices but he does not want; is that possible against his decition I can reclaim and where I can reclammation against his
thank you</v>
      </c>
    </row>
    <row r="674" ht="15.75" customHeight="1">
      <c r="A674" s="2">
        <v>1.0</v>
      </c>
      <c r="B674" s="2" t="s">
        <v>1929</v>
      </c>
      <c r="C674" s="2" t="s">
        <v>1930</v>
      </c>
      <c r="D674" s="2" t="s">
        <v>1931</v>
      </c>
      <c r="E674" s="2" t="s">
        <v>200</v>
      </c>
      <c r="F674" s="2" t="s">
        <v>15</v>
      </c>
      <c r="G674" s="2" t="s">
        <v>510</v>
      </c>
      <c r="H674" s="2" t="s">
        <v>27</v>
      </c>
      <c r="I674" s="2" t="str">
        <f>IFERROR(__xludf.DUMMYFUNCTION("GOOGLETRANSLATE(C674,""fr"",""en"")"),"Absolutely does nothing to defend his insured I am forced to take the steps to be heard, it is completely lamentable I do not advise strongly !!!!!!")</f>
        <v>Absolutely does nothing to defend his insured I am forced to take the steps to be heard, it is completely lamentable I do not advise strongly !!!!!!</v>
      </c>
    </row>
    <row r="675" ht="15.75" customHeight="1">
      <c r="A675" s="2">
        <v>4.0</v>
      </c>
      <c r="B675" s="2" t="s">
        <v>1932</v>
      </c>
      <c r="C675" s="2" t="s">
        <v>1933</v>
      </c>
      <c r="D675" s="2" t="s">
        <v>36</v>
      </c>
      <c r="E675" s="2" t="s">
        <v>14</v>
      </c>
      <c r="F675" s="2" t="s">
        <v>15</v>
      </c>
      <c r="G675" s="2" t="s">
        <v>923</v>
      </c>
      <c r="H675" s="2" t="s">
        <v>33</v>
      </c>
      <c r="I675" s="2" t="str">
        <f>IFERROR(__xludf.DUMMYFUNCTION("GOOGLETRANSLATE(C675,""fr"",""en"")"),"Good advice during our call for advice.
Small problem on the need that if we do not pig the acceptance box to give GPS, location, mileage ect we cannot validate the insurance when we have not subscribed to you drive")</f>
        <v>Good advice during our call for advice.
Small problem on the need that if we do not pig the acceptance box to give GPS, location, mileage ect we cannot validate the insurance when we have not subscribed to you drive</v>
      </c>
    </row>
    <row r="676" ht="15.75" customHeight="1">
      <c r="A676" s="2">
        <v>5.0</v>
      </c>
      <c r="B676" s="2" t="s">
        <v>1934</v>
      </c>
      <c r="C676" s="2" t="s">
        <v>1935</v>
      </c>
      <c r="D676" s="2" t="s">
        <v>238</v>
      </c>
      <c r="E676" s="2" t="s">
        <v>31</v>
      </c>
      <c r="F676" s="2" t="s">
        <v>15</v>
      </c>
      <c r="G676" s="2" t="s">
        <v>1936</v>
      </c>
      <c r="H676" s="2" t="s">
        <v>356</v>
      </c>
      <c r="I676" s="2" t="str">
        <f>IFERROR(__xludf.DUMMYFUNCTION("GOOGLETRANSLATE(C676,""fr"",""en"")"),"Fast, precise, clear, and available, no care of care, easy and practical website, telephone platform always available and clear and fast response")</f>
        <v>Fast, precise, clear, and available, no care of care, easy and practical website, telephone platform always available and clear and fast response</v>
      </c>
    </row>
    <row r="677" ht="15.75" customHeight="1">
      <c r="A677" s="2">
        <v>3.0</v>
      </c>
      <c r="B677" s="2" t="s">
        <v>1937</v>
      </c>
      <c r="C677" s="2" t="s">
        <v>1938</v>
      </c>
      <c r="D677" s="2" t="s">
        <v>125</v>
      </c>
      <c r="E677" s="2" t="s">
        <v>14</v>
      </c>
      <c r="F677" s="2" t="s">
        <v>15</v>
      </c>
      <c r="G677" s="2" t="s">
        <v>279</v>
      </c>
      <c r="H677" s="2" t="s">
        <v>43</v>
      </c>
      <c r="I677" s="2" t="str">
        <f>IFERROR(__xludf.DUMMYFUNCTION("GOOGLETRANSLATE(C677,""fr"",""en"")"),"I have not made a price comparison at the moment.
A disappointment for funding that I did not get on a vehicle insured at home.
If not overall we remain faithful")</f>
        <v>I have not made a price comparison at the moment.
A disappointment for funding that I did not get on a vehicle insured at home.
If not overall we remain faithful</v>
      </c>
    </row>
    <row r="678" ht="15.75" customHeight="1">
      <c r="A678" s="2">
        <v>1.0</v>
      </c>
      <c r="B678" s="2" t="s">
        <v>1939</v>
      </c>
      <c r="C678" s="2" t="s">
        <v>1940</v>
      </c>
      <c r="D678" s="2" t="s">
        <v>125</v>
      </c>
      <c r="E678" s="2" t="s">
        <v>14</v>
      </c>
      <c r="F678" s="2" t="s">
        <v>15</v>
      </c>
      <c r="G678" s="2" t="s">
        <v>1941</v>
      </c>
      <c r="H678" s="2" t="s">
        <v>230</v>
      </c>
      <c r="I678" s="2" t="str">
        <f>IFERROR(__xludf.DUMMYFUNCTION("GOOGLETRANSLATE(C678,""fr"",""en"")"),"The price is correct because I have a non -rechargeable hybrid car and that I am assimilated civil servant. I benefit from discounts. I did not, I had no claims with them but following a health problem that prevented me from driving, I wanted to involve t"&amp;"he audience so that the GMF sends me a person to renew my car at home. It was refused to me because of anteriority when I have any risk insurance. No written response, everything happened by phone. In short, under its surroundings which may seem serious ("&amp;"agency, guarantee. Know that the GMF will do everything so as not to reimburse you in the event of real needs.
In addition, my son who is a young driver wanted to secure at home, the prices are delusional while being guaranteed at least. It's downright e"&amp;"xcessive. Over 1500 th year for an old vehicle.")</f>
        <v>The price is correct because I have a non -rechargeable hybrid car and that I am assimilated civil servant. I benefit from discounts. I did not, I had no claims with them but following a health problem that prevented me from driving, I wanted to involve the audience so that the GMF sends me a person to renew my car at home. It was refused to me because of anteriority when I have any risk insurance. No written response, everything happened by phone. In short, under its surroundings which may seem serious (agency, guarantee. Know that the GMF will do everything so as not to reimburse you in the event of real needs.
In addition, my son who is a young driver wanted to secure at home, the prices are delusional while being guaranteed at least. It's downright excessive. Over 1500 th year for an old vehicle.</v>
      </c>
    </row>
    <row r="679" ht="15.75" customHeight="1">
      <c r="A679" s="2">
        <v>1.0</v>
      </c>
      <c r="B679" s="2" t="s">
        <v>1942</v>
      </c>
      <c r="C679" s="2" t="s">
        <v>1943</v>
      </c>
      <c r="D679" s="2" t="s">
        <v>842</v>
      </c>
      <c r="E679" s="2" t="s">
        <v>31</v>
      </c>
      <c r="F679" s="2" t="s">
        <v>15</v>
      </c>
      <c r="G679" s="2" t="s">
        <v>1944</v>
      </c>
      <c r="H679" s="2" t="s">
        <v>149</v>
      </c>
      <c r="I679" s="2" t="str">
        <f>IFERROR(__xludf.DUMMYFUNCTION("GOOGLETRANSLATE(C679,""fr"",""en"")"),"Very expensive insurer for guarantees, which are not related to the high cost of contributions and which does not respond to the quote sent to it a month later. To be advised.")</f>
        <v>Very expensive insurer for guarantees, which are not related to the high cost of contributions and which does not respond to the quote sent to it a month later. To be advised.</v>
      </c>
    </row>
    <row r="680" ht="15.75" customHeight="1">
      <c r="A680" s="2">
        <v>5.0</v>
      </c>
      <c r="B680" s="2" t="s">
        <v>1945</v>
      </c>
      <c r="C680" s="2" t="s">
        <v>1946</v>
      </c>
      <c r="D680" s="2" t="s">
        <v>13</v>
      </c>
      <c r="E680" s="2" t="s">
        <v>14</v>
      </c>
      <c r="F680" s="2" t="s">
        <v>15</v>
      </c>
      <c r="G680" s="2" t="s">
        <v>249</v>
      </c>
      <c r="H680" s="2" t="s">
        <v>43</v>
      </c>
      <c r="I680" s="2" t="str">
        <f>IFERROR(__xludf.DUMMYFUNCTION("GOOGLETRANSLATE(C680,""fr"",""en"")"),"I am satisfied with the price and service. It is for that I recommended and I sponsored someone in my family.
Insurance Olivier Service Best with a price too low")</f>
        <v>I am satisfied with the price and service. It is for that I recommended and I sponsored someone in my family.
Insurance Olivier Service Best with a price too low</v>
      </c>
    </row>
    <row r="681" ht="15.75" customHeight="1">
      <c r="A681" s="2">
        <v>4.0</v>
      </c>
      <c r="B681" s="2" t="s">
        <v>1947</v>
      </c>
      <c r="C681" s="2" t="s">
        <v>1948</v>
      </c>
      <c r="D681" s="2" t="s">
        <v>13</v>
      </c>
      <c r="E681" s="2" t="s">
        <v>14</v>
      </c>
      <c r="F681" s="2" t="s">
        <v>15</v>
      </c>
      <c r="G681" s="2" t="s">
        <v>323</v>
      </c>
      <c r="H681" s="2" t="s">
        <v>85</v>
      </c>
      <c r="I681" s="2" t="str">
        <f>IFERROR(__xludf.DUMMYFUNCTION("GOOGLETRANSLATE(C681,""fr"",""en"")"),"The quote is perfect, it is complete and the price remains correct compared to the conditions of the contract. I recommend my eyes closed, go for it if you have a vehicle to ensure")</f>
        <v>The quote is perfect, it is complete and the price remains correct compared to the conditions of the contract. I recommend my eyes closed, go for it if you have a vehicle to ensure</v>
      </c>
    </row>
    <row r="682" ht="15.75" customHeight="1">
      <c r="A682" s="2">
        <v>3.0</v>
      </c>
      <c r="B682" s="2" t="s">
        <v>1949</v>
      </c>
      <c r="C682" s="2" t="s">
        <v>1950</v>
      </c>
      <c r="D682" s="2" t="s">
        <v>13</v>
      </c>
      <c r="E682" s="2" t="s">
        <v>14</v>
      </c>
      <c r="F682" s="2" t="s">
        <v>15</v>
      </c>
      <c r="G682" s="2" t="s">
        <v>323</v>
      </c>
      <c r="H682" s="2" t="s">
        <v>85</v>
      </c>
      <c r="I682" s="2" t="str">
        <f>IFERROR(__xludf.DUMMYFUNCTION("GOOGLETRANSLATE(C682,""fr"",""en"")"),"It's not a lot of on the whole for the moment I hope it can continue like that if this is the case it is super on the other hand I would like to have discounts after thank you")</f>
        <v>It's not a lot of on the whole for the moment I hope it can continue like that if this is the case it is super on the other hand I would like to have discounts after thank you</v>
      </c>
    </row>
    <row r="683" ht="15.75" customHeight="1">
      <c r="A683" s="2">
        <v>1.0</v>
      </c>
      <c r="B683" s="2" t="s">
        <v>1951</v>
      </c>
      <c r="C683" s="2" t="s">
        <v>1952</v>
      </c>
      <c r="D683" s="2" t="s">
        <v>414</v>
      </c>
      <c r="E683" s="2" t="s">
        <v>37</v>
      </c>
      <c r="F683" s="2" t="s">
        <v>15</v>
      </c>
      <c r="G683" s="2" t="s">
        <v>1786</v>
      </c>
      <c r="H683" s="2" t="s">
        <v>487</v>
      </c>
      <c r="I683" s="2" t="str">
        <f>IFERROR(__xludf.DUMMYFUNCTION("GOOGLETRANSLATE(C683,""fr"",""en"")"),"After a minimal water damage, I warn the MAIF in June 2020 the expert passed at the end of August. I felt like I was a child of 4th. I was entitled to an over -moisture course and water tables. I live at the top of the mountains. What I have known to unde"&amp;"rgo for some time. My house is new still in the decennial., And this Mr. Expert M seemed to work for the opposing part, not looking for the cause of the problem.
Angry the next day, I opened part of the placo, the glass wool is soaked. It will no longer "&amp;"have its effect. Telephone to the Maif which gives no continuation. I must wait for the report ........ was not the work of the expert and it is only damage on a wall, I pity the big problems
We all know what is the solution. But not the maif .... I am a"&amp;" widow, I am 74 years old and I am a woman. What should I think ???? I have 50 years of contributions .... a serious error. All my insurances are in Maif.")</f>
        <v>After a minimal water damage, I warn the MAIF in June 2020 the expert passed at the end of August. I felt like I was a child of 4th. I was entitled to an over -moisture course and water tables. I live at the top of the mountains. What I have known to undergo for some time. My house is new still in the decennial., And this Mr. Expert M seemed to work for the opposing part, not looking for the cause of the problem.
Angry the next day, I opened part of the placo, the glass wool is soaked. It will no longer have its effect. Telephone to the Maif which gives no continuation. I must wait for the report ........ was not the work of the expert and it is only damage on a wall, I pity the big problems
We all know what is the solution. But not the maif .... I am a widow, I am 74 years old and I am a woman. What should I think ???? I have 50 years of contributions .... a serious error. All my insurances are in Maif.</v>
      </c>
    </row>
    <row r="684" ht="15.75" customHeight="1">
      <c r="A684" s="2">
        <v>1.0</v>
      </c>
      <c r="B684" s="2" t="s">
        <v>1953</v>
      </c>
      <c r="C684" s="2" t="s">
        <v>1954</v>
      </c>
      <c r="D684" s="2" t="s">
        <v>36</v>
      </c>
      <c r="E684" s="2" t="s">
        <v>14</v>
      </c>
      <c r="F684" s="2" t="s">
        <v>15</v>
      </c>
      <c r="G684" s="2" t="s">
        <v>1955</v>
      </c>
      <c r="H684" s="2" t="s">
        <v>436</v>
      </c>
      <c r="I684" s="2" t="str">
        <f>IFERROR(__xludf.DUMMYFUNCTION("GOOGLETRANSLATE(C684,""fr"",""en"")"),"Insurance not to be taken in 2012 I ensured a ZX I paid a year at once after a year he told me that I did not exist so that I was not insured of the year
In February 2017 I sell my picasso I send them the certificate of sale + certificate prefecture + "&amp;"proof of address because I had avenger while recommending it can be done to do my check at the old address supposedly on and in October to date He owes me about 290 euros he asks me to fill them with a paper to be able to send me a check to date he men's "&amp;"empty email I therefore asked to receive this famous paper by Courier but box with a lester
Very very bad insurance")</f>
        <v>Insurance not to be taken in 2012 I ensured a ZX I paid a year at once after a year he told me that I did not exist so that I was not insured of the year
In February 2017 I sell my picasso I send them the certificate of sale + certificate prefecture + proof of address because I had avenger while recommending it can be done to do my check at the old address supposedly on and in October to date He owes me about 290 euros he asks me to fill them with a paper to be able to send me a check to date he men's empty email I therefore asked to receive this famous paper by Courier but box with a lester
Very very bad insurance</v>
      </c>
    </row>
    <row r="685" ht="15.75" customHeight="1">
      <c r="A685" s="2">
        <v>3.0</v>
      </c>
      <c r="B685" s="2" t="s">
        <v>1956</v>
      </c>
      <c r="C685" s="2" t="s">
        <v>1957</v>
      </c>
      <c r="D685" s="2" t="s">
        <v>36</v>
      </c>
      <c r="E685" s="2" t="s">
        <v>14</v>
      </c>
      <c r="F685" s="2" t="s">
        <v>15</v>
      </c>
      <c r="G685" s="2" t="s">
        <v>1958</v>
      </c>
      <c r="H685" s="2" t="s">
        <v>213</v>
      </c>
      <c r="I685" s="2" t="str">
        <f>IFERROR(__xludf.DUMMYFUNCTION("GOOGLETRANSLATE(C685,""fr"",""en"")"),"The advisers are well brown to answer us without being worried about the troubles that it gives us. They are able to repeat you 10 times the same thing without being able to unravel your problem. Finally forced to manage without them. No car loan even wit"&amp;"h the option. I only stay a year cheaper but very bad except to sell their contracts.")</f>
        <v>The advisers are well brown to answer us without being worried about the troubles that it gives us. They are able to repeat you 10 times the same thing without being able to unravel your problem. Finally forced to manage without them. No car loan even with the option. I only stay a year cheaper but very bad except to sell their contracts.</v>
      </c>
    </row>
    <row r="686" ht="15.75" customHeight="1">
      <c r="A686" s="2">
        <v>3.0</v>
      </c>
      <c r="B686" s="2" t="s">
        <v>1959</v>
      </c>
      <c r="C686" s="2" t="s">
        <v>1960</v>
      </c>
      <c r="D686" s="2" t="s">
        <v>143</v>
      </c>
      <c r="E686" s="2" t="s">
        <v>31</v>
      </c>
      <c r="F686" s="2" t="s">
        <v>15</v>
      </c>
      <c r="G686" s="2" t="s">
        <v>1873</v>
      </c>
      <c r="H686" s="2" t="s">
        <v>145</v>
      </c>
      <c r="I686" s="2" t="str">
        <f>IFERROR(__xludf.DUMMYFUNCTION("GOOGLETRANSLATE(C686,""fr"",""en"")"),"Satisfied with the service I am happy I found a good mutual thank you for covering myself in my daily care binn day to you see you soon in my needs")</f>
        <v>Satisfied with the service I am happy I found a good mutual thank you for covering myself in my daily care binn day to you see you soon in my needs</v>
      </c>
    </row>
    <row r="687" ht="15.75" customHeight="1">
      <c r="A687" s="2">
        <v>5.0</v>
      </c>
      <c r="B687" s="2" t="s">
        <v>1961</v>
      </c>
      <c r="C687" s="2" t="s">
        <v>1962</v>
      </c>
      <c r="D687" s="2" t="s">
        <v>36</v>
      </c>
      <c r="E687" s="2" t="s">
        <v>14</v>
      </c>
      <c r="F687" s="2" t="s">
        <v>15</v>
      </c>
      <c r="G687" s="2" t="s">
        <v>348</v>
      </c>
      <c r="H687" s="2" t="s">
        <v>43</v>
      </c>
      <c r="I687" s="2" t="str">
        <f>IFERROR(__xludf.DUMMYFUNCTION("GOOGLETRANSLATE(C687,""fr"",""en"")"),"Clear and precise form to use site. Summary of following information with correction directly on the page. No headache and fast. Thanks")</f>
        <v>Clear and precise form to use site. Summary of following information with correction directly on the page. No headache and fast. Thanks</v>
      </c>
    </row>
    <row r="688" ht="15.75" customHeight="1">
      <c r="A688" s="2">
        <v>5.0</v>
      </c>
      <c r="B688" s="2" t="s">
        <v>1963</v>
      </c>
      <c r="C688" s="2" t="s">
        <v>1964</v>
      </c>
      <c r="D688" s="2" t="s">
        <v>36</v>
      </c>
      <c r="E688" s="2" t="s">
        <v>14</v>
      </c>
      <c r="F688" s="2" t="s">
        <v>15</v>
      </c>
      <c r="G688" s="2" t="s">
        <v>52</v>
      </c>
      <c r="H688" s="2" t="s">
        <v>27</v>
      </c>
      <c r="I688" s="2" t="str">
        <f>IFERROR(__xludf.DUMMYFUNCTION("GOOGLETRANSLATE(C688,""fr"",""en"")"),"I discover Direct Assurance (I knew of notoriety, thank you Martin Lamotte ...; p), the price and the guarantees offered are interesting. To see now in case of concern.")</f>
        <v>I discover Direct Assurance (I knew of notoriety, thank you Martin Lamotte ...; p), the price and the guarantees offered are interesting. To see now in case of concern.</v>
      </c>
    </row>
    <row r="689" ht="15.75" customHeight="1">
      <c r="A689" s="2">
        <v>3.0</v>
      </c>
      <c r="B689" s="2" t="s">
        <v>1965</v>
      </c>
      <c r="C689" s="2" t="s">
        <v>1966</v>
      </c>
      <c r="D689" s="2" t="s">
        <v>211</v>
      </c>
      <c r="E689" s="2" t="s">
        <v>31</v>
      </c>
      <c r="F689" s="2" t="s">
        <v>15</v>
      </c>
      <c r="G689" s="2" t="s">
        <v>1967</v>
      </c>
      <c r="H689" s="2" t="s">
        <v>17</v>
      </c>
      <c r="I689" s="2" t="str">
        <f>IFERROR(__xludf.DUMMYFUNCTION("GOOGLETRANSLATE(C689,""fr"",""en"")"),"Monday 25.02.2019
 Very good listening and thank you for all the explanations brought to the phone by Erika.
I hope I can always be as satisfied during reimbursements.")</f>
        <v>Monday 25.02.2019
 Very good listening and thank you for all the explanations brought to the phone by Erika.
I hope I can always be as satisfied during reimbursements.</v>
      </c>
    </row>
    <row r="690" ht="15.75" customHeight="1">
      <c r="A690" s="2">
        <v>4.0</v>
      </c>
      <c r="B690" s="2" t="s">
        <v>1968</v>
      </c>
      <c r="C690" s="2" t="s">
        <v>1969</v>
      </c>
      <c r="D690" s="2" t="s">
        <v>76</v>
      </c>
      <c r="E690" s="2" t="s">
        <v>51</v>
      </c>
      <c r="F690" s="2" t="s">
        <v>15</v>
      </c>
      <c r="G690" s="2" t="s">
        <v>1235</v>
      </c>
      <c r="H690" s="2" t="s">
        <v>27</v>
      </c>
      <c r="I690" s="2" t="str">
        <f>IFERROR(__xludf.DUMMYFUNCTION("GOOGLETRANSLATE(C690,""fr"",""en"")"),"ok nickel for taking into account fast and effective service of course any clear effectiveness of clearness, priority, with priority, with priority.")</f>
        <v>ok nickel for taking into account fast and effective service of course any clear effectiveness of clearness, priority, with priority, with priority.</v>
      </c>
    </row>
    <row r="691" ht="15.75" customHeight="1">
      <c r="A691" s="2">
        <v>1.0</v>
      </c>
      <c r="B691" s="2" t="s">
        <v>1970</v>
      </c>
      <c r="C691" s="2" t="s">
        <v>1971</v>
      </c>
      <c r="D691" s="2" t="s">
        <v>120</v>
      </c>
      <c r="E691" s="2" t="s">
        <v>121</v>
      </c>
      <c r="F691" s="2" t="s">
        <v>15</v>
      </c>
      <c r="G691" s="2" t="s">
        <v>1544</v>
      </c>
      <c r="H691" s="2" t="s">
        <v>85</v>
      </c>
      <c r="I691" s="2" t="str">
        <f>IFERROR(__xludf.DUMMYFUNCTION("GOOGLETRANSLATE(C691,""fr"",""en"")"),"We are the 25th 2021.
Since November 2020 I have asked for the payment of my retirement annuity from a Madelin contract.
Since nothing.
And of course Léo the virtual assistant does not understand what he is told!
But to make annuity promises and recei"&amp;"ve contributions they are effective and collect very well!")</f>
        <v>We are the 25th 2021.
Since November 2020 I have asked for the payment of my retirement annuity from a Madelin contract.
Since nothing.
And of course Léo the virtual assistant does not understand what he is told!
But to make annuity promises and receive contributions they are effective and collect very well!</v>
      </c>
    </row>
    <row r="692" ht="15.75" customHeight="1">
      <c r="A692" s="2">
        <v>1.0</v>
      </c>
      <c r="B692" s="2" t="s">
        <v>1972</v>
      </c>
      <c r="C692" s="2" t="s">
        <v>1973</v>
      </c>
      <c r="D692" s="2" t="s">
        <v>13</v>
      </c>
      <c r="E692" s="2" t="s">
        <v>14</v>
      </c>
      <c r="F692" s="2" t="s">
        <v>15</v>
      </c>
      <c r="G692" s="2" t="s">
        <v>861</v>
      </c>
      <c r="H692" s="2" t="s">
        <v>43</v>
      </c>
      <c r="I692" s="2" t="str">
        <f>IFERROR(__xludf.DUMMYFUNCTION("GOOGLETRANSLATE(C692,""fr"",""en"")"),"I am satisfied with the Olivier Insurance service, the price and the team. It is simple and practical to ensure a vehicle in your company. Satisfied satisfied satisfied")</f>
        <v>I am satisfied with the Olivier Insurance service, the price and the team. It is simple and practical to ensure a vehicle in your company. Satisfied satisfied satisfied</v>
      </c>
    </row>
    <row r="693" ht="15.75" customHeight="1">
      <c r="A693" s="2">
        <v>3.0</v>
      </c>
      <c r="B693" s="2" t="s">
        <v>1974</v>
      </c>
      <c r="C693" s="2" t="s">
        <v>1975</v>
      </c>
      <c r="D693" s="2" t="s">
        <v>285</v>
      </c>
      <c r="E693" s="2" t="s">
        <v>14</v>
      </c>
      <c r="F693" s="2" t="s">
        <v>15</v>
      </c>
      <c r="G693" s="2" t="s">
        <v>1976</v>
      </c>
      <c r="H693" s="2" t="s">
        <v>184</v>
      </c>
      <c r="I693" s="2" t="str">
        <f>IFERROR(__xludf.DUMMYFUNCTION("GOOGLETRANSLATE(C693,""fr"",""en"")"),"I have been waiting for a refund following the termination of my car insurance (for sale of my vehicle) for at least 2 months. I hope this refund should not be long because 900 € it makes a big hole in the budget. On the other hand, Active Asurances must "&amp;"make their customers' money grow well. Because I think I must not be alone in this case.")</f>
        <v>I have been waiting for a refund following the termination of my car insurance (for sale of my vehicle) for at least 2 months. I hope this refund should not be long because 900 € it makes a big hole in the budget. On the other hand, Active Asurances must make their customers' money grow well. Because I think I must not be alone in this case.</v>
      </c>
    </row>
    <row r="694" ht="15.75" customHeight="1">
      <c r="A694" s="2">
        <v>2.0</v>
      </c>
      <c r="B694" s="2" t="s">
        <v>1977</v>
      </c>
      <c r="C694" s="2" t="s">
        <v>1978</v>
      </c>
      <c r="D694" s="2" t="s">
        <v>430</v>
      </c>
      <c r="E694" s="2" t="s">
        <v>37</v>
      </c>
      <c r="F694" s="2" t="s">
        <v>15</v>
      </c>
      <c r="G694" s="2" t="s">
        <v>1979</v>
      </c>
      <c r="H694" s="2" t="s">
        <v>306</v>
      </c>
      <c r="I694" s="2" t="str">
        <f>IFERROR(__xludf.DUMMYFUNCTION("GOOGLETRANSLATE(C694,""fr"",""en"")"),"No follow -up of the file by the Macif. You have to restart permanently. Partial and sometimes contradictory information of the various interlocutors.
Small water damage still not settled after 6 months of exchanges and reminders.
Extremely disappointed"&amp;" with this insurer before was serious.")</f>
        <v>No follow -up of the file by the Macif. You have to restart permanently. Partial and sometimes contradictory information of the various interlocutors.
Small water damage still not settled after 6 months of exchanges and reminders.
Extremely disappointed with this insurer before was serious.</v>
      </c>
    </row>
    <row r="695" ht="15.75" customHeight="1">
      <c r="A695" s="2">
        <v>3.0</v>
      </c>
      <c r="B695" s="2" t="s">
        <v>1980</v>
      </c>
      <c r="C695" s="2" t="s">
        <v>1981</v>
      </c>
      <c r="D695" s="2" t="s">
        <v>36</v>
      </c>
      <c r="E695" s="2" t="s">
        <v>14</v>
      </c>
      <c r="F695" s="2" t="s">
        <v>15</v>
      </c>
      <c r="G695" s="2" t="s">
        <v>1982</v>
      </c>
      <c r="H695" s="2" t="s">
        <v>1167</v>
      </c>
      <c r="I695" s="2" t="str">
        <f>IFERROR(__xludf.DUMMYFUNCTION("GOOGLETRANSLATE(C695,""fr"",""en"")"),"Hello I am looking for auto insurance because I am looking for my dear but see the comments on direct insurance I will ban it fortunately who there are opinions thank you")</f>
        <v>Hello I am looking for auto insurance because I am looking for my dear but see the comments on direct insurance I will ban it fortunately who there are opinions thank you</v>
      </c>
    </row>
    <row r="696" ht="15.75" customHeight="1">
      <c r="A696" s="2">
        <v>1.0</v>
      </c>
      <c r="B696" s="2" t="s">
        <v>1983</v>
      </c>
      <c r="C696" s="2" t="s">
        <v>1984</v>
      </c>
      <c r="D696" s="2" t="s">
        <v>304</v>
      </c>
      <c r="E696" s="2" t="s">
        <v>200</v>
      </c>
      <c r="F696" s="2" t="s">
        <v>15</v>
      </c>
      <c r="G696" s="2" t="s">
        <v>1985</v>
      </c>
      <c r="H696" s="2" t="s">
        <v>137</v>
      </c>
      <c r="I696" s="2" t="str">
        <f>IFERROR(__xludf.DUMMYFUNCTION("GOOGLETRANSLATE(C696,""fr"",""en"")"),"Hello, just as you have my mother subscribed to cardif insurance following the realization of a credit. It has been almost 2 months that she sent the file that she duly completed with the banker, provided the pole employment certificates and the 3 certifi"&amp;"cates of compensation requested in order to be able to lend the care of her credit. Not seeing new ones arriving, this morning she decides to call and she is told that he is missing a paper ... so we will send her the missing paper by the new service of t"&amp;"he post office, recommended it with ar by numerization like That's no history that they didn't have it !!!! Because I have read on the forum that even if we sent by registered mail they pretend that they are missing a paper inside .... Finally if I put th"&amp;"is post it is to tell you to use this service, at least there are evidence that all your document were there. I hope this will help you")</f>
        <v>Hello, just as you have my mother subscribed to cardif insurance following the realization of a credit. It has been almost 2 months that she sent the file that she duly completed with the banker, provided the pole employment certificates and the 3 certificates of compensation requested in order to be able to lend the care of her credit. Not seeing new ones arriving, this morning she decides to call and she is told that he is missing a paper ... so we will send her the missing paper by the new service of the post office, recommended it with ar by numerization like That's no history that they didn't have it !!!! Because I have read on the forum that even if we sent by registered mail they pretend that they are missing a paper inside .... Finally if I put this post it is to tell you to use this service, at least there are evidence that all your document were there. I hope this will help you</v>
      </c>
    </row>
    <row r="697" ht="15.75" customHeight="1">
      <c r="A697" s="2">
        <v>4.0</v>
      </c>
      <c r="B697" s="2" t="s">
        <v>1986</v>
      </c>
      <c r="C697" s="2" t="s">
        <v>1987</v>
      </c>
      <c r="D697" s="2" t="s">
        <v>55</v>
      </c>
      <c r="E697" s="2" t="s">
        <v>37</v>
      </c>
      <c r="F697" s="2" t="s">
        <v>15</v>
      </c>
      <c r="G697" s="2" t="s">
        <v>1988</v>
      </c>
      <c r="H697" s="2" t="s">
        <v>23</v>
      </c>
      <c r="I697" s="2" t="str">
        <f>IFERROR(__xludf.DUMMYFUNCTION("GOOGLETRANSLATE(C697,""fr"",""en"")"),"I am delighted with this insurance, the lady I was very responsive. It feels good to come across competent people, which becomes very very rare these days.")</f>
        <v>I am delighted with this insurance, the lady I was very responsive. It feels good to come across competent people, which becomes very very rare these days.</v>
      </c>
    </row>
    <row r="698" ht="15.75" customHeight="1">
      <c r="A698" s="2">
        <v>1.0</v>
      </c>
      <c r="B698" s="2" t="s">
        <v>1989</v>
      </c>
      <c r="C698" s="2" t="s">
        <v>1990</v>
      </c>
      <c r="D698" s="2" t="s">
        <v>430</v>
      </c>
      <c r="E698" s="2" t="s">
        <v>14</v>
      </c>
      <c r="F698" s="2" t="s">
        <v>15</v>
      </c>
      <c r="G698" s="2" t="s">
        <v>1991</v>
      </c>
      <c r="H698" s="2" t="s">
        <v>223</v>
      </c>
      <c r="I698" s="2" t="str">
        <f>IFERROR(__xludf.DUMMYFUNCTION("GOOGLETRANSLATE(C698,""fr"",""en"")"),"Uses more or less moral means in order to force the insured to stay at home.
For my part, when we wanted to add a vehicle to our contract, they published a new contract instead of making an amendment. This means that we are blocked at least 1 year while "&amp;"other companies offer, for the same thing, a much more advantageous price.
Everything is done so as to trap the consumer (impossible to use the Hamon or Chatel law).
In short to avoid!")</f>
        <v>Uses more or less moral means in order to force the insured to stay at home.
For my part, when we wanted to add a vehicle to our contract, they published a new contract instead of making an amendment. This means that we are blocked at least 1 year while other companies offer, for the same thing, a much more advantageous price.
Everything is done so as to trap the consumer (impossible to use the Hamon or Chatel law).
In short to avoid!</v>
      </c>
    </row>
    <row r="699" ht="15.75" customHeight="1">
      <c r="A699" s="2">
        <v>5.0</v>
      </c>
      <c r="B699" s="2" t="s">
        <v>1992</v>
      </c>
      <c r="C699" s="2" t="s">
        <v>1993</v>
      </c>
      <c r="D699" s="2" t="s">
        <v>36</v>
      </c>
      <c r="E699" s="2" t="s">
        <v>14</v>
      </c>
      <c r="F699" s="2" t="s">
        <v>15</v>
      </c>
      <c r="G699" s="2" t="s">
        <v>65</v>
      </c>
      <c r="H699" s="2" t="s">
        <v>43</v>
      </c>
      <c r="I699" s="2" t="str">
        <f>IFERROR(__xludf.DUMMYFUNCTION("GOOGLETRANSLATE(C699,""fr"",""en"")"),"Fast cheaply efficient satisfied thank you direct insurance for your speed and your affordable prices I would recommend you to my loved one and friends")</f>
        <v>Fast cheaply efficient satisfied thank you direct insurance for your speed and your affordable prices I would recommend you to my loved one and friends</v>
      </c>
    </row>
    <row r="700" ht="15.75" customHeight="1">
      <c r="A700" s="2">
        <v>3.0</v>
      </c>
      <c r="B700" s="2" t="s">
        <v>1994</v>
      </c>
      <c r="C700" s="2" t="s">
        <v>1995</v>
      </c>
      <c r="D700" s="2" t="s">
        <v>120</v>
      </c>
      <c r="E700" s="2" t="s">
        <v>21</v>
      </c>
      <c r="F700" s="2" t="s">
        <v>15</v>
      </c>
      <c r="G700" s="2" t="s">
        <v>1996</v>
      </c>
      <c r="H700" s="2" t="s">
        <v>106</v>
      </c>
      <c r="I700" s="2" t="str">
        <f>IFERROR(__xludf.DUMMYFUNCTION("GOOGLETRANSLATE(C700,""fr"",""en"")"),"My husband has subscribed two identical contracts for the benefit of my two children. On his death, the guaranteed capital is more than € 100,000 according to the latest statement. The payments that have been made, following the death of my husband, are n"&amp;"ot an identical sum, but differ from more than € 7,000 and are more than 30,000 € of the announced amount. We have no response to our various requests. What to do ?
")</f>
        <v>My husband has subscribed two identical contracts for the benefit of my two children. On his death, the guaranteed capital is more than € 100,000 according to the latest statement. The payments that have been made, following the death of my husband, are not an identical sum, but differ from more than € 7,000 and are more than 30,000 € of the announced amount. We have no response to our various requests. What to do ?
</v>
      </c>
    </row>
    <row r="701" ht="15.75" customHeight="1">
      <c r="A701" s="2">
        <v>1.0</v>
      </c>
      <c r="B701" s="2" t="s">
        <v>1997</v>
      </c>
      <c r="C701" s="2" t="s">
        <v>1998</v>
      </c>
      <c r="D701" s="2" t="s">
        <v>13</v>
      </c>
      <c r="E701" s="2" t="s">
        <v>14</v>
      </c>
      <c r="F701" s="2" t="s">
        <v>15</v>
      </c>
      <c r="G701" s="2" t="s">
        <v>1999</v>
      </c>
      <c r="H701" s="2" t="s">
        <v>297</v>
      </c>
      <c r="I701" s="2" t="str">
        <f>IFERROR(__xludf.DUMMYFUNCTION("GOOGLETRANSLATE(C701,""fr"",""en"")"),"Since then, the beginning of this month, they have made the decision to increase the monthly payments of all contracts at once, because they are a subsidiary of Admiral which is based in the UK and since this week Brexit was Sliced, Great Britain will hav"&amp;"e to pay the 40MD of euros that have been negotiated in the EU and suddenly, they do not find anyone to make them pay that we customers, they take us for sheep, myself my monthly payment is Going from 30 to 42 euros all at once when I have never had an ac"&amp;"cident in my life, suddenly me, I leave, there are other serious and cheaper insurer, I will never accept 'I am made to have.
They are not serious at all, to flee!")</f>
        <v>Since then, the beginning of this month, they have made the decision to increase the monthly payments of all contracts at once, because they are a subsidiary of Admiral which is based in the UK and since this week Brexit was Sliced, Great Britain will have to pay the 40MD of euros that have been negotiated in the EU and suddenly, they do not find anyone to make them pay that we customers, they take us for sheep, myself my monthly payment is Going from 30 to 42 euros all at once when I have never had an accident in my life, suddenly me, I leave, there are other serious and cheaper insurer, I will never accept 'I am made to have.
They are not serious at all, to flee!</v>
      </c>
    </row>
    <row r="702" ht="15.75" customHeight="1">
      <c r="A702" s="2">
        <v>5.0</v>
      </c>
      <c r="B702" s="2" t="s">
        <v>2000</v>
      </c>
      <c r="C702" s="2" t="s">
        <v>2001</v>
      </c>
      <c r="D702" s="2" t="s">
        <v>36</v>
      </c>
      <c r="E702" s="2" t="s">
        <v>14</v>
      </c>
      <c r="F702" s="2" t="s">
        <v>15</v>
      </c>
      <c r="G702" s="2" t="s">
        <v>1813</v>
      </c>
      <c r="H702" s="2" t="s">
        <v>47</v>
      </c>
      <c r="I702" s="2" t="str">
        <f>IFERROR(__xludf.DUMMYFUNCTION("GOOGLETRANSLATE(C702,""fr"",""en"")"),"Hello. Needing advice before taking out additional car insurance, I had to contact Direct Insurance on the phone. I was very well accompanied by a very professional person who allowed me to make sure very quickly. The documents reached the second by email"&amp;".
I recommend 100% direct insurance!")</f>
        <v>Hello. Needing advice before taking out additional car insurance, I had to contact Direct Insurance on the phone. I was very well accompanied by a very professional person who allowed me to make sure very quickly. The documents reached the second by email.
I recommend 100% direct insurance!</v>
      </c>
    </row>
    <row r="703" ht="15.75" customHeight="1">
      <c r="A703" s="2">
        <v>1.0</v>
      </c>
      <c r="B703" s="2" t="s">
        <v>2002</v>
      </c>
      <c r="C703" s="2" t="s">
        <v>2003</v>
      </c>
      <c r="D703" s="2" t="s">
        <v>238</v>
      </c>
      <c r="E703" s="2" t="s">
        <v>31</v>
      </c>
      <c r="F703" s="2" t="s">
        <v>15</v>
      </c>
      <c r="G703" s="2" t="s">
        <v>219</v>
      </c>
      <c r="H703" s="2" t="s">
        <v>171</v>
      </c>
      <c r="I703" s="2" t="str">
        <f>IFERROR(__xludf.DUMMYFUNCTION("GOOGLETRANSLATE(C703,""fr"",""en"")"),"Hello,
I allow myself to write to you because I am completely exasperated and outraged in relation to my current request, that of adding my husband.
I am Madame Kheng and I have been an employee at Viapost in Chelles in Seine and Marne for over 15 years"&amp;".
So I have a compulsory mutual insurance company at Generation Mutuelle in Quimper (29080).
I have applied for my husband for this mutual since October 2020.
There has been a lot of back and forth of email, mail, call ... to date and always no concret"&amp;"e response from you.
In history, I received an email from you on 01/21/21 for the study of my file and the HR of my company had a confirmation by email from you on 02/18/21 for a response , namely the addition of my husband.
I have just received a third"&amp;" party certificate paying by mail today but I was surprised that it was just in my name and that there is not that of my husband, it is incomprehensible.
I do not understand at all what is happening because I have, in any case and this since October 2020"&amp;", makes a certificate request to my name, especially since I had already since December 2020.
Thank you for doing the necessary as quickly as possible to send us back by post, the certificate of paying third parties from my husband.
This situation only "&amp;"lasts too much and I will not be able to be patient, because it is more than 6 months and it is unacceptable.
It is a compulsory mutual therefore so I have no choice to stay with them, but I strongly advise against this mutual.
")</f>
        <v>Hello,
I allow myself to write to you because I am completely exasperated and outraged in relation to my current request, that of adding my husband.
I am Madame Kheng and I have been an employee at Viapost in Chelles in Seine and Marne for over 15 years.
So I have a compulsory mutual insurance company at Generation Mutuelle in Quimper (29080).
I have applied for my husband for this mutual since October 2020.
There has been a lot of back and forth of email, mail, call ... to date and always no concrete response from you.
In history, I received an email from you on 01/21/21 for the study of my file and the HR of my company had a confirmation by email from you on 02/18/21 for a response , namely the addition of my husband.
I have just received a third party certificate paying by mail today but I was surprised that it was just in my name and that there is not that of my husband, it is incomprehensible.
I do not understand at all what is happening because I have, in any case and this since October 2020, makes a certificate request to my name, especially since I had already since December 2020.
Thank you for doing the necessary as quickly as possible to send us back by post, the certificate of paying third parties from my husband.
This situation only lasts too much and I will not be able to be patient, because it is more than 6 months and it is unacceptable.
It is a compulsory mutual therefore so I have no choice to stay with them, but I strongly advise against this mutual.
</v>
      </c>
    </row>
    <row r="704" ht="15.75" customHeight="1">
      <c r="A704" s="2">
        <v>1.0</v>
      </c>
      <c r="B704" s="2" t="s">
        <v>2004</v>
      </c>
      <c r="C704" s="2" t="s">
        <v>2005</v>
      </c>
      <c r="D704" s="2" t="s">
        <v>636</v>
      </c>
      <c r="E704" s="2" t="s">
        <v>31</v>
      </c>
      <c r="F704" s="2" t="s">
        <v>15</v>
      </c>
      <c r="G704" s="2" t="s">
        <v>2006</v>
      </c>
      <c r="H704" s="2" t="s">
        <v>684</v>
      </c>
      <c r="I704" s="2" t="str">
        <f>IFERROR(__xludf.DUMMYFUNCTION("GOOGLETRANSLATE(C704,""fr"",""en"")"),"Mutual harmony no it should be called Harmonie Problem, at home just since
 1 year I go from problem to problem and when you contact them it is never their
Fail, if I have a advice to give go to see elsewhere at 62 it is the first faith that I follo"&amp;"w
Totally disappointed with a so -called mutual")</f>
        <v>Mutual harmony no it should be called Harmonie Problem, at home just since
 1 year I go from problem to problem and when you contact them it is never their
Fail, if I have a advice to give go to see elsewhere at 62 it is the first faith that I follow
Totally disappointed with a so -called mutual</v>
      </c>
    </row>
    <row r="705" ht="15.75" customHeight="1">
      <c r="A705" s="2">
        <v>5.0</v>
      </c>
      <c r="B705" s="2" t="s">
        <v>2007</v>
      </c>
      <c r="C705" s="2" t="s">
        <v>2008</v>
      </c>
      <c r="D705" s="2" t="s">
        <v>50</v>
      </c>
      <c r="E705" s="2" t="s">
        <v>51</v>
      </c>
      <c r="F705" s="2" t="s">
        <v>15</v>
      </c>
      <c r="G705" s="2" t="s">
        <v>2009</v>
      </c>
      <c r="H705" s="2" t="s">
        <v>269</v>
      </c>
      <c r="I705" s="2" t="str">
        <f>IFERROR(__xludf.DUMMYFUNCTION("GOOGLETRANSLATE(C705,""fr"",""en"")"),"Many options and guarantees for very competitive prices.
A clear knowledge of the needs of the insured motorcycle and a lot of simplicity in establishing a quote.")</f>
        <v>Many options and guarantees for very competitive prices.
A clear knowledge of the needs of the insured motorcycle and a lot of simplicity in establishing a quote.</v>
      </c>
    </row>
    <row r="706" ht="15.75" customHeight="1">
      <c r="A706" s="2">
        <v>5.0</v>
      </c>
      <c r="B706" s="2" t="s">
        <v>2010</v>
      </c>
      <c r="C706" s="2" t="s">
        <v>2011</v>
      </c>
      <c r="D706" s="2" t="s">
        <v>36</v>
      </c>
      <c r="E706" s="2" t="s">
        <v>37</v>
      </c>
      <c r="F706" s="2" t="s">
        <v>15</v>
      </c>
      <c r="G706" s="2" t="s">
        <v>2012</v>
      </c>
      <c r="H706" s="2" t="s">
        <v>149</v>
      </c>
      <c r="I706" s="2" t="str">
        <f>IFERROR(__xludf.DUMMYFUNCTION("GOOGLETRANSLATE(C706,""fr"",""en"")"),"I never had a problem with Direct Insurance.
Everything has always been clear and simple.
I had several claims and everything passes like a letter to the post office.")</f>
        <v>I never had a problem with Direct Insurance.
Everything has always been clear and simple.
I had several claims and everything passes like a letter to the post office.</v>
      </c>
    </row>
    <row r="707" ht="15.75" customHeight="1">
      <c r="A707" s="2">
        <v>5.0</v>
      </c>
      <c r="B707" s="2" t="s">
        <v>2013</v>
      </c>
      <c r="C707" s="2" t="s">
        <v>2014</v>
      </c>
      <c r="D707" s="2" t="s">
        <v>36</v>
      </c>
      <c r="E707" s="2" t="s">
        <v>14</v>
      </c>
      <c r="F707" s="2" t="s">
        <v>15</v>
      </c>
      <c r="G707" s="2" t="s">
        <v>861</v>
      </c>
      <c r="H707" s="2" t="s">
        <v>43</v>
      </c>
      <c r="I707" s="2" t="str">
        <f>IFERROR(__xludf.DUMMYFUNCTION("GOOGLETRANSLATE(C707,""fr"",""en"")"),"I am satisfied with your price offer concerning my safrane vehicle and I will not fail to inform those around them. thanking you and see you soon")</f>
        <v>I am satisfied with your price offer concerning my safrane vehicle and I will not fail to inform those around them. thanking you and see you soon</v>
      </c>
    </row>
    <row r="708" ht="15.75" customHeight="1">
      <c r="A708" s="2">
        <v>2.0</v>
      </c>
      <c r="B708" s="2" t="s">
        <v>2015</v>
      </c>
      <c r="C708" s="2" t="s">
        <v>2016</v>
      </c>
      <c r="D708" s="2" t="s">
        <v>842</v>
      </c>
      <c r="E708" s="2" t="s">
        <v>31</v>
      </c>
      <c r="F708" s="2" t="s">
        <v>15</v>
      </c>
      <c r="G708" s="2" t="s">
        <v>2017</v>
      </c>
      <c r="H708" s="2" t="s">
        <v>367</v>
      </c>
      <c r="I708" s="2" t="str">
        <f>IFERROR(__xludf.DUMMYFUNCTION("GOOGLETRANSLATE(C708,""fr"",""en"")"),"They know that you leave the mutual insurance for 01/11 but still take you in December !!! To tell you then, you will be reimbursed within 40 days ....")</f>
        <v>They know that you leave the mutual insurance for 01/11 but still take you in December !!! To tell you then, you will be reimbursed within 40 days ....</v>
      </c>
    </row>
    <row r="709" ht="15.75" customHeight="1">
      <c r="A709" s="2">
        <v>1.0</v>
      </c>
      <c r="B709" s="2" t="s">
        <v>2018</v>
      </c>
      <c r="C709" s="2" t="s">
        <v>2019</v>
      </c>
      <c r="D709" s="2" t="s">
        <v>636</v>
      </c>
      <c r="E709" s="2" t="s">
        <v>31</v>
      </c>
      <c r="F709" s="2" t="s">
        <v>15</v>
      </c>
      <c r="G709" s="2" t="s">
        <v>406</v>
      </c>
      <c r="H709" s="2" t="s">
        <v>230</v>
      </c>
      <c r="I709" s="2" t="str">
        <f>IFERROR(__xludf.DUMMYFUNCTION("GOOGLETRANSLATE(C709,""fr"",""en"")"),"Obliged to subscribe to this mutual since it is the choice of my employer (thank you this damn liberticide law). They never respond to emails, have reimbursement deadlines that are long and above all they have no consideration for their client. If only I "&amp;"had the freedom to return to my old mutual!")</f>
        <v>Obliged to subscribe to this mutual since it is the choice of my employer (thank you this damn liberticide law). They never respond to emails, have reimbursement deadlines that are long and above all they have no consideration for their client. If only I had the freedom to return to my old mutual!</v>
      </c>
    </row>
    <row r="710" ht="15.75" customHeight="1">
      <c r="A710" s="2">
        <v>4.0</v>
      </c>
      <c r="B710" s="2" t="s">
        <v>2020</v>
      </c>
      <c r="C710" s="2" t="s">
        <v>2021</v>
      </c>
      <c r="D710" s="2" t="s">
        <v>50</v>
      </c>
      <c r="E710" s="2" t="s">
        <v>51</v>
      </c>
      <c r="F710" s="2" t="s">
        <v>15</v>
      </c>
      <c r="G710" s="2" t="s">
        <v>2022</v>
      </c>
      <c r="H710" s="2" t="s">
        <v>230</v>
      </c>
      <c r="I710" s="2" t="str">
        <f>IFERROR(__xludf.DUMMYFUNCTION("GOOGLETRANSLATE(C710,""fr"",""en"")"),"Thank you cheap insurance fast I am satisfied with your insurance services I recommend everyone thank you everyone and see you soon Happy New Year")</f>
        <v>Thank you cheap insurance fast I am satisfied with your insurance services I recommend everyone thank you everyone and see you soon Happy New Year</v>
      </c>
    </row>
    <row r="711" ht="15.75" customHeight="1">
      <c r="A711" s="2">
        <v>1.0</v>
      </c>
      <c r="B711" s="2" t="s">
        <v>2023</v>
      </c>
      <c r="C711" s="2" t="s">
        <v>2024</v>
      </c>
      <c r="D711" s="2" t="s">
        <v>55</v>
      </c>
      <c r="E711" s="2" t="s">
        <v>14</v>
      </c>
      <c r="F711" s="2" t="s">
        <v>15</v>
      </c>
      <c r="G711" s="2" t="s">
        <v>2025</v>
      </c>
      <c r="H711" s="2" t="s">
        <v>471</v>
      </c>
      <c r="I711" s="2" t="str">
        <f>IFERROR(__xludf.DUMMYFUNCTION("GOOGLETRANSLATE(C711,""fr"",""en"")"),"Very very disappointed too bad that the latest satisfaction stars are impossible to withdraw because it was already too much to believe me! And so long to explain and incredible !!")</f>
        <v>Very very disappointed too bad that the latest satisfaction stars are impossible to withdraw because it was already too much to believe me! And so long to explain and incredible !!</v>
      </c>
    </row>
    <row r="712" ht="15.75" customHeight="1">
      <c r="A712" s="2">
        <v>4.0</v>
      </c>
      <c r="B712" s="2" t="s">
        <v>2026</v>
      </c>
      <c r="C712" s="2" t="s">
        <v>2027</v>
      </c>
      <c r="D712" s="2" t="s">
        <v>88</v>
      </c>
      <c r="E712" s="2" t="s">
        <v>31</v>
      </c>
      <c r="F712" s="2" t="s">
        <v>15</v>
      </c>
      <c r="G712" s="2" t="s">
        <v>2028</v>
      </c>
      <c r="H712" s="2" t="s">
        <v>504</v>
      </c>
      <c r="I712" s="2" t="str">
        <f>IFERROR(__xludf.DUMMYFUNCTION("GOOGLETRANSLATE(C712,""fr"",""en"")"),"Efficient customer service I would like to thank Caroline for her efficiency and her professionalism.")</f>
        <v>Efficient customer service I would like to thank Caroline for her efficiency and her professionalism.</v>
      </c>
    </row>
    <row r="713" ht="15.75" customHeight="1">
      <c r="A713" s="2">
        <v>4.0</v>
      </c>
      <c r="B713" s="2" t="s">
        <v>2029</v>
      </c>
      <c r="C713" s="2" t="s">
        <v>2030</v>
      </c>
      <c r="D713" s="2" t="s">
        <v>104</v>
      </c>
      <c r="E713" s="2" t="s">
        <v>121</v>
      </c>
      <c r="F713" s="2" t="s">
        <v>15</v>
      </c>
      <c r="G713" s="2" t="s">
        <v>409</v>
      </c>
      <c r="H713" s="2" t="s">
        <v>171</v>
      </c>
      <c r="I713" s="2" t="str">
        <f>IFERROR(__xludf.DUMMYFUNCTION("GOOGLETRANSLATE(C713,""fr"",""en"")"),"I am satisfied with the mutual but it is expensive and I would have liked to have a little more information since I am no longer active")</f>
        <v>I am satisfied with the mutual but it is expensive and I would have liked to have a little more information since I am no longer active</v>
      </c>
    </row>
    <row r="714" ht="15.75" customHeight="1">
      <c r="A714" s="2">
        <v>5.0</v>
      </c>
      <c r="B714" s="2" t="s">
        <v>2031</v>
      </c>
      <c r="C714" s="2" t="s">
        <v>2032</v>
      </c>
      <c r="D714" s="2" t="s">
        <v>55</v>
      </c>
      <c r="E714" s="2" t="s">
        <v>37</v>
      </c>
      <c r="F714" s="2" t="s">
        <v>15</v>
      </c>
      <c r="G714" s="2" t="s">
        <v>351</v>
      </c>
      <c r="H714" s="2" t="s">
        <v>47</v>
      </c>
      <c r="I714" s="2" t="str">
        <f>IFERROR(__xludf.DUMMYFUNCTION("GOOGLETRANSLATE(C714,""fr"",""en"")"),"Good listening insurance of these customers and very fast in terms of invoice reimbursements C is good insurance is good insurance well managed by Crédit Lyonnais")</f>
        <v>Good listening insurance of these customers and very fast in terms of invoice reimbursements C is good insurance is good insurance well managed by Crédit Lyonnais</v>
      </c>
    </row>
    <row r="715" ht="15.75" customHeight="1">
      <c r="A715" s="2">
        <v>5.0</v>
      </c>
      <c r="B715" s="2" t="s">
        <v>2033</v>
      </c>
      <c r="C715" s="2" t="s">
        <v>2034</v>
      </c>
      <c r="D715" s="2" t="s">
        <v>36</v>
      </c>
      <c r="E715" s="2" t="s">
        <v>14</v>
      </c>
      <c r="F715" s="2" t="s">
        <v>15</v>
      </c>
      <c r="G715" s="2" t="s">
        <v>201</v>
      </c>
      <c r="H715" s="2" t="s">
        <v>33</v>
      </c>
      <c r="I715" s="2" t="str">
        <f>IFERROR(__xludf.DUMMYFUNCTION("GOOGLETRANSLATE(C715,""fr"",""en"")"),"Perfect and price level nothing to say. Inexpensive as insurance I recommend my eyes closed. ++++ delighted to be part of your agency. ++++ fully satisfied")</f>
        <v>Perfect and price level nothing to say. Inexpensive as insurance I recommend my eyes closed. ++++ delighted to be part of your agency. ++++ fully satisfied</v>
      </c>
    </row>
    <row r="716" ht="15.75" customHeight="1">
      <c r="A716" s="2">
        <v>5.0</v>
      </c>
      <c r="B716" s="2" t="s">
        <v>2035</v>
      </c>
      <c r="C716" s="2" t="s">
        <v>2036</v>
      </c>
      <c r="D716" s="2" t="s">
        <v>13</v>
      </c>
      <c r="E716" s="2" t="s">
        <v>14</v>
      </c>
      <c r="F716" s="2" t="s">
        <v>15</v>
      </c>
      <c r="G716" s="2" t="s">
        <v>965</v>
      </c>
      <c r="H716" s="2" t="s">
        <v>85</v>
      </c>
      <c r="I716" s="2" t="str">
        <f>IFERROR(__xludf.DUMMYFUNCTION("GOOGLETRANSLATE(C716,""fr"",""en"")"),"I am very satisfied with the online service- quote and contract signed quickly following my telephone call for final questions
very attractive price - for contract management I would see later")</f>
        <v>I am very satisfied with the online service- quote and contract signed quickly following my telephone call for final questions
very attractive price - for contract management I would see later</v>
      </c>
    </row>
    <row r="717" ht="15.75" customHeight="1">
      <c r="A717" s="2">
        <v>5.0</v>
      </c>
      <c r="B717" s="2" t="s">
        <v>2037</v>
      </c>
      <c r="C717" s="2" t="s">
        <v>2038</v>
      </c>
      <c r="D717" s="2" t="s">
        <v>76</v>
      </c>
      <c r="E717" s="2" t="s">
        <v>51</v>
      </c>
      <c r="F717" s="2" t="s">
        <v>15</v>
      </c>
      <c r="G717" s="2" t="s">
        <v>2039</v>
      </c>
      <c r="H717" s="2" t="s">
        <v>487</v>
      </c>
      <c r="I717" s="2" t="str">
        <f>IFERROR(__xludf.DUMMYFUNCTION("GOOGLETRANSLATE(C717,""fr"",""en"")"),"AMV is an insurer that allows a simple and steep inscription. It is also also simple in exchanges. We don't receive too much advertising or promotion either. And finally, it is cheaper than other insurers for the same conditions.")</f>
        <v>AMV is an insurer that allows a simple and steep inscription. It is also also simple in exchanges. We don't receive too much advertising or promotion either. And finally, it is cheaper than other insurers for the same conditions.</v>
      </c>
    </row>
    <row r="718" ht="15.75" customHeight="1">
      <c r="A718" s="2">
        <v>4.0</v>
      </c>
      <c r="B718" s="2" t="s">
        <v>2040</v>
      </c>
      <c r="C718" s="2" t="s">
        <v>2041</v>
      </c>
      <c r="D718" s="2" t="s">
        <v>36</v>
      </c>
      <c r="E718" s="2" t="s">
        <v>14</v>
      </c>
      <c r="F718" s="2" t="s">
        <v>15</v>
      </c>
      <c r="G718" s="2" t="s">
        <v>309</v>
      </c>
      <c r="H718" s="2" t="s">
        <v>43</v>
      </c>
      <c r="I718" s="2" t="str">
        <f>IFERROR(__xludf.DUMMYFUNCTION("GOOGLETRANSLATE(C718,""fr"",""en"")"),"I am satisfied with the service
Prices suit me
Sellers are looking to sell you a maximum of options.
I have already been insured at Direct Insurance without problems")</f>
        <v>I am satisfied with the service
Prices suit me
Sellers are looking to sell you a maximum of options.
I have already been insured at Direct Insurance without problems</v>
      </c>
    </row>
    <row r="719" ht="15.75" customHeight="1">
      <c r="A719" s="2">
        <v>1.0</v>
      </c>
      <c r="B719" s="2" t="s">
        <v>2042</v>
      </c>
      <c r="C719" s="2" t="s">
        <v>2043</v>
      </c>
      <c r="D719" s="2" t="s">
        <v>93</v>
      </c>
      <c r="E719" s="2" t="s">
        <v>14</v>
      </c>
      <c r="F719" s="2" t="s">
        <v>15</v>
      </c>
      <c r="G719" s="2" t="s">
        <v>2044</v>
      </c>
      <c r="H719" s="2" t="s">
        <v>578</v>
      </c>
      <c r="I719" s="2" t="str">
        <f>IFERROR(__xludf.DUMMYFUNCTION("GOOGLETRANSLATE(C719,""fr"",""en"")"),"We have just requested the cessation of all our contracts (3 cars, 2 homes and GAV), a majority of which opened over 18 years ago")</f>
        <v>We have just requested the cessation of all our contracts (3 cars, 2 homes and GAV), a majority of which opened over 18 years ago</v>
      </c>
    </row>
    <row r="720" ht="15.75" customHeight="1">
      <c r="A720" s="2">
        <v>4.0</v>
      </c>
      <c r="B720" s="2" t="s">
        <v>2045</v>
      </c>
      <c r="C720" s="2" t="s">
        <v>2046</v>
      </c>
      <c r="D720" s="2" t="s">
        <v>36</v>
      </c>
      <c r="E720" s="2" t="s">
        <v>14</v>
      </c>
      <c r="F720" s="2" t="s">
        <v>15</v>
      </c>
      <c r="G720" s="2" t="s">
        <v>77</v>
      </c>
      <c r="H720" s="2" t="s">
        <v>27</v>
      </c>
      <c r="I720" s="2" t="str">
        <f>IFERROR(__xludf.DUMMYFUNCTION("GOOGLETRANSLATE(C720,""fr"",""en"")"),"I am satisfied with the very good insurance service to recommended.
I have been insured for several years with Direct Insurance
I have nothing else to say thank you very much really")</f>
        <v>I am satisfied with the very good insurance service to recommended.
I have been insured for several years with Direct Insurance
I have nothing else to say thank you very much really</v>
      </c>
    </row>
    <row r="721" ht="15.75" customHeight="1">
      <c r="A721" s="2">
        <v>4.0</v>
      </c>
      <c r="B721" s="2" t="s">
        <v>2047</v>
      </c>
      <c r="C721" s="2" t="s">
        <v>2048</v>
      </c>
      <c r="D721" s="2" t="s">
        <v>13</v>
      </c>
      <c r="E721" s="2" t="s">
        <v>14</v>
      </c>
      <c r="F721" s="2" t="s">
        <v>15</v>
      </c>
      <c r="G721" s="2" t="s">
        <v>2049</v>
      </c>
      <c r="H721" s="2" t="s">
        <v>356</v>
      </c>
      <c r="I721" s="2" t="str">
        <f>IFERROR(__xludf.DUMMYFUNCTION("GOOGLETRANSLATE(C721,""fr"",""en"")"),"Very well informed and advised more, very fast to obtain your green card.
The documents are lively received and everything is clear, so happy nothing to say")</f>
        <v>Very well informed and advised more, very fast to obtain your green card.
The documents are lively received and everything is clear, so happy nothing to say</v>
      </c>
    </row>
    <row r="722" ht="15.75" customHeight="1">
      <c r="A722" s="2">
        <v>3.0</v>
      </c>
      <c r="B722" s="2" t="s">
        <v>2050</v>
      </c>
      <c r="C722" s="2" t="s">
        <v>2051</v>
      </c>
      <c r="D722" s="2" t="s">
        <v>88</v>
      </c>
      <c r="E722" s="2" t="s">
        <v>31</v>
      </c>
      <c r="F722" s="2" t="s">
        <v>15</v>
      </c>
      <c r="G722" s="2" t="s">
        <v>1866</v>
      </c>
      <c r="H722" s="2" t="s">
        <v>504</v>
      </c>
      <c r="I722" s="2" t="str">
        <f>IFERROR(__xludf.DUMMYFUNCTION("GOOGLETRANSLATE(C722,""fr"",""en"")"),"On October 8 ,,, excellent Sabrina performance Welcome telephone, she sent me live my mutual card that I had lost ...")</f>
        <v>On October 8 ,,, excellent Sabrina performance Welcome telephone, she sent me live my mutual card that I had lost ...</v>
      </c>
    </row>
    <row r="723" ht="15.75" customHeight="1">
      <c r="A723" s="2">
        <v>1.0</v>
      </c>
      <c r="B723" s="2" t="s">
        <v>2052</v>
      </c>
      <c r="C723" s="2" t="s">
        <v>2053</v>
      </c>
      <c r="D723" s="2" t="s">
        <v>636</v>
      </c>
      <c r="E723" s="2" t="s">
        <v>31</v>
      </c>
      <c r="F723" s="2" t="s">
        <v>15</v>
      </c>
      <c r="G723" s="2" t="s">
        <v>2054</v>
      </c>
      <c r="H723" s="2" t="s">
        <v>137</v>
      </c>
      <c r="I723" s="2" t="str">
        <f>IFERROR(__xludf.DUMMYFUNCTION("GOOGLETRANSLATE(C723,""fr"",""en"")"),"Does not respect their customers. I need to redo a pair of glasses because change of axis. Harmonie does not want and releases the last law to date like what, it takes 2 years before redoing glasses if there is no change of view. It is a change of axis an"&amp;"d I feel the difference when I am made to try the 2 corrections, it is important for my visual comfort and they should take it into account and well no, that slab! On the other hand, to take up the contributions, there, there is no problem! Very disappoin"&amp;"ted with this mutual!")</f>
        <v>Does not respect their customers. I need to redo a pair of glasses because change of axis. Harmonie does not want and releases the last law to date like what, it takes 2 years before redoing glasses if there is no change of view. It is a change of axis and I feel the difference when I am made to try the 2 corrections, it is important for my visual comfort and they should take it into account and well no, that slab! On the other hand, to take up the contributions, there, there is no problem! Very disappointed with this mutual!</v>
      </c>
    </row>
    <row r="724" ht="15.75" customHeight="1">
      <c r="A724" s="2">
        <v>3.0</v>
      </c>
      <c r="B724" s="2" t="s">
        <v>2055</v>
      </c>
      <c r="C724" s="2" t="s">
        <v>2056</v>
      </c>
      <c r="D724" s="2" t="s">
        <v>125</v>
      </c>
      <c r="E724" s="2" t="s">
        <v>14</v>
      </c>
      <c r="F724" s="2" t="s">
        <v>15</v>
      </c>
      <c r="G724" s="2" t="s">
        <v>309</v>
      </c>
      <c r="H724" s="2" t="s">
        <v>43</v>
      </c>
      <c r="I724" s="2" t="str">
        <f>IFERROR(__xludf.DUMMYFUNCTION("GOOGLETRANSLATE(C724,""fr"",""en"")"),"The price could be a little more suitable for the customer with several contracts is still a little too expensive. The service is correct but efforts are still expected.")</f>
        <v>The price could be a little more suitable for the customer with several contracts is still a little too expensive. The service is correct but efforts are still expected.</v>
      </c>
    </row>
    <row r="725" ht="15.75" customHeight="1">
      <c r="A725" s="2">
        <v>5.0</v>
      </c>
      <c r="B725" s="2" t="s">
        <v>2057</v>
      </c>
      <c r="C725" s="2" t="s">
        <v>2058</v>
      </c>
      <c r="D725" s="2" t="s">
        <v>13</v>
      </c>
      <c r="E725" s="2" t="s">
        <v>14</v>
      </c>
      <c r="F725" s="2" t="s">
        <v>15</v>
      </c>
      <c r="G725" s="2" t="s">
        <v>2059</v>
      </c>
      <c r="H725" s="2" t="s">
        <v>85</v>
      </c>
      <c r="I725" s="2" t="str">
        <f>IFERROR(__xludf.DUMMYFUNCTION("GOOGLETRANSLATE(C725,""fr"",""en"")"),"I am satisfied to have found a competitive price compared to what my current insurance offered me. The interlocutor was remarkable.")</f>
        <v>I am satisfied to have found a competitive price compared to what my current insurance offered me. The interlocutor was remarkable.</v>
      </c>
    </row>
    <row r="726" ht="15.75" customHeight="1">
      <c r="A726" s="2">
        <v>1.0</v>
      </c>
      <c r="B726" s="2" t="s">
        <v>2060</v>
      </c>
      <c r="C726" s="2" t="s">
        <v>2061</v>
      </c>
      <c r="D726" s="2" t="s">
        <v>211</v>
      </c>
      <c r="E726" s="2" t="s">
        <v>31</v>
      </c>
      <c r="F726" s="2" t="s">
        <v>15</v>
      </c>
      <c r="G726" s="2" t="s">
        <v>666</v>
      </c>
      <c r="H726" s="2" t="s">
        <v>85</v>
      </c>
      <c r="I726" s="2" t="str">
        <f>IFERROR(__xludf.DUMMYFUNCTION("GOOGLETRANSLATE(C726,""fr"",""en"")"),"Very professional to recover you as a customer, but for long reimbursements very, and even very long must justify everything, even a simple visit to the doctor when they have all the information by….
I will not recommend this mutual")</f>
        <v>Very professional to recover you as a customer, but for long reimbursements very, and even very long must justify everything, even a simple visit to the doctor when they have all the information by….
I will not recommend this mutual</v>
      </c>
    </row>
    <row r="727" ht="15.75" customHeight="1">
      <c r="A727" s="2">
        <v>2.0</v>
      </c>
      <c r="B727" s="2" t="s">
        <v>2062</v>
      </c>
      <c r="C727" s="2" t="s">
        <v>2063</v>
      </c>
      <c r="D727" s="2" t="s">
        <v>60</v>
      </c>
      <c r="E727" s="2" t="s">
        <v>14</v>
      </c>
      <c r="F727" s="2" t="s">
        <v>15</v>
      </c>
      <c r="G727" s="2" t="s">
        <v>2064</v>
      </c>
      <c r="H727" s="2" t="s">
        <v>106</v>
      </c>
      <c r="I727" s="2" t="str">
        <f>IFERROR(__xludf.DUMMYFUNCTION("GOOGLETRANSLATE(C727,""fr"",""en"")"),"Having three insurance contracts to date. No delivery the prices remains very expensive. I have the attention to transfer elsewhere all my contracts very quickly.")</f>
        <v>Having three insurance contracts to date. No delivery the prices remains very expensive. I have the attention to transfer elsewhere all my contracts very quickly.</v>
      </c>
    </row>
    <row r="728" ht="15.75" customHeight="1">
      <c r="A728" s="2">
        <v>5.0</v>
      </c>
      <c r="B728" s="2" t="s">
        <v>2065</v>
      </c>
      <c r="C728" s="2" t="s">
        <v>2066</v>
      </c>
      <c r="D728" s="2" t="s">
        <v>36</v>
      </c>
      <c r="E728" s="2" t="s">
        <v>14</v>
      </c>
      <c r="F728" s="2" t="s">
        <v>15</v>
      </c>
      <c r="G728" s="2" t="s">
        <v>329</v>
      </c>
      <c r="H728" s="2" t="s">
        <v>230</v>
      </c>
      <c r="I728" s="2" t="str">
        <f>IFERROR(__xludf.DUMMYFUNCTION("GOOGLETRANSLATE(C728,""fr"",""en"")"),"Very satisfied with direct insurance services. Great ease of subscription and termination. Exceptional telephone reception, no expectations, clear and precise answers, at the top.
")</f>
        <v>Very satisfied with direct insurance services. Great ease of subscription and termination. Exceptional telephone reception, no expectations, clear and precise answers, at the top.
</v>
      </c>
    </row>
    <row r="729" ht="15.75" customHeight="1">
      <c r="A729" s="2">
        <v>2.0</v>
      </c>
      <c r="B729" s="2" t="s">
        <v>2067</v>
      </c>
      <c r="C729" s="2" t="s">
        <v>2068</v>
      </c>
      <c r="D729" s="2" t="s">
        <v>36</v>
      </c>
      <c r="E729" s="2" t="s">
        <v>14</v>
      </c>
      <c r="F729" s="2" t="s">
        <v>15</v>
      </c>
      <c r="G729" s="2" t="s">
        <v>542</v>
      </c>
      <c r="H729" s="2" t="s">
        <v>171</v>
      </c>
      <c r="I729" s="2" t="str">
        <f>IFERROR(__xludf.DUMMYFUNCTION("GOOGLETRANSLATE(C729,""fr"",""en"")"),"Telephone information concerning a change of contract is in my opinion inconsistent. The company does not seem to want to retain its policyholders. It's benight")</f>
        <v>Telephone information concerning a change of contract is in my opinion inconsistent. The company does not seem to want to retain its policyholders. It's benight</v>
      </c>
    </row>
    <row r="730" ht="15.75" customHeight="1">
      <c r="A730" s="2">
        <v>5.0</v>
      </c>
      <c r="B730" s="2" t="s">
        <v>2069</v>
      </c>
      <c r="C730" s="2" t="s">
        <v>2070</v>
      </c>
      <c r="D730" s="2" t="s">
        <v>211</v>
      </c>
      <c r="E730" s="2" t="s">
        <v>31</v>
      </c>
      <c r="F730" s="2" t="s">
        <v>15</v>
      </c>
      <c r="G730" s="2" t="s">
        <v>226</v>
      </c>
      <c r="H730" s="2" t="s">
        <v>43</v>
      </c>
      <c r="I730" s="2" t="str">
        <f>IFERROR(__xludf.DUMMYFUNCTION("GOOGLETRANSLATE(C730,""fr"",""en"")"),"Hello, I am happy with my customer advisor who this first name Widad, she helped me well for the terminations of my old mutual, she learned time to explain the step to follow and was listening to because I have problems of understanding Being a disabled e"&amp;"ngine ... Thank you Widad Regards Mr Verron Christophe.")</f>
        <v>Hello, I am happy with my customer advisor who this first name Widad, she helped me well for the terminations of my old mutual, she learned time to explain the step to follow and was listening to because I have problems of understanding Being a disabled engine ... Thank you Widad Regards Mr Verron Christophe.</v>
      </c>
    </row>
    <row r="731" ht="15.75" customHeight="1">
      <c r="A731" s="2">
        <v>4.0</v>
      </c>
      <c r="B731" s="2" t="s">
        <v>2071</v>
      </c>
      <c r="C731" s="2" t="s">
        <v>2072</v>
      </c>
      <c r="D731" s="2" t="s">
        <v>50</v>
      </c>
      <c r="E731" s="2" t="s">
        <v>51</v>
      </c>
      <c r="F731" s="2" t="s">
        <v>15</v>
      </c>
      <c r="G731" s="2" t="s">
        <v>441</v>
      </c>
      <c r="H731" s="2" t="s">
        <v>33</v>
      </c>
      <c r="I731" s="2" t="str">
        <f>IFERROR(__xludf.DUMMYFUNCTION("GOOGLETRANSLATE(C731,""fr"",""en"")"),"I am satisfied . Cheap full insurance. To see in use. Competent staff. So I’m waiting by email the green card because I just made the settlement. Thanks")</f>
        <v>I am satisfied . Cheap full insurance. To see in use. Competent staff. So I’m waiting by email the green card because I just made the settlement. Thanks</v>
      </c>
    </row>
    <row r="732" ht="15.75" customHeight="1">
      <c r="A732" s="2">
        <v>2.0</v>
      </c>
      <c r="B732" s="2" t="s">
        <v>2073</v>
      </c>
      <c r="C732" s="2" t="s">
        <v>2074</v>
      </c>
      <c r="D732" s="2" t="s">
        <v>20</v>
      </c>
      <c r="E732" s="2" t="s">
        <v>14</v>
      </c>
      <c r="F732" s="2" t="s">
        <v>15</v>
      </c>
      <c r="G732" s="2" t="s">
        <v>1310</v>
      </c>
      <c r="H732" s="2" t="s">
        <v>33</v>
      </c>
      <c r="I732" s="2" t="str">
        <f>IFERROR(__xludf.DUMMYFUNCTION("GOOGLETRANSLATE(C732,""fr"",""en"")"),"They do not fail to escape you financially each time they can .... in any risk and without deductible in ice of ice they announced telephonically a total reimbursement at most 1190 euros according to their software (it is him Who decides according to them"&amp;") the repair bill was 1070 euros advanced by me ... After receipt of my said invoice they sent me an email announcing that it only reimbursed 890 euros and the best is that they found the excuse that they did not pay the glue glue !!!! No, but ho had to k"&amp;"eep the new one with what then? Elastics? Bugs ? Scotch? So an expert named and still awaiting their decisions after requesting the papers like how many km had the car during the breakage of out of breeze with mention attention in the event of an error ar"&amp;"e likely to pay .... as if I had Noted the exact km during the incident .... frankness or not they count it anyway in short I am fed up and will change company as soon as possible for my 2 vehicles ... the height what brief I advised them strongly. An unh"&amp;"appy insured !!!")</f>
        <v>They do not fail to escape you financially each time they can .... in any risk and without deductible in ice of ice they announced telephonically a total reimbursement at most 1190 euros according to their software (it is him Who decides according to them) the repair bill was 1070 euros advanced by me ... After receipt of my said invoice they sent me an email announcing that it only reimbursed 890 euros and the best is that they found the excuse that they did not pay the glue glue !!!! No, but ho had to keep the new one with what then? Elastics? Bugs ? Scotch? So an expert named and still awaiting their decisions after requesting the papers like how many km had the car during the breakage of out of breeze with mention attention in the event of an error are likely to pay .... as if I had Noted the exact km during the incident .... frankness or not they count it anyway in short I am fed up and will change company as soon as possible for my 2 vehicles ... the height what brief I advised them strongly. An unhappy insured !!!</v>
      </c>
    </row>
    <row r="733" ht="15.75" customHeight="1">
      <c r="A733" s="2">
        <v>2.0</v>
      </c>
      <c r="B733" s="2" t="s">
        <v>2075</v>
      </c>
      <c r="C733" s="2" t="s">
        <v>2076</v>
      </c>
      <c r="D733" s="2" t="s">
        <v>211</v>
      </c>
      <c r="E733" s="2" t="s">
        <v>31</v>
      </c>
      <c r="F733" s="2" t="s">
        <v>15</v>
      </c>
      <c r="G733" s="2" t="s">
        <v>2077</v>
      </c>
      <c r="H733" s="2" t="s">
        <v>178</v>
      </c>
      <c r="I733" s="2" t="str">
        <f>IFERROR(__xludf.DUMMYFUNCTION("GOOGLETRANSLATE(C733,""fr"",""en"")"),"I had the misfortune to be contacted by an online advisor who would have sold her soul so that I adhere to the mutual that she represented. There was a systematic and crippling refusal to be a member, the absence of dental and optical paid third party. I "&amp;"was assured that I had this carte blanche as he calls it. Well, no, lies neoliane does not practice it. I have to move forward everything, glasses and dental prostheses. Mad with rage. At Tel the answering machine is silent, full vocal box. The files do n"&amp;"ot follow. It is necessary to X, Y constantly. New advisor who is not aware etc ... shame. During the confinement, they are well in teleworking and supposedly, cannot consult themselves !!!!!! Do not take this mutual. Nothing more pleasant than going to a"&amp;"n agency and can you lie to you ?? And we find contact, smile, and physical dialogue !!!!")</f>
        <v>I had the misfortune to be contacted by an online advisor who would have sold her soul so that I adhere to the mutual that she represented. There was a systematic and crippling refusal to be a member, the absence of dental and optical paid third party. I was assured that I had this carte blanche as he calls it. Well, no, lies neoliane does not practice it. I have to move forward everything, glasses and dental prostheses. Mad with rage. At Tel the answering machine is silent, full vocal box. The files do not follow. It is necessary to X, Y constantly. New advisor who is not aware etc ... shame. During the confinement, they are well in teleworking and supposedly, cannot consult themselves !!!!!! Do not take this mutual. Nothing more pleasant than going to an agency and can you lie to you ?? And we find contact, smile, and physical dialogue !!!!</v>
      </c>
    </row>
    <row r="734" ht="15.75" customHeight="1">
      <c r="A734" s="2">
        <v>3.0</v>
      </c>
      <c r="B734" s="2" t="s">
        <v>2078</v>
      </c>
      <c r="C734" s="2" t="s">
        <v>2079</v>
      </c>
      <c r="D734" s="2" t="s">
        <v>36</v>
      </c>
      <c r="E734" s="2" t="s">
        <v>14</v>
      </c>
      <c r="F734" s="2" t="s">
        <v>15</v>
      </c>
      <c r="G734" s="2" t="s">
        <v>2080</v>
      </c>
      <c r="H734" s="2" t="s">
        <v>27</v>
      </c>
      <c r="I734" s="2" t="str">
        <f>IFERROR(__xludf.DUMMYFUNCTION("GOOGLETRANSLATE(C734,""fr"",""en"")"),"The price is almost equivalent to my old insurer, I just modify the amount of assistance and warranty levels.
Sponsorship (which has not yet been taken into account), will allow me to gain a total of € 70 on my previous insurance.")</f>
        <v>The price is almost equivalent to my old insurer, I just modify the amount of assistance and warranty levels.
Sponsorship (which has not yet been taken into account), will allow me to gain a total of € 70 on my previous insurance.</v>
      </c>
    </row>
    <row r="735" ht="15.75" customHeight="1">
      <c r="A735" s="2">
        <v>5.0</v>
      </c>
      <c r="B735" s="2" t="s">
        <v>2081</v>
      </c>
      <c r="C735" s="2" t="s">
        <v>2082</v>
      </c>
      <c r="D735" s="2" t="s">
        <v>36</v>
      </c>
      <c r="E735" s="2" t="s">
        <v>14</v>
      </c>
      <c r="F735" s="2" t="s">
        <v>15</v>
      </c>
      <c r="G735" s="2" t="s">
        <v>1601</v>
      </c>
      <c r="H735" s="2" t="s">
        <v>95</v>
      </c>
      <c r="I735" s="2" t="str">
        <f>IFERROR(__xludf.DUMMYFUNCTION("GOOGLETRANSLATE(C735,""fr"",""en"")"),"I am satisfied with the service The price suits me thank you for your choice of proposal and price I hope you stay the best in this field")</f>
        <v>I am satisfied with the service The price suits me thank you for your choice of proposal and price I hope you stay the best in this field</v>
      </c>
    </row>
    <row r="736" ht="15.75" customHeight="1">
      <c r="A736" s="2">
        <v>1.0</v>
      </c>
      <c r="B736" s="2" t="s">
        <v>2083</v>
      </c>
      <c r="C736" s="2" t="s">
        <v>2084</v>
      </c>
      <c r="D736" s="2" t="s">
        <v>120</v>
      </c>
      <c r="E736" s="2" t="s">
        <v>21</v>
      </c>
      <c r="F736" s="2" t="s">
        <v>15</v>
      </c>
      <c r="G736" s="2" t="s">
        <v>2085</v>
      </c>
      <c r="H736" s="2" t="s">
        <v>160</v>
      </c>
      <c r="I736" s="2" t="str">
        <f>IFERROR(__xludf.DUMMYFUNCTION("GOOGLETRANSLATE(C736,""fr"",""en"")"),"I have been asking duplicatas for my life insurance contracts for several weeks, I wrote 3 times
Back to the 1st letter: sending a duplicate of a contract to my name but which I have not subscribed;
2nd mail: no answer; 3rd mail duplicate of the non -su"&amp;"bscribed contract + the duplicate of an insured person, I returned to him by mail his contract he will be delighted to see that Génerali sends information concerning him to strangers.
As for telephone calls, I am waiting for very long minutes the advisor"&amp;" to which I had subscribed to my contracts (at my home) resigned. In short, galleys, no response or inadequate responses and zero skills. Not recommended")</f>
        <v>I have been asking duplicatas for my life insurance contracts for several weeks, I wrote 3 times
Back to the 1st letter: sending a duplicate of a contract to my name but which I have not subscribed;
2nd mail: no answer; 3rd mail duplicate of the non -subscribed contract + the duplicate of an insured person, I returned to him by mail his contract he will be delighted to see that Génerali sends information concerning him to strangers.
As for telephone calls, I am waiting for very long minutes the advisor to which I had subscribed to my contracts (at my home) resigned. In short, galleys, no response or inadequate responses and zero skills. Not recommended</v>
      </c>
    </row>
    <row r="737" ht="15.75" customHeight="1">
      <c r="A737" s="2">
        <v>4.0</v>
      </c>
      <c r="B737" s="2" t="s">
        <v>2086</v>
      </c>
      <c r="C737" s="2" t="s">
        <v>2087</v>
      </c>
      <c r="D737" s="2" t="s">
        <v>125</v>
      </c>
      <c r="E737" s="2" t="s">
        <v>14</v>
      </c>
      <c r="F737" s="2" t="s">
        <v>15</v>
      </c>
      <c r="G737" s="2" t="s">
        <v>1705</v>
      </c>
      <c r="H737" s="2" t="s">
        <v>33</v>
      </c>
      <c r="I737" s="2" t="str">
        <f>IFERROR(__xludf.DUMMYFUNCTION("GOOGLETRANSLATE(C737,""fr"",""en"")"),"I am satisfied with the quality price of my insurance ...
I have always had the GMF from my 1st insurance and they have always accompanied me in my efforts.")</f>
        <v>I am satisfied with the quality price of my insurance ...
I have always had the GMF from my 1st insurance and they have always accompanied me in my efforts.</v>
      </c>
    </row>
    <row r="738" ht="15.75" customHeight="1">
      <c r="A738" s="2">
        <v>3.0</v>
      </c>
      <c r="B738" s="2" t="s">
        <v>2088</v>
      </c>
      <c r="C738" s="2" t="s">
        <v>2089</v>
      </c>
      <c r="D738" s="2" t="s">
        <v>88</v>
      </c>
      <c r="E738" s="2" t="s">
        <v>31</v>
      </c>
      <c r="F738" s="2" t="s">
        <v>15</v>
      </c>
      <c r="G738" s="2" t="s">
        <v>2090</v>
      </c>
      <c r="H738" s="2" t="s">
        <v>57</v>
      </c>
      <c r="I738" s="2" t="str">
        <f>IFERROR(__xludf.DUMMYFUNCTION("GOOGLETRANSLATE(C738,""fr"",""en"")"),"I needed an growing, Nadège was very friendly and efficient to provide me with a duplicate of my Aini card only to answer certain questions about reimbursements. Thanks again.")</f>
        <v>I needed an growing, Nadège was very friendly and efficient to provide me with a duplicate of my Aini card only to answer certain questions about reimbursements. Thanks again.</v>
      </c>
    </row>
    <row r="739" ht="15.75" customHeight="1">
      <c r="A739" s="2">
        <v>5.0</v>
      </c>
      <c r="B739" s="2" t="s">
        <v>2091</v>
      </c>
      <c r="C739" s="2" t="s">
        <v>2092</v>
      </c>
      <c r="D739" s="2" t="s">
        <v>76</v>
      </c>
      <c r="E739" s="2" t="s">
        <v>51</v>
      </c>
      <c r="F739" s="2" t="s">
        <v>15</v>
      </c>
      <c r="G739" s="2" t="s">
        <v>309</v>
      </c>
      <c r="H739" s="2" t="s">
        <v>43</v>
      </c>
      <c r="I739" s="2" t="str">
        <f>IFERROR(__xludf.DUMMYFUNCTION("GOOGLETRANSLATE(C739,""fr"",""en"")"),"I made an online subscription today for my 125 CC motorcycle with ease, the prices and guarantees are good. I am happy to be going to the AMV site")</f>
        <v>I made an online subscription today for my 125 CC motorcycle with ease, the prices and guarantees are good. I am happy to be going to the AMV site</v>
      </c>
    </row>
    <row r="740" ht="15.75" customHeight="1">
      <c r="A740" s="2">
        <v>3.0</v>
      </c>
      <c r="B740" s="2" t="s">
        <v>2093</v>
      </c>
      <c r="C740" s="2" t="s">
        <v>2094</v>
      </c>
      <c r="D740" s="2" t="s">
        <v>88</v>
      </c>
      <c r="E740" s="2" t="s">
        <v>31</v>
      </c>
      <c r="F740" s="2" t="s">
        <v>15</v>
      </c>
      <c r="G740" s="2" t="s">
        <v>2095</v>
      </c>
      <c r="H740" s="2" t="s">
        <v>504</v>
      </c>
      <c r="I740" s="2" t="str">
        <f>IFERROR(__xludf.DUMMYFUNCTION("GOOGLETRANSLATE(C740,""fr"",""en"")"),"My experience with Sabrina is very good! Identification of the problem and solution in 2 seconds time, simply and with a smile ... I find that customer service at Santiane is of quality. To be continued...")</f>
        <v>My experience with Sabrina is very good! Identification of the problem and solution in 2 seconds time, simply and with a smile ... I find that customer service at Santiane is of quality. To be continued...</v>
      </c>
    </row>
    <row r="741" ht="15.75" customHeight="1">
      <c r="A741" s="2">
        <v>1.0</v>
      </c>
      <c r="B741" s="2" t="s">
        <v>2096</v>
      </c>
      <c r="C741" s="2" t="s">
        <v>2097</v>
      </c>
      <c r="D741" s="2" t="s">
        <v>143</v>
      </c>
      <c r="E741" s="2" t="s">
        <v>31</v>
      </c>
      <c r="F741" s="2" t="s">
        <v>15</v>
      </c>
      <c r="G741" s="2" t="s">
        <v>1106</v>
      </c>
      <c r="H741" s="2" t="s">
        <v>504</v>
      </c>
      <c r="I741" s="2" t="str">
        <f>IFERROR(__xludf.DUMMYFUNCTION("GOOGLETRANSLATE(C741,""fr"",""en"")"),"To flee. Impossible to get out of the mutual contract subscribed. The subscription date varies depending on the interlocutor. The guarantees are limited and subject to conditions. To run away absolutely. It is indecent to play with health, and to hold peo"&amp;"ple.")</f>
        <v>To flee. Impossible to get out of the mutual contract subscribed. The subscription date varies depending on the interlocutor. The guarantees are limited and subject to conditions. To run away absolutely. It is indecent to play with health, and to hold people.</v>
      </c>
    </row>
    <row r="742" ht="15.75" customHeight="1">
      <c r="A742" s="2">
        <v>5.0</v>
      </c>
      <c r="B742" s="2" t="s">
        <v>2098</v>
      </c>
      <c r="C742" s="2" t="s">
        <v>2099</v>
      </c>
      <c r="D742" s="2" t="s">
        <v>36</v>
      </c>
      <c r="E742" s="2" t="s">
        <v>14</v>
      </c>
      <c r="F742" s="2" t="s">
        <v>15</v>
      </c>
      <c r="G742" s="2" t="s">
        <v>2100</v>
      </c>
      <c r="H742" s="2" t="s">
        <v>33</v>
      </c>
      <c r="I742" s="2" t="str">
        <f>IFERROR(__xludf.DUMMYFUNCTION("GOOGLETRANSLATE(C742,""fr"",""en"")"),"I am satisfied with the service and the prices obtained. Quick transaction and response of very satisfactory advisers. I recommend this insurance. Yours")</f>
        <v>I am satisfied with the service and the prices obtained. Quick transaction and response of very satisfactory advisers. I recommend this insurance. Yours</v>
      </c>
    </row>
    <row r="743" ht="15.75" customHeight="1">
      <c r="A743" s="2">
        <v>4.0</v>
      </c>
      <c r="B743" s="2" t="s">
        <v>2101</v>
      </c>
      <c r="C743" s="2" t="s">
        <v>2102</v>
      </c>
      <c r="D743" s="2" t="s">
        <v>125</v>
      </c>
      <c r="E743" s="2" t="s">
        <v>14</v>
      </c>
      <c r="F743" s="2" t="s">
        <v>15</v>
      </c>
      <c r="G743" s="2" t="s">
        <v>2103</v>
      </c>
      <c r="H743" s="2" t="s">
        <v>387</v>
      </c>
      <c r="I743" s="2" t="str">
        <f>IFERROR(__xludf.DUMMYFUNCTION("GOOGLETRANSLATE(C743,""fr"",""en"")"),"Easy contact, great reactivity. Compostive at the contribution level. Grandes availability, at each claim no problem, there is always the possibility of joining someone who can respond to your request and capable of bringing you a solution")</f>
        <v>Easy contact, great reactivity. Compostive at the contribution level. Grandes availability, at each claim no problem, there is always the possibility of joining someone who can respond to your request and capable of bringing you a solution</v>
      </c>
    </row>
    <row r="744" ht="15.75" customHeight="1">
      <c r="A744" s="2">
        <v>4.0</v>
      </c>
      <c r="B744" s="2" t="s">
        <v>2104</v>
      </c>
      <c r="C744" s="2" t="s">
        <v>2105</v>
      </c>
      <c r="D744" s="2" t="s">
        <v>80</v>
      </c>
      <c r="E744" s="2" t="s">
        <v>37</v>
      </c>
      <c r="F744" s="2" t="s">
        <v>15</v>
      </c>
      <c r="G744" s="2" t="s">
        <v>296</v>
      </c>
      <c r="H744" s="2" t="s">
        <v>297</v>
      </c>
      <c r="I744" s="2" t="str">
        <f>IFERROR(__xludf.DUMMYFUNCTION("GOOGLETRANSLATE(C744,""fr"",""en"")"),"Very satisfied with our home insurance. Reachable and attentive customer service. We had to ask for a repatriation following an accident from my spouse and everything was very well managed from A to Z, the MAAF has very well taken care of the file with ef"&amp;"ficiency and we recalled several times without our having to relaunch. I recommend the MAAF.")</f>
        <v>Very satisfied with our home insurance. Reachable and attentive customer service. We had to ask for a repatriation following an accident from my spouse and everything was very well managed from A to Z, the MAAF has very well taken care of the file with efficiency and we recalled several times without our having to relaunch. I recommend the MAAF.</v>
      </c>
    </row>
    <row r="745" ht="15.75" customHeight="1">
      <c r="A745" s="2">
        <v>1.0</v>
      </c>
      <c r="B745" s="2" t="s">
        <v>2106</v>
      </c>
      <c r="C745" s="2" t="s">
        <v>2107</v>
      </c>
      <c r="D745" s="2" t="s">
        <v>20</v>
      </c>
      <c r="E745" s="2" t="s">
        <v>121</v>
      </c>
      <c r="F745" s="2" t="s">
        <v>15</v>
      </c>
      <c r="G745" s="2" t="s">
        <v>249</v>
      </c>
      <c r="H745" s="2" t="s">
        <v>43</v>
      </c>
      <c r="I745" s="2" t="str">
        <f>IFERROR(__xludf.DUMMYFUNCTION("GOOGLETRANSLATE(C745,""fr"",""en"")"),"Flee Flee Flee, don't make the same mistake as me!
Second stopping work in 20 years 1 month recommended by the surgeon, I only take 12 days including 3 of deficiency, in liberal profession, they do not want to pay me a cents and for the first stop, the s"&amp;"ame one had to fight 8 months to touch all the money while all the papers were properly filled on my part!
I just left everything! What a relief!")</f>
        <v>Flee Flee Flee, don't make the same mistake as me!
Second stopping work in 20 years 1 month recommended by the surgeon, I only take 12 days including 3 of deficiency, in liberal profession, they do not want to pay me a cents and for the first stop, the same one had to fight 8 months to touch all the money while all the papers were properly filled on my part!
I just left everything! What a relief!</v>
      </c>
    </row>
    <row r="746" ht="15.75" customHeight="1">
      <c r="A746" s="2">
        <v>5.0</v>
      </c>
      <c r="B746" s="2" t="s">
        <v>2108</v>
      </c>
      <c r="C746" s="2" t="s">
        <v>2109</v>
      </c>
      <c r="D746" s="2" t="s">
        <v>36</v>
      </c>
      <c r="E746" s="2" t="s">
        <v>14</v>
      </c>
      <c r="F746" s="2" t="s">
        <v>15</v>
      </c>
      <c r="G746" s="2" t="s">
        <v>249</v>
      </c>
      <c r="H746" s="2" t="s">
        <v>43</v>
      </c>
      <c r="I746" s="2" t="str">
        <f>IFERROR(__xludf.DUMMYFUNCTION("GOOGLETRANSLATE(C746,""fr"",""en"")"),"Satisfied for the service, fast, efficient and intuitive.
Very good customer experience concerning the realization of the quote.
I will recommend direct insurance to those around me")</f>
        <v>Satisfied for the service, fast, efficient and intuitive.
Very good customer experience concerning the realization of the quote.
I will recommend direct insurance to those around me</v>
      </c>
    </row>
    <row r="747" ht="15.75" customHeight="1">
      <c r="A747" s="2">
        <v>4.0</v>
      </c>
      <c r="B747" s="2" t="s">
        <v>2110</v>
      </c>
      <c r="C747" s="2" t="s">
        <v>2111</v>
      </c>
      <c r="D747" s="2" t="s">
        <v>50</v>
      </c>
      <c r="E747" s="2" t="s">
        <v>51</v>
      </c>
      <c r="F747" s="2" t="s">
        <v>15</v>
      </c>
      <c r="G747" s="2" t="s">
        <v>2112</v>
      </c>
      <c r="H747" s="2" t="s">
        <v>33</v>
      </c>
      <c r="I747" s="2" t="str">
        <f>IFERROR(__xludf.DUMMYFUNCTION("GOOGLETRANSLATE(C747,""fr"",""en"")"),"Satisfied with everything! Superb insurance! Very suitable price for young people in difficulty. I recommend 100%. Thank you. Best wishes.")</f>
        <v>Satisfied with everything! Superb insurance! Very suitable price for young people in difficulty. I recommend 100%. Thank you. Best wishes.</v>
      </c>
    </row>
    <row r="748" ht="15.75" customHeight="1">
      <c r="A748" s="2">
        <v>1.0</v>
      </c>
      <c r="B748" s="2" t="s">
        <v>2113</v>
      </c>
      <c r="C748" s="2" t="s">
        <v>2114</v>
      </c>
      <c r="D748" s="2" t="s">
        <v>340</v>
      </c>
      <c r="E748" s="2" t="s">
        <v>21</v>
      </c>
      <c r="F748" s="2" t="s">
        <v>15</v>
      </c>
      <c r="G748" s="2" t="s">
        <v>2115</v>
      </c>
      <c r="H748" s="2" t="s">
        <v>487</v>
      </c>
      <c r="I748" s="2" t="str">
        <f>IFERROR(__xludf.DUMMYFUNCTION("GOOGLETRANSLATE(C748,""fr"",""en"")"),"ATTENTION DANGER !!! Never subscribe to Sogecap. No respect for customers, deadlines and the word given. Processing of botched files, bad information, there is always missing information or a document ...
The results of the placements a lure, really not "&amp;"up to
Close everything at the Sogecap and Société Générale because they do not keep their commitments in life insurance you will let your loved ones make a obstacle course with them over several years ... 0 Star is better")</f>
        <v>ATTENTION DANGER !!! Never subscribe to Sogecap. No respect for customers, deadlines and the word given. Processing of botched files, bad information, there is always missing information or a document ...
The results of the placements a lure, really not up to
Close everything at the Sogecap and Société Générale because they do not keep their commitments in life insurance you will let your loved ones make a obstacle course with them over several years ... 0 Star is better</v>
      </c>
    </row>
    <row r="749" ht="15.75" customHeight="1">
      <c r="A749" s="2">
        <v>1.0</v>
      </c>
      <c r="B749" s="2" t="s">
        <v>2116</v>
      </c>
      <c r="C749" s="2" t="s">
        <v>2117</v>
      </c>
      <c r="D749" s="2" t="s">
        <v>616</v>
      </c>
      <c r="E749" s="2" t="s">
        <v>37</v>
      </c>
      <c r="F749" s="2" t="s">
        <v>15</v>
      </c>
      <c r="G749" s="2" t="s">
        <v>2118</v>
      </c>
      <c r="H749" s="2" t="s">
        <v>998</v>
      </c>
      <c r="I749" s="2" t="str">
        <f>IFERROR(__xludf.DUMMYFUNCTION("GOOGLETRANSLATE(C749,""fr"",""en"")"),"So never Groupama again. I lived a year with them but could be much better with the devil. A year ago I take five contracts at home for 2 vehicles a health and a risk of life and home of what to rub your hands. I get my brother -in -law back for a car and"&amp;" house and plouf a loss house he had and 6 months of waiting for reimbursement?
And by me by dint of telephone threats to go there and always the same answer is the opposing part. Of anger I send a letter with AR to signal that I cancel all my contracts "&amp;"to date from May 1, 2017, to put the pressure, in the meantime for the glasses at Afflelou Partner Excess of € 175 while everything was taken in Load by insurance, 2nd at Bouchiquet and € 87 exceeds so they make me a commercial gesture. Two pedicure sessi"&amp;"ons but only one reimbursement because the spouse is not 55 years old written anywhere. Vehicle accident 2 months before the expert passes and not paid € 479 deductible registered in the contract but € 481 out of the garage. A loss house, breaks from a fi"&amp;"shing rod of a gentleman, we both be assumed to Groupama's. So much the better but 2 and a half months after nothing. Photos in support of letter on the honor of the person to say that he was the owner of it, a certificate from Pacific fishing that the ca"&amp;"ne is not repairable and that is not done, decides to buy An identical cane and I pay it € 293 and I give the invoice because fed up and give the bill paid and 15 days after still nothing you have to give us the original invoice what I did 15 days before "&amp;"and given in its own hands . And so on and the best.
On the other hand rejected the monthly payment there you receive a letter 15 days later, there it is quick money.
Following the recommended that I had sent according to the person to the office it had"&amp;" moved the nest of ants, but he answers me 2 months after the mail with AR that my contracts cannot be canceled in progress but at maturity Main from 12/09/2017 and exceptional title they will. But the disaster of the fishing cane still not settled and th"&amp;"e € 87 of commercial gesture either and on 08/09/2017 the claim is closed without reimbursement and I would have nothing more and even a health contract which was to run to on 02/01/2018 is to terminate ""when they want and as he veiled. I lived a hell wi"&amp;"th them they are not worthy to make the assurance of the incapable, vulgar, contempt and always on leave or not there ?? tel not possible, on the spot I do the commission but no return and God knows how many times I have gone!
")</f>
        <v>So never Groupama again. I lived a year with them but could be much better with the devil. A year ago I take five contracts at home for 2 vehicles a health and a risk of life and home of what to rub your hands. I get my brother -in -law back for a car and house and plouf a loss house he had and 6 months of waiting for reimbursement?
And by me by dint of telephone threats to go there and always the same answer is the opposing part. Of anger I send a letter with AR to signal that I cancel all my contracts to date from May 1, 2017, to put the pressure, in the meantime for the glasses at Afflelou Partner Excess of € 175 while everything was taken in Load by insurance, 2nd at Bouchiquet and € 87 exceeds so they make me a commercial gesture. Two pedicure sessions but only one reimbursement because the spouse is not 55 years old written anywhere. Vehicle accident 2 months before the expert passes and not paid € 479 deductible registered in the contract but € 481 out of the garage. A loss house, breaks from a fishing rod of a gentleman, we both be assumed to Groupama's. So much the better but 2 and a half months after nothing. Photos in support of letter on the honor of the person to say that he was the owner of it, a certificate from Pacific fishing that the cane is not repairable and that is not done, decides to buy An identical cane and I pay it € 293 and I give the invoice because fed up and give the bill paid and 15 days after still nothing you have to give us the original invoice what I did 15 days before and given in its own hands . And so on and the best.
On the other hand rejected the monthly payment there you receive a letter 15 days later, there it is quick money.
Following the recommended that I had sent according to the person to the office it had moved the nest of ants, but he answers me 2 months after the mail with AR that my contracts cannot be canceled in progress but at maturity Main from 12/09/2017 and exceptional title they will. But the disaster of the fishing cane still not settled and the € 87 of commercial gesture either and on 08/09/2017 the claim is closed without reimbursement and I would have nothing more and even a health contract which was to run to on 02/01/2018 is to terminate "when they want and as he veiled. I lived a hell with them they are not worthy to make the assurance of the incapable, vulgar, contempt and always on leave or not there ?? tel not possible, on the spot I do the commission but no return and God knows how many times I have gone!
</v>
      </c>
    </row>
    <row r="750" ht="15.75" customHeight="1">
      <c r="A750" s="2">
        <v>1.0</v>
      </c>
      <c r="B750" s="2" t="s">
        <v>2119</v>
      </c>
      <c r="C750" s="2" t="s">
        <v>2120</v>
      </c>
      <c r="D750" s="2" t="s">
        <v>36</v>
      </c>
      <c r="E750" s="2" t="s">
        <v>14</v>
      </c>
      <c r="F750" s="2" t="s">
        <v>15</v>
      </c>
      <c r="G750" s="2" t="s">
        <v>332</v>
      </c>
      <c r="H750" s="2" t="s">
        <v>47</v>
      </c>
      <c r="I750" s="2" t="str">
        <f>IFERROR(__xludf.DUMMYFUNCTION("GOOGLETRANSLATE(C750,""fr"",""en"")"),"I have a doubt about the reliability of this insurance. After discussion with a sinister advisor, the latter was doubted of my declaration and that I asked for the intervention of a repair company of my window door. I did not know that insurance had to be"&amp;" warned before starting the work. I am ultimately right to do the work urgently because my accommodation is located on the ground floor and what is amazing is that the advisor told me you have shutters. Yes but the shutters are made of plastic what do you"&amp;" tell me? He mandated an expert that I am waiting for to see the replaced window and also the damage caused for lack of my vigilance. It is a lack of confidence and I draw the conclusion that for your company the essential is the subscription and when it "&amp;"comes to disaster it is something else. I have a car that I assured elsewhere that I bought it never had a statement of disaster simply 5 years spent without claim I am happy, but for the first time that I had this sinister without my intention Direct Ins"&amp;"urance begins to piss off. I know that in general settlement the insurance companies do not mandate an expert for an amount of 1,300 euros. The expert will cost you more than repair, I will set an appointment with the expert and I will show him the damage"&amp;"d window door and the copies of the checks given to the repair company. I will terminate my contract when the time comes and you will be notified by LR with AR.")</f>
        <v>I have a doubt about the reliability of this insurance. After discussion with a sinister advisor, the latter was doubted of my declaration and that I asked for the intervention of a repair company of my window door. I did not know that insurance had to be warned before starting the work. I am ultimately right to do the work urgently because my accommodation is located on the ground floor and what is amazing is that the advisor told me you have shutters. Yes but the shutters are made of plastic what do you tell me? He mandated an expert that I am waiting for to see the replaced window and also the damage caused for lack of my vigilance. It is a lack of confidence and I draw the conclusion that for your company the essential is the subscription and when it comes to disaster it is something else. I have a car that I assured elsewhere that I bought it never had a statement of disaster simply 5 years spent without claim I am happy, but for the first time that I had this sinister without my intention Direct Insurance begins to piss off. I know that in general settlement the insurance companies do not mandate an expert for an amount of 1,300 euros. The expert will cost you more than repair, I will set an appointment with the expert and I will show him the damaged window door and the copies of the checks given to the repair company. I will terminate my contract when the time comes and you will be notified by LR with AR.</v>
      </c>
    </row>
    <row r="751" ht="15.75" customHeight="1">
      <c r="A751" s="2">
        <v>1.0</v>
      </c>
      <c r="B751" s="2" t="s">
        <v>2121</v>
      </c>
      <c r="C751" s="2" t="s">
        <v>2122</v>
      </c>
      <c r="D751" s="2" t="s">
        <v>93</v>
      </c>
      <c r="E751" s="2" t="s">
        <v>14</v>
      </c>
      <c r="F751" s="2" t="s">
        <v>15</v>
      </c>
      <c r="G751" s="2" t="s">
        <v>2123</v>
      </c>
      <c r="H751" s="2" t="s">
        <v>95</v>
      </c>
      <c r="I751" s="2" t="str">
        <f>IFERROR(__xludf.DUMMYFUNCTION("GOOGLETRANSLATE(C751,""fr"",""en"")"),"Hello I have also been a member for over 15 years and as you say when. They do not have a sinister or theft all is well but otherwise you will struggle !!! And I write this term well because this is the exact term! I was stolen my BMW motorcycle on Januar"&amp;"y 27, 2020; I transmitted all the documents necessary for the sinister matmut which stimulated me to do so online. The documents were as follows: complaint, questionnaire concerning my motorcycle and the supporting documents and invoices. Which is complet"&amp;"ely normal so far. I also sent the photocopy of the bank check of 21,500 euros and a certificate of 1000 euros that I paid in cash to the seller (BMW employee). On February 12, 2020, I received an email from the Matmut by asking myself the invoice of the "&amp;"motorcycle and the reasons why I had no double keys and where the funds came as well as in copying my statements as Account and copy of my identity card that of my husband also and proof of address. I sent them immediately, the purchase bill of the former"&amp;" owner, a photo of the plastic key which can act as double keys in motorbike because at BMW Frances (MITO) There are ps of doubles Keys! They can rebuild us with this small plastic key. I also sent EDF receipt, copy of my husband's identity documents and "&amp;"myself and my account statements of August September; date on which I bought my motorcycle. On the account statement stipulated that I had established a bank check of 21,500 euros for the motorcycle seller. I recalled a few days after the compensation dep"&amp;"artment and they told me don't worry everything will be settled within a few days !!!! Thursday February 20 I receive a letter from the Matmut siege by telling myself that my file has Be transferred to the headquarters (UG52) in order to continue its mana"&amp;"gement and that they would return to us as soon as they have read it. That now everything is exclusively written and more calls. So I recalled the lady who was registered on the file so that she explains the reasons for this transfer. She replied that the"&amp;" claim service had transferred my file to her but did not know for what reasons and that She had to study her. I reminded her that my file was more than complete and that I played transparency by sending them the account statements which are personal with"&amp;"out hiding anything! I then sent by mail. On the honor of the former owner with his copy of CNI. I sent a letter to recommend to the service of the Matmut but they answered me 2 days after it was necessary to status before they could have the nose on the "&amp;"case! Then there was confinement and blow on April 30 I receive an email from him saying that she cannot rule on the disaster and that she needs my 3 last tax notice and a Beware of the funds of my current vehicle !!! It's a joke .... I have high -placed "&amp;"friends at Allianz, Axa and Maif and at the sinister service and they stipulated me that she is not allowed to ask me for this kind of document, C 'is strictly personal and confidential !!! That they have never seen that and especially this kind of practi"&amp;"ce! I even called my lawyer who told me to put it in a copy. We also contacted consumer service who clearly told me that it was illegal to ask for this kind of documents and that it was to save time in order to make me galley !!! They are insurance tactic"&amp;"s but unfortunately it is not legal !!!! I sent him an email by stipulating that there was no relation to my disaster to send 3 last tax notice and from funds from my current vehicle !! And I'm still waiting for an answer .... We are June 20. My claim too"&amp;"k place over 5 months ago. My file is complete and not wobbly like some! I have all the evidence in my possession and the seat in all the evidence too. I renvoyed a letter in AR there. At 3 weeks and still no response to a manager! I even saw with my moth"&amp;"er, my father, my mother -in -law, my brother -in -law: they are ready to leave the Matmut because they are very disappointed! And it's injustice! We are struggling !! We must compensate ourselves this is our right !!! We cannot buy another vehicle becaus"&amp;"e they were our savings !!! We are laissed. Frankly the Matmut today we are jaded! In addition, they blocked my Matmut application and do not know why !!! Nothing is going frankly, don't assure yourself there ... This is no longer what it was thank you fo"&amp;"r all for reading me. Sarah Kheche")</f>
        <v>Hello I have also been a member for over 15 years and as you say when. They do not have a sinister or theft all is well but otherwise you will struggle !!! And I write this term well because this is the exact term! I was stolen my BMW motorcycle on January 27, 2020; I transmitted all the documents necessary for the sinister matmut which stimulated me to do so online. The documents were as follows: complaint, questionnaire concerning my motorcycle and the supporting documents and invoices. Which is completely normal so far. I also sent the photocopy of the bank check of 21,500 euros and a certificate of 1000 euros that I paid in cash to the seller (BMW employee). On February 12, 2020, I received an email from the Matmut by asking myself the invoice of the motorcycle and the reasons why I had no double keys and where the funds came as well as in copying my statements as Account and copy of my identity card that of my husband also and proof of address. I sent them immediately, the purchase bill of the former owner, a photo of the plastic key which can act as double keys in motorbike because at BMW Frances (MITO) There are ps of doubles Keys! They can rebuild us with this small plastic key. I also sent EDF receipt, copy of my husband's identity documents and myself and my account statements of August September; date on which I bought my motorcycle. On the account statement stipulated that I had established a bank check of 21,500 euros for the motorcycle seller. I recalled a few days after the compensation department and they told me don't worry everything will be settled within a few days !!!! Thursday February 20 I receive a letter from the Matmut siege by telling myself that my file has Be transferred to the headquarters (UG52) in order to continue its management and that they would return to us as soon as they have read it. That now everything is exclusively written and more calls. So I recalled the lady who was registered on the file so that she explains the reasons for this transfer. She replied that the claim service had transferred my file to her but did not know for what reasons and that She had to study her. I reminded her that my file was more than complete and that I played transparency by sending them the account statements which are personal without hiding anything! I then sent by mail. On the honor of the former owner with his copy of CNI. I sent a letter to recommend to the service of the Matmut but they answered me 2 days after it was necessary to status before they could have the nose on the case! Then there was confinement and blow on April 30 I receive an email from him saying that she cannot rule on the disaster and that she needs my 3 last tax notice and a Beware of the funds of my current vehicle !!! It's a joke .... I have high -placed friends at Allianz, Axa and Maif and at the sinister service and they stipulated me that she is not allowed to ask me for this kind of document, C 'is strictly personal and confidential !!! That they have never seen that and especially this kind of practice! I even called my lawyer who told me to put it in a copy. We also contacted consumer service who clearly told me that it was illegal to ask for this kind of documents and that it was to save time in order to make me galley !!! They are insurance tactics but unfortunately it is not legal !!!! I sent him an email by stipulating that there was no relation to my disaster to send 3 last tax notice and from funds from my current vehicle !! And I'm still waiting for an answer .... We are June 20. My claim took place over 5 months ago. My file is complete and not wobbly like some! I have all the evidence in my possession and the seat in all the evidence too. I renvoyed a letter in AR there. At 3 weeks and still no response to a manager! I even saw with my mother, my father, my mother -in -law, my brother -in -law: they are ready to leave the Matmut because they are very disappointed! And it's injustice! We are struggling !! We must compensate ourselves this is our right !!! We cannot buy another vehicle because they were our savings !!! We are laissed. Frankly the Matmut today we are jaded! In addition, they blocked my Matmut application and do not know why !!! Nothing is going frankly, don't assure yourself there ... This is no longer what it was thank you for all for reading me. Sarah Kheche</v>
      </c>
    </row>
    <row r="752" ht="15.75" customHeight="1">
      <c r="A752" s="2">
        <v>5.0</v>
      </c>
      <c r="B752" s="2" t="s">
        <v>2124</v>
      </c>
      <c r="C752" s="2" t="s">
        <v>2125</v>
      </c>
      <c r="D752" s="2" t="s">
        <v>211</v>
      </c>
      <c r="E752" s="2" t="s">
        <v>31</v>
      </c>
      <c r="F752" s="2" t="s">
        <v>15</v>
      </c>
      <c r="G752" s="2" t="s">
        <v>2126</v>
      </c>
      <c r="H752" s="2" t="s">
        <v>213</v>
      </c>
      <c r="I752" s="2" t="str">
        <f>IFERROR(__xludf.DUMMYFUNCTION("GOOGLETRANSLATE(C752,""fr"",""en"")"),"I am very satisfied with the guarantees ....................................")</f>
        <v>I am very satisfied with the guarantees ....................................</v>
      </c>
    </row>
    <row r="753" ht="15.75" customHeight="1">
      <c r="A753" s="2">
        <v>2.0</v>
      </c>
      <c r="B753" s="2" t="s">
        <v>2127</v>
      </c>
      <c r="C753" s="2" t="s">
        <v>2128</v>
      </c>
      <c r="D753" s="2" t="s">
        <v>36</v>
      </c>
      <c r="E753" s="2" t="s">
        <v>14</v>
      </c>
      <c r="F753" s="2" t="s">
        <v>15</v>
      </c>
      <c r="G753" s="2" t="s">
        <v>2129</v>
      </c>
      <c r="H753" s="2" t="s">
        <v>95</v>
      </c>
      <c r="I753" s="2" t="str">
        <f>IFERROR(__xludf.DUMMYFUNCTION("GOOGLETRANSLATE(C753,""fr"",""en"")"),"I thought I had an attractive rainy price. I have no discount when it is the 2nd contract at Direct Insurance. Can you study my file please")</f>
        <v>I thought I had an attractive rainy price. I have no discount when it is the 2nd contract at Direct Insurance. Can you study my file please</v>
      </c>
    </row>
    <row r="754" ht="15.75" customHeight="1">
      <c r="A754" s="2">
        <v>2.0</v>
      </c>
      <c r="B754" s="2" t="s">
        <v>2130</v>
      </c>
      <c r="C754" s="2" t="s">
        <v>2131</v>
      </c>
      <c r="D754" s="2" t="s">
        <v>430</v>
      </c>
      <c r="E754" s="2" t="s">
        <v>14</v>
      </c>
      <c r="F754" s="2" t="s">
        <v>15</v>
      </c>
      <c r="G754" s="2" t="s">
        <v>2132</v>
      </c>
      <c r="H754" s="2" t="s">
        <v>287</v>
      </c>
      <c r="I754" s="2" t="str">
        <f>IFERROR(__xludf.DUMMYFUNCTION("GOOGLETRANSLATE(C754,""fr"",""en"")"),"I do not recommend it, the price is correct but very bad customer service.")</f>
        <v>I do not recommend it, the price is correct but very bad customer service.</v>
      </c>
    </row>
    <row r="755" ht="15.75" customHeight="1">
      <c r="A755" s="2">
        <v>1.0</v>
      </c>
      <c r="B755" s="2" t="s">
        <v>2133</v>
      </c>
      <c r="C755" s="2" t="s">
        <v>2134</v>
      </c>
      <c r="D755" s="2" t="s">
        <v>264</v>
      </c>
      <c r="E755" s="2" t="s">
        <v>31</v>
      </c>
      <c r="F755" s="2" t="s">
        <v>15</v>
      </c>
      <c r="G755" s="2" t="s">
        <v>1351</v>
      </c>
      <c r="H755" s="2" t="s">
        <v>230</v>
      </c>
      <c r="I755" s="2" t="str">
        <f>IFERROR(__xludf.DUMMYFUNCTION("GOOGLETRANSLATE(C755,""fr"",""en"")"),"Hello, I have been at the Cegema mutual since January 01, 2021 and to date this mutual insurance company does not reimburse my advances in expense, twice the dentist, on February 15 and March 01 and the podiatrist on February 05, despite reminders by My b"&amp;"roker and directly with their services, nothing moves, I have already signed with a new mutual for the year 2022, I will no longer go through the broker, the explanation provided is delay because of the Covid but why he reimburses the pharmacy within 5 da"&amp;"ys? They are bad times and the documents are well transmitted by the CPAM in time, to flee absolutely!")</f>
        <v>Hello, I have been at the Cegema mutual since January 01, 2021 and to date this mutual insurance company does not reimburse my advances in expense, twice the dentist, on February 15 and March 01 and the podiatrist on February 05, despite reminders by My broker and directly with their services, nothing moves, I have already signed with a new mutual for the year 2022, I will no longer go through the broker, the explanation provided is delay because of the Covid but why he reimburses the pharmacy within 5 days? They are bad times and the documents are well transmitted by the CPAM in time, to flee absolutely!</v>
      </c>
    </row>
    <row r="756" ht="15.75" customHeight="1">
      <c r="A756" s="2">
        <v>3.0</v>
      </c>
      <c r="B756" s="2" t="s">
        <v>2135</v>
      </c>
      <c r="C756" s="2" t="s">
        <v>2136</v>
      </c>
      <c r="D756" s="2" t="s">
        <v>2137</v>
      </c>
      <c r="E756" s="2" t="s">
        <v>121</v>
      </c>
      <c r="F756" s="2" t="s">
        <v>15</v>
      </c>
      <c r="G756" s="2" t="s">
        <v>415</v>
      </c>
      <c r="H756" s="2" t="s">
        <v>171</v>
      </c>
      <c r="I756" s="2" t="str">
        <f>IFERROR(__xludf.DUMMYFUNCTION("GOOGLETRANSLATE(C756,""fr"",""en"")"),"Serenis contract ..... Provident contract to flee. The principle is to punctuate you monthly and ad vitam æternam a definitively fixed sum for definitively fixed capital too. I thus paid more than € 22,000 in contributions to touch my DC only 7700th and i"&amp;"mpossible to lower monthly payments ..... or to make capital update.")</f>
        <v>Serenis contract ..... Provident contract to flee. The principle is to punctuate you monthly and ad vitam æternam a definitively fixed sum for definitively fixed capital too. I thus paid more than € 22,000 in contributions to touch my DC only 7700th and impossible to lower monthly payments ..... or to make capital update.</v>
      </c>
    </row>
    <row r="757" ht="15.75" customHeight="1">
      <c r="A757" s="2">
        <v>4.0</v>
      </c>
      <c r="B757" s="2" t="s">
        <v>2138</v>
      </c>
      <c r="C757" s="2" t="s">
        <v>2139</v>
      </c>
      <c r="D757" s="2" t="s">
        <v>104</v>
      </c>
      <c r="E757" s="2" t="s">
        <v>121</v>
      </c>
      <c r="F757" s="2" t="s">
        <v>15</v>
      </c>
      <c r="G757" s="2" t="s">
        <v>861</v>
      </c>
      <c r="H757" s="2" t="s">
        <v>487</v>
      </c>
      <c r="I757" s="2" t="str">
        <f>IFERROR(__xludf.DUMMYFUNCTION("GOOGLETRANSLATE(C757,""fr"",""en"")"),"Perfect !
Customer relations always available and pleasant!
Payment periods acceptable for processing time and payment.
To recommend")</f>
        <v>Perfect !
Customer relations always available and pleasant!
Payment periods acceptable for processing time and payment.
To recommend</v>
      </c>
    </row>
    <row r="758" ht="15.75" customHeight="1">
      <c r="A758" s="2">
        <v>2.0</v>
      </c>
      <c r="B758" s="2" t="s">
        <v>2140</v>
      </c>
      <c r="C758" s="2" t="s">
        <v>2141</v>
      </c>
      <c r="D758" s="2" t="s">
        <v>576</v>
      </c>
      <c r="E758" s="2" t="s">
        <v>14</v>
      </c>
      <c r="F758" s="2" t="s">
        <v>15</v>
      </c>
      <c r="G758" s="2" t="s">
        <v>2142</v>
      </c>
      <c r="H758" s="2" t="s">
        <v>160</v>
      </c>
      <c r="I758" s="2" t="str">
        <f>IFERROR(__xludf.DUMMYFUNCTION("GOOGLETRANSLATE(C758,""fr"",""en"")"),"Incredible these people of this insurance. 30 years of insurance and 3 claims in total including 1 declared 2 years ago. I had the misfortune to announce a problem for a scratch caused by a scrap rod at Castorama. I was sure that Casto was wrongly because"&amp;" they had left irons in front of my car and Casto had confirmed to me that they would bear the responsibility. I did not repair this little problem and Eurofil considered it a disaster. And yet the expert moved only once for a disaster and check the scrat"&amp;"ch caused by Catorama for an amount of 200 euros in repair! The advisor took us high as if we were offenders !!! Never again in my life at Aviva or Eurofil (same group). I won't talk about it in a positive way around me. To flee absolutely! 1 year to adju"&amp;"st the only claim was charged by them (striped door).")</f>
        <v>Incredible these people of this insurance. 30 years of insurance and 3 claims in total including 1 declared 2 years ago. I had the misfortune to announce a problem for a scratch caused by a scrap rod at Castorama. I was sure that Casto was wrongly because they had left irons in front of my car and Casto had confirmed to me that they would bear the responsibility. I did not repair this little problem and Eurofil considered it a disaster. And yet the expert moved only once for a disaster and check the scratch caused by Catorama for an amount of 200 euros in repair! The advisor took us high as if we were offenders !!! Never again in my life at Aviva or Eurofil (same group). I won't talk about it in a positive way around me. To flee absolutely! 1 year to adjust the only claim was charged by them (striped door).</v>
      </c>
    </row>
    <row r="759" ht="15.75" customHeight="1">
      <c r="A759" s="2">
        <v>4.0</v>
      </c>
      <c r="B759" s="2" t="s">
        <v>2143</v>
      </c>
      <c r="C759" s="2" t="s">
        <v>2144</v>
      </c>
      <c r="D759" s="2" t="s">
        <v>125</v>
      </c>
      <c r="E759" s="2" t="s">
        <v>14</v>
      </c>
      <c r="F759" s="2" t="s">
        <v>15</v>
      </c>
      <c r="G759" s="2" t="s">
        <v>1813</v>
      </c>
      <c r="H759" s="2" t="s">
        <v>47</v>
      </c>
      <c r="I759" s="2" t="str">
        <f>IFERROR(__xludf.DUMMYFUNCTION("GOOGLETRANSLATE(C759,""fr"",""en"")"),"Satisfied with the service, always available and fast in the event of a disaster.
 By cons since the time I have been at home, I would like to have other commercial gestures than € 40 in 15 years.")</f>
        <v>Satisfied with the service, always available and fast in the event of a disaster.
 By cons since the time I have been at home, I would like to have other commercial gestures than € 40 in 15 years.</v>
      </c>
    </row>
    <row r="760" ht="15.75" customHeight="1">
      <c r="A760" s="2">
        <v>1.0</v>
      </c>
      <c r="B760" s="2" t="s">
        <v>2145</v>
      </c>
      <c r="C760" s="2" t="s">
        <v>2146</v>
      </c>
      <c r="D760" s="2" t="s">
        <v>60</v>
      </c>
      <c r="E760" s="2" t="s">
        <v>14</v>
      </c>
      <c r="F760" s="2" t="s">
        <v>15</v>
      </c>
      <c r="G760" s="2" t="s">
        <v>2147</v>
      </c>
      <c r="H760" s="2" t="s">
        <v>320</v>
      </c>
      <c r="I760" s="2" t="str">
        <f>IFERROR(__xludf.DUMMYFUNCTION("GOOGLETRANSLATE(C760,""fr"",""en"")"),"A week after his death, my stepfather's vehicle was stolen in his garage was in September 2020. The file has still not been processed by Allianz. We were in a period of mourning, therefore difficult, we had and have to fight to be compensated. There is no"&amp;" care no understanding and no quality of service. If you have to take out an automotive contract go elsewhere and if you are at Allianz: go ... Fortunately we are insured elsewhere and my stepfather is no longer there to see that")</f>
        <v>A week after his death, my stepfather's vehicle was stolen in his garage was in September 2020. The file has still not been processed by Allianz. We were in a period of mourning, therefore difficult, we had and have to fight to be compensated. There is no care no understanding and no quality of service. If you have to take out an automotive contract go elsewhere and if you are at Allianz: go ... Fortunately we are insured elsewhere and my stepfather is no longer there to see that</v>
      </c>
    </row>
    <row r="761" ht="15.75" customHeight="1">
      <c r="A761" s="2">
        <v>2.0</v>
      </c>
      <c r="B761" s="2" t="s">
        <v>2148</v>
      </c>
      <c r="C761" s="2" t="s">
        <v>2149</v>
      </c>
      <c r="D761" s="2" t="s">
        <v>20</v>
      </c>
      <c r="E761" s="2" t="s">
        <v>37</v>
      </c>
      <c r="F761" s="2" t="s">
        <v>15</v>
      </c>
      <c r="G761" s="2" t="s">
        <v>1955</v>
      </c>
      <c r="H761" s="2" t="s">
        <v>436</v>
      </c>
      <c r="I761" s="2" t="str">
        <f>IFERROR(__xludf.DUMMYFUNCTION("GOOGLETRANSLATE(C761,""fr"",""en"")"),"AXA: Catastrophic service. Axa makes fun of her customers, still plays the watch, and hopes that her insured abandons litigation.")</f>
        <v>AXA: Catastrophic service. Axa makes fun of her customers, still plays the watch, and hopes that her insured abandons litigation.</v>
      </c>
    </row>
    <row r="762" ht="15.75" customHeight="1">
      <c r="A762" s="2">
        <v>1.0</v>
      </c>
      <c r="B762" s="2" t="s">
        <v>2150</v>
      </c>
      <c r="C762" s="2" t="s">
        <v>2151</v>
      </c>
      <c r="D762" s="2" t="s">
        <v>1931</v>
      </c>
      <c r="E762" s="2" t="s">
        <v>200</v>
      </c>
      <c r="F762" s="2" t="s">
        <v>15</v>
      </c>
      <c r="G762" s="2" t="s">
        <v>2152</v>
      </c>
      <c r="H762" s="2" t="s">
        <v>178</v>
      </c>
      <c r="I762" s="2" t="str">
        <f>IFERROR(__xludf.DUMMYFUNCTION("GOOGLETRANSLATE(C762,""fr"",""en"")"),"I do not advise this insurance in particular for me to annex to the contracts of the Crédit Mutuel de Bretagne .... I warned them of my final decision not to renew any borrowing: if we wish to be assured it is compulsory by Suravenir so I go to borrow els"&amp;"ewhere .... my own children are on trial against them for a success of succession; For my part following a work stoppage, everything is problematic, tedious, headache: with each sending of care, the information changes .... we are no longer there and I am"&amp;" definitely angry with them against them ..... especially do not make the same mistake and make no membership with them: it is really a friend's advice.")</f>
        <v>I do not advise this insurance in particular for me to annex to the contracts of the Crédit Mutuel de Bretagne .... I warned them of my final decision not to renew any borrowing: if we wish to be assured it is compulsory by Suravenir so I go to borrow elsewhere .... my own children are on trial against them for a success of succession; For my part following a work stoppage, everything is problematic, tedious, headache: with each sending of care, the information changes .... we are no longer there and I am definitely angry with them against them ..... especially do not make the same mistake and make no membership with them: it is really a friend's advice.</v>
      </c>
    </row>
    <row r="763" ht="15.75" customHeight="1">
      <c r="A763" s="2">
        <v>1.0</v>
      </c>
      <c r="B763" s="2" t="s">
        <v>2153</v>
      </c>
      <c r="C763" s="2" t="s">
        <v>2154</v>
      </c>
      <c r="D763" s="2" t="s">
        <v>20</v>
      </c>
      <c r="E763" s="2" t="s">
        <v>14</v>
      </c>
      <c r="F763" s="2" t="s">
        <v>15</v>
      </c>
      <c r="G763" s="2" t="s">
        <v>2155</v>
      </c>
      <c r="H763" s="2" t="s">
        <v>160</v>
      </c>
      <c r="I763" s="2" t="str">
        <f>IFERROR(__xludf.DUMMYFUNCTION("GOOGLETRANSLATE(C763,""fr"",""en"")"),"When I subscribe to Axa Internet, Axa Agency in Nice immediately called me to have the Internet contract canceled because best follow -up in agency. Axa Internet took me 2 months of contributions, and explained to me that only the advisor Axa Agency could"&amp;" cancel this contract but supposedly the advisor did not know how to do and could not cancel it. By contacting the management I managed to make him make an email to cancel. It started very badly, ... Following a disaster, the agency's advisers refused to "&amp;"speak to me and we communicated me to the platform numbers where my claim file was canceled 3 times with the expert. No one knew where the error came from. I waited for 3 weeks for my file to be processed. Axa had to tell me a car because I had subscribed"&amp;" this option but I had no loan car! I called the agency, they refused to speak to me!")</f>
        <v>When I subscribe to Axa Internet, Axa Agency in Nice immediately called me to have the Internet contract canceled because best follow -up in agency. Axa Internet took me 2 months of contributions, and explained to me that only the advisor Axa Agency could cancel this contract but supposedly the advisor did not know how to do and could not cancel it. By contacting the management I managed to make him make an email to cancel. It started very badly, ... Following a disaster, the agency's advisers refused to speak to me and we communicated me to the platform numbers where my claim file was canceled 3 times with the expert. No one knew where the error came from. I waited for 3 weeks for my file to be processed. Axa had to tell me a car because I had subscribed this option but I had no loan car! I called the agency, they refused to speak to me!</v>
      </c>
    </row>
    <row r="764" ht="15.75" customHeight="1">
      <c r="A764" s="2">
        <v>3.0</v>
      </c>
      <c r="B764" s="2" t="s">
        <v>2156</v>
      </c>
      <c r="C764" s="2" t="s">
        <v>2157</v>
      </c>
      <c r="D764" s="2" t="s">
        <v>93</v>
      </c>
      <c r="E764" s="2" t="s">
        <v>37</v>
      </c>
      <c r="F764" s="2" t="s">
        <v>15</v>
      </c>
      <c r="G764" s="2" t="s">
        <v>2158</v>
      </c>
      <c r="H764" s="2" t="s">
        <v>387</v>
      </c>
      <c r="I764" s="2" t="str">
        <f>IFERROR(__xludf.DUMMYFUNCTION("GOOGLETRANSLATE(C764,""fr"",""en"")"),"Asked for 30 years in Matmut, never has a problem on residential insurance. The 15/11/2019, it was snowing strongly in Lyon, under the weight of snow my cheneaux was damaged. I declared the claim the next day 16 /11/2019 at Agency Matmut de Decines.The De"&amp;"clararion managed by claim service. The Expert gave me an appointment on 6/12/2019, she came with 45 'late then she measured my house, request date of Construction and told me she will designate a company for repair.
Since then, I have had no news, I con"&amp;"tacted service sinister on 20/12 because the cheneaux begin to unscrew the supports that fix them, and this can cause damage with bones of 10 m long, and 5 m high on My cars and that of my neighbor, and even worse if it falls on people at the bottom my ne"&amp;"ighbors and my loved ones. I bought wooden sticks to support temporarily but not that it holds with the rain and the wind. The situation becomes dangerous. Having once I reported to Matmut on Saturday 21/12/2019 and I am waiting MM will send me the conven"&amp;"ience store to avoid the worst because the supports unscrew 1 by 1 and I don't know that they fall when I will contact this morning 23/12/2019.In Mamut take care to designate 1 company, I can do nothing under penalty of not being reimbursed")</f>
        <v>Asked for 30 years in Matmut, never has a problem on residential insurance. The 15/11/2019, it was snowing strongly in Lyon, under the weight of snow my cheneaux was damaged. I declared the claim the next day 16 /11/2019 at Agency Matmut de Decines.The Declararion managed by claim service. The Expert gave me an appointment on 6/12/2019, she came with 45 'late then she measured my house, request date of Construction and told me she will designate a company for repair.
Since then, I have had no news, I contacted service sinister on 20/12 because the cheneaux begin to unscrew the supports that fix them, and this can cause damage with bones of 10 m long, and 5 m high on My cars and that of my neighbor, and even worse if it falls on people at the bottom my neighbors and my loved ones. I bought wooden sticks to support temporarily but not that it holds with the rain and the wind. The situation becomes dangerous. Having once I reported to Matmut on Saturday 21/12/2019 and I am waiting MM will send me the convenience store to avoid the worst because the supports unscrew 1 by 1 and I don't know that they fall when I will contact this morning 23/12/2019.In Mamut take care to designate 1 company, I can do nothing under penalty of not being reimbursed</v>
      </c>
    </row>
    <row r="765" ht="15.75" customHeight="1">
      <c r="A765" s="2">
        <v>1.0</v>
      </c>
      <c r="B765" s="2" t="s">
        <v>2159</v>
      </c>
      <c r="C765" s="2" t="s">
        <v>2160</v>
      </c>
      <c r="D765" s="2" t="s">
        <v>790</v>
      </c>
      <c r="E765" s="2" t="s">
        <v>121</v>
      </c>
      <c r="F765" s="2" t="s">
        <v>15</v>
      </c>
      <c r="G765" s="2" t="s">
        <v>332</v>
      </c>
      <c r="H765" s="2" t="s">
        <v>47</v>
      </c>
      <c r="I765" s="2" t="str">
        <f>IFERROR(__xludf.DUMMYFUNCTION("GOOGLETRANSLATE(C765,""fr"",""en"")"),"A shame this insurance. You are sick in the galley. You make an ITT file. Expert more than 6 months for an answer. A refusal. To flee. Hinuman people. I find it lamentable with this crisis that we are going through. Apparal they do not know a blow")</f>
        <v>A shame this insurance. You are sick in the galley. You make an ITT file. Expert more than 6 months for an answer. A refusal. To flee. Hinuman people. I find it lamentable with this crisis that we are going through. Apparal they do not know a blow</v>
      </c>
    </row>
    <row r="766" ht="15.75" customHeight="1">
      <c r="A766" s="2">
        <v>3.0</v>
      </c>
      <c r="B766" s="2" t="s">
        <v>2161</v>
      </c>
      <c r="C766" s="2" t="s">
        <v>2162</v>
      </c>
      <c r="D766" s="2" t="s">
        <v>60</v>
      </c>
      <c r="E766" s="2" t="s">
        <v>37</v>
      </c>
      <c r="F766" s="2" t="s">
        <v>15</v>
      </c>
      <c r="G766" s="2" t="s">
        <v>2163</v>
      </c>
      <c r="H766" s="2" t="s">
        <v>356</v>
      </c>
      <c r="I766" s="2" t="str">
        <f>IFERROR(__xludf.DUMMYFUNCTION("GOOGLETRANSLATE(C766,""fr"",""en"")"),"Having no claim, for the moment everything is fine. But the price is very high. A comparison on Assurland allows you to quickly find more competitive offers.")</f>
        <v>Having no claim, for the moment everything is fine. But the price is very high. A comparison on Assurland allows you to quickly find more competitive offers.</v>
      </c>
    </row>
    <row r="767" ht="15.75" customHeight="1">
      <c r="A767" s="2">
        <v>4.0</v>
      </c>
      <c r="B767" s="2" t="s">
        <v>2164</v>
      </c>
      <c r="C767" s="2" t="s">
        <v>2165</v>
      </c>
      <c r="D767" s="2" t="s">
        <v>13</v>
      </c>
      <c r="E767" s="2" t="s">
        <v>14</v>
      </c>
      <c r="F767" s="2" t="s">
        <v>15</v>
      </c>
      <c r="G767" s="2" t="s">
        <v>2166</v>
      </c>
      <c r="H767" s="2" t="s">
        <v>47</v>
      </c>
      <c r="I767" s="2" t="str">
        <f>IFERROR(__xludf.DUMMYFUNCTION("GOOGLETRANSLATE(C767,""fr"",""en"")"),"Contact and validation is easy. The call price is attractive but the choice of improvement of the contract is expensive (while one might think at first that these are options included).")</f>
        <v>Contact and validation is easy. The call price is attractive but the choice of improvement of the contract is expensive (while one might think at first that these are options included).</v>
      </c>
    </row>
    <row r="768" ht="15.75" customHeight="1">
      <c r="A768" s="2">
        <v>2.0</v>
      </c>
      <c r="B768" s="2" t="s">
        <v>2167</v>
      </c>
      <c r="C768" s="2" t="s">
        <v>2168</v>
      </c>
      <c r="D768" s="2" t="s">
        <v>430</v>
      </c>
      <c r="E768" s="2" t="s">
        <v>37</v>
      </c>
      <c r="F768" s="2" t="s">
        <v>15</v>
      </c>
      <c r="G768" s="2" t="s">
        <v>2169</v>
      </c>
      <c r="H768" s="2" t="s">
        <v>356</v>
      </c>
      <c r="I768" s="2" t="str">
        <f>IFERROR(__xludf.DUMMYFUNCTION("GOOGLETRANSLATE(C768,""fr"",""en"")"),"On a disaster disaster, more than 20 years of legal proceedings against the Macif to obtain compensation ... including on which the Macif had already been ordered to pay in other cases.")</f>
        <v>On a disaster disaster, more than 20 years of legal proceedings against the Macif to obtain compensation ... including on which the Macif had already been ordered to pay in other cases.</v>
      </c>
    </row>
    <row r="769" ht="15.75" customHeight="1">
      <c r="A769" s="2">
        <v>2.0</v>
      </c>
      <c r="B769" s="2" t="s">
        <v>2170</v>
      </c>
      <c r="C769" s="2" t="s">
        <v>2171</v>
      </c>
      <c r="D769" s="2" t="s">
        <v>826</v>
      </c>
      <c r="E769" s="2" t="s">
        <v>37</v>
      </c>
      <c r="F769" s="2" t="s">
        <v>15</v>
      </c>
      <c r="G769" s="2" t="s">
        <v>2172</v>
      </c>
      <c r="H769" s="2" t="s">
        <v>178</v>
      </c>
      <c r="I769" s="2" t="str">
        <f>IFERROR(__xludf.DUMMYFUNCTION("GOOGLETRANSLATE(C769,""fr"",""en"")"),"Unnecessary home insurance with a string of exclusion from the contract and opinions diverge according to the advisor you have.
I underwent a water damage on 20/12/2019 which I immediately pointed out by phone, my new construction required I triggered th"&amp;"e damage insurance. Outside this takes care of the cause of the disaster (infiltration by facade/window) but not the
 Consequences (painting to take over on the ground floor), she tells me that he excluded because I reserved the work and that it is my ho"&amp;"me insurance to take care of. Sogessur insurance which at first says yes no worries we take care of, then no because it is your damage damage, then which makes a false and use of false by indicating me having received a report from the expert (While she n"&amp;"ever had it), who then tells me we will take care of and turn the damage damage, who sends me back to an expert to estimate the damage and who tells me within 72 hours you will have the funds . All that so that 24 hours before having the so-called funds, "&amp;"I receive a letter indicating that infiltration by facade is excluded from the contract! We will have to explain to me what an insurance is used that is boasting of being ""the best"" and which does not support anything. I intend to enter the mediator if "&amp;"a solution is not found in my dispute, and in particular file a complaint for false and use of false on the part of the Sogessur insurance.")</f>
        <v>Unnecessary home insurance with a string of exclusion from the contract and opinions diverge according to the advisor you have.
I underwent a water damage on 20/12/2019 which I immediately pointed out by phone, my new construction required I triggered the damage insurance. Outside this takes care of the cause of the disaster (infiltration by facade/window) but not the
 Consequences (painting to take over on the ground floor), she tells me that he excluded because I reserved the work and that it is my home insurance to take care of. Sogessur insurance which at first says yes no worries we take care of, then no because it is your damage damage, then which makes a false and use of false by indicating me having received a report from the expert (While she never had it), who then tells me we will take care of and turn the damage damage, who sends me back to an expert to estimate the damage and who tells me within 72 hours you will have the funds . All that so that 24 hours before having the so-called funds, I receive a letter indicating that infiltration by facade is excluded from the contract! We will have to explain to me what an insurance is used that is boasting of being "the best" and which does not support anything. I intend to enter the mediator if a solution is not found in my dispute, and in particular file a complaint for false and use of false on the part of the Sogessur insurance.</v>
      </c>
    </row>
    <row r="770" ht="15.75" customHeight="1">
      <c r="A770" s="2">
        <v>2.0</v>
      </c>
      <c r="B770" s="2" t="s">
        <v>2173</v>
      </c>
      <c r="C770" s="2" t="s">
        <v>2174</v>
      </c>
      <c r="D770" s="2" t="s">
        <v>125</v>
      </c>
      <c r="E770" s="2" t="s">
        <v>14</v>
      </c>
      <c r="F770" s="2" t="s">
        <v>15</v>
      </c>
      <c r="G770" s="2" t="s">
        <v>2175</v>
      </c>
      <c r="H770" s="2" t="s">
        <v>145</v>
      </c>
      <c r="I770" s="2" t="str">
        <f>IFERROR(__xludf.DUMMYFUNCTION("GOOGLETRANSLATE(C770,""fr"",""en"")"),"Convocation for termination 30 years of shop?
Uncompromising advisor on the phone, who is asked 6 times to set an appointment and who does not understand anything in the fact that if we send a summons it is not to the customer to make an appointment but "&amp;"to them to fix a date.
And of course hangs up without giving the slightest information so an appointment but we do not know where and with whom.
So another one that should not be in contact with customers.
")</f>
        <v>Convocation for termination 30 years of shop?
Uncompromising advisor on the phone, who is asked 6 times to set an appointment and who does not understand anything in the fact that if we send a summons it is not to the customer to make an appointment but to them to fix a date.
And of course hangs up without giving the slightest information so an appointment but we do not know where and with whom.
So another one that should not be in contact with customers.
</v>
      </c>
    </row>
    <row r="771" ht="15.75" customHeight="1">
      <c r="A771" s="2">
        <v>5.0</v>
      </c>
      <c r="B771" s="2" t="s">
        <v>2176</v>
      </c>
      <c r="C771" s="2" t="s">
        <v>2177</v>
      </c>
      <c r="D771" s="2" t="s">
        <v>211</v>
      </c>
      <c r="E771" s="2" t="s">
        <v>31</v>
      </c>
      <c r="F771" s="2" t="s">
        <v>15</v>
      </c>
      <c r="G771" s="2" t="s">
        <v>2178</v>
      </c>
      <c r="H771" s="2" t="s">
        <v>287</v>
      </c>
      <c r="I771" s="2" t="str">
        <f>IFERROR(__xludf.DUMMYFUNCTION("GOOGLETRANSLATE(C771,""fr"",""en"")"),"Correct price, this combined with fast reimbursements, it's ok for me! There are a lot of choices on the market so do not hesitate to compare that allows a year considerable savings!")</f>
        <v>Correct price, this combined with fast reimbursements, it's ok for me! There are a lot of choices on the market so do not hesitate to compare that allows a year considerable savings!</v>
      </c>
    </row>
    <row r="772" ht="15.75" customHeight="1">
      <c r="A772" s="2">
        <v>3.0</v>
      </c>
      <c r="B772" s="2" t="s">
        <v>2179</v>
      </c>
      <c r="C772" s="2" t="s">
        <v>2180</v>
      </c>
      <c r="D772" s="2" t="s">
        <v>76</v>
      </c>
      <c r="E772" s="2" t="s">
        <v>51</v>
      </c>
      <c r="F772" s="2" t="s">
        <v>15</v>
      </c>
      <c r="G772" s="2" t="s">
        <v>527</v>
      </c>
      <c r="H772" s="2" t="s">
        <v>43</v>
      </c>
      <c r="I772" s="2" t="str">
        <f>IFERROR(__xludf.DUMMYFUNCTION("GOOGLETRANSLATE(C772,""fr"",""en"")"),"The amount of the file is slightly high compared to the price of the insurance nevertheless everything is precise but I find it slightly excessive
Cordially")</f>
        <v>The amount of the file is slightly high compared to the price of the insurance nevertheless everything is precise but I find it slightly excessive
Cordially</v>
      </c>
    </row>
    <row r="773" ht="15.75" customHeight="1">
      <c r="A773" s="2">
        <v>1.0</v>
      </c>
      <c r="B773" s="2" t="s">
        <v>2181</v>
      </c>
      <c r="C773" s="2" t="s">
        <v>2182</v>
      </c>
      <c r="D773" s="2" t="s">
        <v>636</v>
      </c>
      <c r="E773" s="2" t="s">
        <v>31</v>
      </c>
      <c r="F773" s="2" t="s">
        <v>15</v>
      </c>
      <c r="G773" s="2" t="s">
        <v>2183</v>
      </c>
      <c r="H773" s="2" t="s">
        <v>184</v>
      </c>
      <c r="I773" s="2" t="str">
        <f>IFERROR(__xludf.DUMMYFUNCTION("GOOGLETRANSLATE(C773,""fr"",""en"")"),"Too many commercial proposals for big insurers for an invoice deposit You are taken in questioning about your life, very clumsy limits Invasive to flee")</f>
        <v>Too many commercial proposals for big insurers for an invoice deposit You are taken in questioning about your life, very clumsy limits Invasive to flee</v>
      </c>
    </row>
    <row r="774" ht="15.75" customHeight="1">
      <c r="A774" s="2">
        <v>1.0</v>
      </c>
      <c r="B774" s="2" t="s">
        <v>2184</v>
      </c>
      <c r="C774" s="2" t="s">
        <v>2185</v>
      </c>
      <c r="D774" s="2" t="s">
        <v>55</v>
      </c>
      <c r="E774" s="2" t="s">
        <v>14</v>
      </c>
      <c r="F774" s="2" t="s">
        <v>15</v>
      </c>
      <c r="G774" s="2" t="s">
        <v>2186</v>
      </c>
      <c r="H774" s="2" t="s">
        <v>297</v>
      </c>
      <c r="I774" s="2" t="str">
        <f>IFERROR(__xludf.DUMMYFUNCTION("GOOGLETRANSLATE(C774,""fr"",""en"")"),"I put a star to ""customer service"" because I cannot put it zero ..? Yeméphonic service of the platform (there is only that) below everything, regularly unreachable, ineffective and incompetent!")</f>
        <v>I put a star to "customer service" because I cannot put it zero ..? Yeméphonic service of the platform (there is only that) below everything, regularly unreachable, ineffective and incompetent!</v>
      </c>
    </row>
    <row r="775" ht="15.75" customHeight="1">
      <c r="A775" s="2">
        <v>2.0</v>
      </c>
      <c r="B775" s="2" t="s">
        <v>2187</v>
      </c>
      <c r="C775" s="2" t="s">
        <v>2188</v>
      </c>
      <c r="D775" s="2" t="s">
        <v>13</v>
      </c>
      <c r="E775" s="2" t="s">
        <v>14</v>
      </c>
      <c r="F775" s="2" t="s">
        <v>15</v>
      </c>
      <c r="G775" s="2" t="s">
        <v>945</v>
      </c>
      <c r="H775" s="2" t="s">
        <v>117</v>
      </c>
      <c r="I775" s="2" t="str">
        <f>IFERROR(__xludf.DUMMYFUNCTION("GOOGLETRANSLATE(C775,""fr"",""en"")"),"I ask 5 months before the anniversary of my contract to be measured, I sign an addendum with an additional cost of € 60 and I am taken my bonus in one go, completely abnormal")</f>
        <v>I ask 5 months before the anniversary of my contract to be measured, I sign an addendum with an additional cost of € 60 and I am taken my bonus in one go, completely abnormal</v>
      </c>
    </row>
    <row r="776" ht="15.75" customHeight="1">
      <c r="A776" s="2">
        <v>1.0</v>
      </c>
      <c r="B776" s="2" t="s">
        <v>2189</v>
      </c>
      <c r="C776" s="2" t="s">
        <v>2190</v>
      </c>
      <c r="D776" s="2" t="s">
        <v>304</v>
      </c>
      <c r="E776" s="2" t="s">
        <v>21</v>
      </c>
      <c r="F776" s="2" t="s">
        <v>15</v>
      </c>
      <c r="G776" s="2" t="s">
        <v>2191</v>
      </c>
      <c r="H776" s="2" t="s">
        <v>345</v>
      </c>
      <c r="I776" s="2" t="str">
        <f>IFERROR(__xludf.DUMMYFUNCTION("GOOGLETRANSLATE(C776,""fr"",""en"")"),"Scandal in the treatment of a liquidation of Perp My mother has died since mid August 2016, and it has been 6 months since we are fighting to recover the sums due. (letters, many calls for the platform, email exchange, registered letter ... First they los"&amp;"e letters and ask to send them back (thing done by mail but they still lose it), it's been almost 4 months now that 'We are promised to soon pay the sums due, but I always wait. In short, a scandal, I have never seen such a lack of respect in the treatmen"&amp;"t of the customer. I am on the verge of making a legal appeal.
")</f>
        <v>Scandal in the treatment of a liquidation of Perp My mother has died since mid August 2016, and it has been 6 months since we are fighting to recover the sums due. (letters, many calls for the platform, email exchange, registered letter ... First they lose letters and ask to send them back (thing done by mail but they still lose it), it's been almost 4 months now that 'We are promised to soon pay the sums due, but I always wait. In short, a scandal, I have never seen such a lack of respect in the treatment of the customer. I am on the verge of making a legal appeal.
</v>
      </c>
    </row>
    <row r="777" ht="15.75" customHeight="1">
      <c r="A777" s="2">
        <v>5.0</v>
      </c>
      <c r="B777" s="2" t="s">
        <v>2192</v>
      </c>
      <c r="C777" s="2" t="s">
        <v>2193</v>
      </c>
      <c r="D777" s="2" t="s">
        <v>125</v>
      </c>
      <c r="E777" s="2" t="s">
        <v>14</v>
      </c>
      <c r="F777" s="2" t="s">
        <v>15</v>
      </c>
      <c r="G777" s="2" t="s">
        <v>891</v>
      </c>
      <c r="H777" s="2" t="s">
        <v>230</v>
      </c>
      <c r="I777" s="2" t="str">
        <f>IFERROR(__xludf.DUMMYFUNCTION("GOOGLETRANSLATE(C777,""fr"",""en"")"),"I am still as satisfied, being assured at GMF for many years for housing and cars. I recommend your insurance. Cordially
")</f>
        <v>I am still as satisfied, being assured at GMF for many years for housing and cars. I recommend your insurance. Cordially
</v>
      </c>
    </row>
    <row r="778" ht="15.75" customHeight="1">
      <c r="A778" s="2">
        <v>2.0</v>
      </c>
      <c r="B778" s="2" t="s">
        <v>2194</v>
      </c>
      <c r="C778" s="2" t="s">
        <v>2195</v>
      </c>
      <c r="D778" s="2" t="s">
        <v>36</v>
      </c>
      <c r="E778" s="2" t="s">
        <v>14</v>
      </c>
      <c r="F778" s="2" t="s">
        <v>15</v>
      </c>
      <c r="G778" s="2" t="s">
        <v>2196</v>
      </c>
      <c r="H778" s="2" t="s">
        <v>230</v>
      </c>
      <c r="I778" s="2" t="str">
        <f>IFERROR(__xludf.DUMMYFUNCTION("GOOGLETRANSLATE(C778,""fr"",""en"")"),"I am not satisfied, because I have returned the documents necessary to reimburse my insurance, and I still have no news. , Best regards")</f>
        <v>I am not satisfied, because I have returned the documents necessary to reimburse my insurance, and I still have no news. , Best regards</v>
      </c>
    </row>
    <row r="779" ht="15.75" customHeight="1">
      <c r="A779" s="2">
        <v>1.0</v>
      </c>
      <c r="B779" s="2" t="s">
        <v>2197</v>
      </c>
      <c r="C779" s="2" t="s">
        <v>2198</v>
      </c>
      <c r="D779" s="2" t="s">
        <v>36</v>
      </c>
      <c r="E779" s="2" t="s">
        <v>14</v>
      </c>
      <c r="F779" s="2" t="s">
        <v>15</v>
      </c>
      <c r="G779" s="2" t="s">
        <v>174</v>
      </c>
      <c r="H779" s="2" t="s">
        <v>171</v>
      </c>
      <c r="I779" s="2" t="str">
        <f>IFERROR(__xludf.DUMMYFUNCTION("GOOGLETRANSLATE(C779,""fr"",""en"")"),"I am not satisfied with the service because you refuse to take into account my bonus acquired in Belgium in recent years, where I have provided you, moreover, 2 certificates of virgin claims from 2014 to date.
")</f>
        <v>I am not satisfied with the service because you refuse to take into account my bonus acquired in Belgium in recent years, where I have provided you, moreover, 2 certificates of virgin claims from 2014 to date.
</v>
      </c>
    </row>
    <row r="780" ht="15.75" customHeight="1">
      <c r="A780" s="2">
        <v>1.0</v>
      </c>
      <c r="B780" s="2" t="s">
        <v>2199</v>
      </c>
      <c r="C780" s="2" t="s">
        <v>2200</v>
      </c>
      <c r="D780" s="2" t="s">
        <v>354</v>
      </c>
      <c r="E780" s="2" t="s">
        <v>37</v>
      </c>
      <c r="F780" s="2" t="s">
        <v>15</v>
      </c>
      <c r="G780" s="2" t="s">
        <v>2201</v>
      </c>
      <c r="H780" s="2" t="s">
        <v>106</v>
      </c>
      <c r="I780" s="2" t="str">
        <f>IFERROR(__xludf.DUMMYFUNCTION("GOOGLETRANSLATE(C780,""fr"",""en"")"),"hello following 2 acts of vandalism which I was victim in a house that I have and which is put up for sale and empty of furniture
My home insurance which refuses to indicate me (while the culprits have been stopped and admit, they go into judgment in Nov"&amp;"ember) comes, icing on the cake to signify me by recommended letter that they put an end to my contract because I don't have enough luck in their taste !!
For info I have been assured at home for over 30 years !! and never set out a claim before that")</f>
        <v>hello following 2 acts of vandalism which I was victim in a house that I have and which is put up for sale and empty of furniture
My home insurance which refuses to indicate me (while the culprits have been stopped and admit, they go into judgment in November) comes, icing on the cake to signify me by recommended letter that they put an end to my contract because I don't have enough luck in their taste !!
For info I have been assured at home for over 30 years !! and never set out a claim before that</v>
      </c>
    </row>
    <row r="781" ht="15.75" customHeight="1">
      <c r="A781" s="2">
        <v>4.0</v>
      </c>
      <c r="B781" s="2" t="s">
        <v>2202</v>
      </c>
      <c r="C781" s="2" t="s">
        <v>2203</v>
      </c>
      <c r="D781" s="2" t="s">
        <v>88</v>
      </c>
      <c r="E781" s="2" t="s">
        <v>31</v>
      </c>
      <c r="F781" s="2" t="s">
        <v>15</v>
      </c>
      <c r="G781" s="2" t="s">
        <v>249</v>
      </c>
      <c r="H781" s="2" t="s">
        <v>43</v>
      </c>
      <c r="I781" s="2" t="str">
        <f>IFERROR(__xludf.DUMMYFUNCTION("GOOGLETRANSLATE(C781,""fr"",""en"")"),"Thanks to Fall for helping me to send him the missing documents.
Ella was very patient
Now I hope my file will be processed as soon as possible.
Thanks
")</f>
        <v>Thanks to Fall for helping me to send him the missing documents.
Ella was very patient
Now I hope my file will be processed as soon as possible.
Thanks
</v>
      </c>
    </row>
    <row r="782" ht="15.75" customHeight="1">
      <c r="A782" s="2">
        <v>5.0</v>
      </c>
      <c r="B782" s="2" t="s">
        <v>2204</v>
      </c>
      <c r="C782" s="2" t="s">
        <v>2205</v>
      </c>
      <c r="D782" s="2" t="s">
        <v>414</v>
      </c>
      <c r="E782" s="2" t="s">
        <v>14</v>
      </c>
      <c r="F782" s="2" t="s">
        <v>15</v>
      </c>
      <c r="G782" s="2" t="s">
        <v>2206</v>
      </c>
      <c r="H782" s="2" t="s">
        <v>95</v>
      </c>
      <c r="I782" s="2" t="str">
        <f>IFERROR(__xludf.DUMMYFUNCTION("GOOGLETRANSLATE(C782,""fr"",""en"")"),"Hello,
I chose the MAIF ""automotive"" product because it was one! But I also have ""home"", foresight ""and"" life insurance "".
Intelligence is always relevant, and if necessary, the agents put themselves in several to give satisfaction and especially"&amp;" the right answer.
Since 1985, never disappointed, always supported in difficult moments (and there have been), keeping the mutualist spirit present, that is to say, start by getting feared.
Example: the storm of 99 destroyed 2 or 3 tiles of the roof of"&amp;" the house; Aware of the little gravity for my property by the result of this passage, and that of other citizens, I bought the replacement tiles and did the work myself. This is just one example, not everyone can get on the roof of their house, of course"&amp;".
From there, the help of the MAIF in crucial moments is essential and effective (car breakdown (pump at Gaz-Oil HS) at Charles de Gaulle airport, at a circulatory y branch at Termina 3 , in the company of my youngest son, heavily mental disabled by the "&amp;"low -level autism port: all care, taxi who also went to seek my eldest son and her friend who arrived from abroad, repatriation at the home of Everyone and perfectly guided for repairs, at best possibilities!
Even a transport proposal supported by train "&amp;"then taxi until the mechanic-repairman! But I was able to opt for transport by my eldest son when recovering the vehicle.
A woman would have had no problem with the speakers, as their choice is made with rigor and uncompromising on the part of the MAIF"&amp;".")</f>
        <v>Hello,
I chose the MAIF "automotive" product because it was one! But I also have "home", foresight "and" life insurance ".
Intelligence is always relevant, and if necessary, the agents put themselves in several to give satisfaction and especially the right answer.
Since 1985, never disappointed, always supported in difficult moments (and there have been), keeping the mutualist spirit present, that is to say, start by getting feared.
Example: the storm of 99 destroyed 2 or 3 tiles of the roof of the house; Aware of the little gravity for my property by the result of this passage, and that of other citizens, I bought the replacement tiles and did the work myself. This is just one example, not everyone can get on the roof of their house, of course.
From there, the help of the MAIF in crucial moments is essential and effective (car breakdown (pump at Gaz-Oil HS) at Charles de Gaulle airport, at a circulatory y branch at Termina 3 , in the company of my youngest son, heavily mental disabled by the low -level autism port: all care, taxi who also went to seek my eldest son and her friend who arrived from abroad, repatriation at the home of Everyone and perfectly guided for repairs, at best possibilities!
Even a transport proposal supported by train then taxi until the mechanic-repairman! But I was able to opt for transport by my eldest son when recovering the vehicle.
A woman would have had no problem with the speakers, as their choice is made with rigor and uncompromising on the part of the MAIF.</v>
      </c>
    </row>
    <row r="783" ht="15.75" customHeight="1">
      <c r="A783" s="2">
        <v>3.0</v>
      </c>
      <c r="B783" s="2" t="s">
        <v>2207</v>
      </c>
      <c r="C783" s="2" t="s">
        <v>2208</v>
      </c>
      <c r="D783" s="2" t="s">
        <v>104</v>
      </c>
      <c r="E783" s="2" t="s">
        <v>31</v>
      </c>
      <c r="F783" s="2" t="s">
        <v>15</v>
      </c>
      <c r="G783" s="2" t="s">
        <v>2123</v>
      </c>
      <c r="H783" s="2" t="s">
        <v>95</v>
      </c>
      <c r="I783" s="2" t="str">
        <f>IFERROR(__xludf.DUMMYFUNCTION("GOOGLETRANSLATE(C783,""fr"",""en"")"),"In more than forty years that I have been a member of the MGP I noticed a clear improvement in contact and the eco -friendliness for reimbursements.")</f>
        <v>In more than forty years that I have been a member of the MGP I noticed a clear improvement in contact and the eco -friendliness for reimbursements.</v>
      </c>
    </row>
    <row r="784" ht="15.75" customHeight="1">
      <c r="A784" s="2">
        <v>2.0</v>
      </c>
      <c r="B784" s="2" t="s">
        <v>2209</v>
      </c>
      <c r="C784" s="2" t="s">
        <v>2210</v>
      </c>
      <c r="D784" s="2" t="s">
        <v>36</v>
      </c>
      <c r="E784" s="2" t="s">
        <v>14</v>
      </c>
      <c r="F784" s="2" t="s">
        <v>15</v>
      </c>
      <c r="G784" s="2" t="s">
        <v>2211</v>
      </c>
      <c r="H784" s="2" t="s">
        <v>90</v>
      </c>
      <c r="I784" s="2" t="str">
        <f>IFERROR(__xludf.DUMMYFUNCTION("GOOGLETRANSLATE(C784,""fr"",""en"")"),"With them for more than 3 years, never no claim. The day I had a break of ice, and which I repaired in a garage next door, I was sent the reimbursement check that never arrived.
After calling on several occasions, and sent emails for more than 3 months, "&amp;"we do not hesitate to send me walking.
Twice in a row I call customer service, and they tell me that ""the procedure will take 10min, I suggest you remember in 10 min"" ehh bin they do not recall !!!!
Lamentable !!
Fuiiire ​​!!")</f>
        <v>With them for more than 3 years, never no claim. The day I had a break of ice, and which I repaired in a garage next door, I was sent the reimbursement check that never arrived.
After calling on several occasions, and sent emails for more than 3 months, we do not hesitate to send me walking.
Twice in a row I call customer service, and they tell me that "the procedure will take 10min, I suggest you remember in 10 min" ehh bin they do not recall !!!!
Lamentable !!
Fuiiire ​​!!</v>
      </c>
    </row>
    <row r="785" ht="15.75" customHeight="1">
      <c r="A785" s="2">
        <v>1.0</v>
      </c>
      <c r="B785" s="2" t="s">
        <v>2212</v>
      </c>
      <c r="C785" s="2" t="s">
        <v>2213</v>
      </c>
      <c r="D785" s="2" t="s">
        <v>36</v>
      </c>
      <c r="E785" s="2" t="s">
        <v>14</v>
      </c>
      <c r="F785" s="2" t="s">
        <v>15</v>
      </c>
      <c r="G785" s="2" t="s">
        <v>424</v>
      </c>
      <c r="H785" s="2" t="s">
        <v>230</v>
      </c>
      <c r="I785" s="2" t="str">
        <f>IFERROR(__xludf.DUMMYFUNCTION("GOOGLETRANSLATE(C785,""fr"",""en"")"),"Of an unnamed nullity!
The rear bumper of my vehicle was damaged in an accident for which I am 0% wrong. The rear bumper has been changed with a defective used bumper. Result: the rear bumper exceeds the vehicle
Scandal !!!!!!
No compensation on the pa"&amp;"rt of this insurer of an unnamed nullity!")</f>
        <v>Of an unnamed nullity!
The rear bumper of my vehicle was damaged in an accident for which I am 0% wrong. The rear bumper has been changed with a defective used bumper. Result: the rear bumper exceeds the vehicle
Scandal !!!!!!
No compensation on the part of this insurer of an unnamed nullity!</v>
      </c>
    </row>
    <row r="786" ht="15.75" customHeight="1">
      <c r="A786" s="2">
        <v>2.0</v>
      </c>
      <c r="B786" s="2" t="s">
        <v>2214</v>
      </c>
      <c r="C786" s="2" t="s">
        <v>2215</v>
      </c>
      <c r="D786" s="2" t="s">
        <v>414</v>
      </c>
      <c r="E786" s="2" t="s">
        <v>37</v>
      </c>
      <c r="F786" s="2" t="s">
        <v>15</v>
      </c>
      <c r="G786" s="2" t="s">
        <v>2216</v>
      </c>
      <c r="H786" s="2" t="s">
        <v>387</v>
      </c>
      <c r="I786" s="2" t="str">
        <f>IFERROR(__xludf.DUMMYFUNCTION("GOOGLETRANSLATE(C786,""fr"",""en"")"),"exchange this day with two people. Certainly with a very high opinion of their person and their mastery of procedures. The second with a well -established rhetoric around a variation of the militant, united and responsible insurer.
What I see is that I f"&amp;"ind myself in an impasse following an incident caused by a third party who refuses to involve his insurance. The MAIF solution: Present the bill ... Relevant, intelligent, competent.
Finally, I note with what speed the managers of the e-reputation of the"&amp;" MAIF intervene over the posts of dissatisfaction to say that they are concerned about the quality of the customer/member relationship.
If this was the case why these posts? And above all these intervention promises?
Another dispute to date at the e"&amp;"nd of the summer. My dissatisfaction had been such and my request manifesting legitimacy, that I had to be contacted by a mediator member or something in the style of moral authority guaranteeing the principles of the militant insurer ... I always wait.
"&amp;"
Words of the words of the lyrics. Dalida lovers is the right place.
")</f>
        <v>exchange this day with two people. Certainly with a very high opinion of their person and their mastery of procedures. The second with a well -established rhetoric around a variation of the militant, united and responsible insurer.
What I see is that I find myself in an impasse following an incident caused by a third party who refuses to involve his insurance. The MAIF solution: Present the bill ... Relevant, intelligent, competent.
Finally, I note with what speed the managers of the e-reputation of the MAIF intervene over the posts of dissatisfaction to say that they are concerned about the quality of the customer/member relationship.
If this was the case why these posts? And above all these intervention promises?
Another dispute to date at the end of the summer. My dissatisfaction had been such and my request manifesting legitimacy, that I had to be contacted by a mediator member or something in the style of moral authority guaranteeing the principles of the militant insurer ... I always wait.
Words of the words of the lyrics. Dalida lovers is the right place.
</v>
      </c>
    </row>
    <row r="787" ht="15.75" customHeight="1">
      <c r="A787" s="2">
        <v>5.0</v>
      </c>
      <c r="B787" s="2" t="s">
        <v>2217</v>
      </c>
      <c r="C787" s="2" t="s">
        <v>2218</v>
      </c>
      <c r="D787" s="2" t="s">
        <v>36</v>
      </c>
      <c r="E787" s="2" t="s">
        <v>14</v>
      </c>
      <c r="F787" s="2" t="s">
        <v>15</v>
      </c>
      <c r="G787" s="2" t="s">
        <v>1606</v>
      </c>
      <c r="H787" s="2" t="s">
        <v>27</v>
      </c>
      <c r="I787" s="2" t="str">
        <f>IFERROR(__xludf.DUMMYFUNCTION("GOOGLETRANSLATE(C787,""fr"",""en"")"),"Very satisfied, vehicle insured very quickly. The prices are very good. I assure my 3 vehicles at Direct Insurance. I have never had accidents or other problems so I cannot note the rest.")</f>
        <v>Very satisfied, vehicle insured very quickly. The prices are very good. I assure my 3 vehicles at Direct Insurance. I have never had accidents or other problems so I cannot note the rest.</v>
      </c>
    </row>
    <row r="788" ht="15.75" customHeight="1">
      <c r="A788" s="2">
        <v>1.0</v>
      </c>
      <c r="B788" s="2" t="s">
        <v>2219</v>
      </c>
      <c r="C788" s="2" t="s">
        <v>2220</v>
      </c>
      <c r="D788" s="2" t="s">
        <v>2137</v>
      </c>
      <c r="E788" s="2" t="s">
        <v>121</v>
      </c>
      <c r="F788" s="2" t="s">
        <v>15</v>
      </c>
      <c r="G788" s="2" t="s">
        <v>1001</v>
      </c>
      <c r="H788" s="2" t="s">
        <v>85</v>
      </c>
      <c r="I788" s="2" t="str">
        <f>IFERROR(__xludf.DUMMYFUNCTION("GOOGLETRANSLATE(C788,""fr"",""en"")"),"Malakoff Humanis is to be avoided, I wanted to assign them 0 star but the site does not allow it.
My parents contracted in 1999 dependence pension as well as a funeral allowance. Here are my many remarks:
The provident-dependence contract:
My mother "&amp;"was in a situation of high dependence in September 2020 and to benefit from the guarantee, Malakoff Humanis sent us a form of such complexity that no doctor wanted to fill it.
The funeral allocation contract:
My mother died in May 2021 and since that "&amp;"date, the funeral allowance has still not been paid. The Malakoff Humanis technique to slow down the payment of services is always the same:
1 - Inform by email after several weeks of requests by emails and telephone that the file is incomplete, it lacks"&amp;" supporting documents.
2 - Request a lot of supporting documents, the death certificate that we provided to him was not enough, I was extremely surprised that this act, signed by a civil status officer, is not enough to prove the 'My mother's identity: a"&amp;" birth certificate was required by Malakoff Humanis! I reminded this company that it is up to the civil status officer to verify the identity of the deceased person and not to Humanis.
3- Telephone calls are completely useless, operators never deliver th"&amp;"e same information and no file follow-up seems to be operating.
Contract management
Given the poor services offered by Malakoff Humanis, I asked to receive a copy of the contracts signed by my parents. Once again Malakoff Humanis was up to par: I rece"&amp;"ived the general conditions worth information notice but issued by a different company than that which made the membership contract signed for my parents (at the time. bought since by Malakoff Humanis)
When subscribing to contracts, a table of monthly co"&amp;"ntributions was given to my parents. This table indicates that monthly contributions and services as well as funeral allowances are indexed to the value of the Agirc point.
Since the signing of their contract Le Point Le Point Agirc has increased by arou"&amp;"nd 23 %
For the funeral contract, the contributions were revalued up to 38.66 % while the allowance benefited from 22.22 % increase!
media.sociales@malakoffhumanis.com
Do not wait for media.social@malakoffhumanis.com, I have contacted them with all t"&amp;"he necessary information for several weeks before writing this notice: the file did not advance an iota.
")</f>
        <v>Malakoff Humanis is to be avoided, I wanted to assign them 0 star but the site does not allow it.
My parents contracted in 1999 dependence pension as well as a funeral allowance. Here are my many remarks:
The provident-dependence contract:
My mother was in a situation of high dependence in September 2020 and to benefit from the guarantee, Malakoff Humanis sent us a form of such complexity that no doctor wanted to fill it.
The funeral allocation contract:
My mother died in May 2021 and since that date, the funeral allowance has still not been paid. The Malakoff Humanis technique to slow down the payment of services is always the same:
1 - Inform by email after several weeks of requests by emails and telephone that the file is incomplete, it lacks supporting documents.
2 - Request a lot of supporting documents, the death certificate that we provided to him was not enough, I was extremely surprised that this act, signed by a civil status officer, is not enough to prove the 'My mother's identity: a birth certificate was required by Malakoff Humanis! I reminded this company that it is up to the civil status officer to verify the identity of the deceased person and not to Humanis.
3- Telephone calls are completely useless, operators never deliver the same information and no file follow-up seems to be operating.
Contract management
Given the poor services offered by Malakoff Humanis, I asked to receive a copy of the contracts signed by my parents. Once again Malakoff Humanis was up to par: I received the general conditions worth information notice but issued by a different company than that which made the membership contract signed for my parents (at the time. bought since by Malakoff Humanis)
When subscribing to contracts, a table of monthly contributions was given to my parents. This table indicates that monthly contributions and services as well as funeral allowances are indexed to the value of the Agirc point.
Since the signing of their contract Le Point Le Point Agirc has increased by around 23 %
For the funeral contract, the contributions were revalued up to 38.66 % while the allowance benefited from 22.22 % increase!
media.sociales@malakoffhumanis.com
Do not wait for media.social@malakoffhumanis.com, I have contacted them with all the necessary information for several weeks before writing this notice: the file did not advance an iota.
</v>
      </c>
    </row>
    <row r="789" ht="15.75" customHeight="1">
      <c r="A789" s="2">
        <v>1.0</v>
      </c>
      <c r="B789" s="2" t="s">
        <v>2221</v>
      </c>
      <c r="C789" s="2" t="s">
        <v>2222</v>
      </c>
      <c r="D789" s="2" t="s">
        <v>1075</v>
      </c>
      <c r="E789" s="2" t="s">
        <v>51</v>
      </c>
      <c r="F789" s="2" t="s">
        <v>15</v>
      </c>
      <c r="G789" s="2" t="s">
        <v>2223</v>
      </c>
      <c r="H789" s="2" t="s">
        <v>487</v>
      </c>
      <c r="I789" s="2" t="str">
        <f>IFERROR(__xludf.DUMMYFUNCTION("GOOGLETRANSLATE(C789,""fr"",""en"")"),"To flee.
I underwent an accident in December 2019, for which I was not responsible (2 witnesses with written deposition).
Assessment: fractures/hematomas and a stay in hospital following a surgical intervention.
Motorcycle wreck.
I have never heard "&amp;"from them. No indemnity, nothing. The file is at dead.
There remain unreachable, a file manager of the highest, arrogant.
Do not even defend their unables insured persons, I dare not imagine your treatment in the event of responsibility ....
I reiter"&amp;"ate: to flee.")</f>
        <v>To flee.
I underwent an accident in December 2019, for which I was not responsible (2 witnesses with written deposition).
Assessment: fractures/hematomas and a stay in hospital following a surgical intervention.
Motorcycle wreck.
I have never heard from them. No indemnity, nothing. The file is at dead.
There remain unreachable, a file manager of the highest, arrogant.
Do not even defend their unables insured persons, I dare not imagine your treatment in the event of responsibility ....
I reiterate: to flee.</v>
      </c>
    </row>
    <row r="790" ht="15.75" customHeight="1">
      <c r="A790" s="2">
        <v>1.0</v>
      </c>
      <c r="B790" s="2" t="s">
        <v>2224</v>
      </c>
      <c r="C790" s="2" t="s">
        <v>2225</v>
      </c>
      <c r="D790" s="2" t="s">
        <v>93</v>
      </c>
      <c r="E790" s="2" t="s">
        <v>14</v>
      </c>
      <c r="F790" s="2" t="s">
        <v>15</v>
      </c>
      <c r="G790" s="2" t="s">
        <v>2226</v>
      </c>
      <c r="H790" s="2" t="s">
        <v>62</v>
      </c>
      <c r="I790" s="2" t="str">
        <f>IFERROR(__xludf.DUMMYFUNCTION("GOOGLETRANSLATE(C790,""fr"",""en"")"),"Everything is fine until you have a disaster. They play on the terms of the contract to make you pay a maximum of deductible and when you ask for an explanation, we hang up on the nose. To flee at all costs !!!")</f>
        <v>Everything is fine until you have a disaster. They play on the terms of the contract to make you pay a maximum of deductible and when you ask for an explanation, we hang up on the nose. To flee at all costs !!!</v>
      </c>
    </row>
    <row r="791" ht="15.75" customHeight="1">
      <c r="A791" s="2">
        <v>5.0</v>
      </c>
      <c r="B791" s="2" t="s">
        <v>2227</v>
      </c>
      <c r="C791" s="2" t="s">
        <v>2228</v>
      </c>
      <c r="D791" s="2" t="s">
        <v>36</v>
      </c>
      <c r="E791" s="2" t="s">
        <v>14</v>
      </c>
      <c r="F791" s="2" t="s">
        <v>15</v>
      </c>
      <c r="G791" s="2" t="s">
        <v>570</v>
      </c>
      <c r="H791" s="2" t="s">
        <v>43</v>
      </c>
      <c r="I791" s="2" t="str">
        <f>IFERROR(__xludf.DUMMYFUNCTION("GOOGLETRANSLATE(C791,""fr"",""en"")"),"I am satisfied with the services Level of serious insurance price as a customer general notice best my father as a secondary driver on my insurance and insured with you it was he who advised me your insurance.")</f>
        <v>I am satisfied with the services Level of serious insurance price as a customer general notice best my father as a secondary driver on my insurance and insured with you it was he who advised me your insurance.</v>
      </c>
    </row>
    <row r="792" ht="15.75" customHeight="1">
      <c r="A792" s="2">
        <v>4.0</v>
      </c>
      <c r="B792" s="2" t="s">
        <v>2229</v>
      </c>
      <c r="C792" s="2" t="s">
        <v>2230</v>
      </c>
      <c r="D792" s="2" t="s">
        <v>36</v>
      </c>
      <c r="E792" s="2" t="s">
        <v>14</v>
      </c>
      <c r="F792" s="2" t="s">
        <v>15</v>
      </c>
      <c r="G792" s="2" t="s">
        <v>772</v>
      </c>
      <c r="H792" s="2" t="s">
        <v>33</v>
      </c>
      <c r="I792" s="2" t="str">
        <f>IFERROR(__xludf.DUMMYFUNCTION("GOOGLETRANSLATE(C792,""fr"",""en"")"),"I am satisfied with service.
At Direct Insurance it's simple and practical.
In addition the fairly comfortable prices especially for young drivers
")</f>
        <v>I am satisfied with service.
At Direct Insurance it's simple and practical.
In addition the fairly comfortable prices especially for young drivers
</v>
      </c>
    </row>
    <row r="793" ht="15.75" customHeight="1">
      <c r="A793" s="2">
        <v>1.0</v>
      </c>
      <c r="B793" s="2" t="s">
        <v>2231</v>
      </c>
      <c r="C793" s="2" t="s">
        <v>2232</v>
      </c>
      <c r="D793" s="2" t="s">
        <v>20</v>
      </c>
      <c r="E793" s="2" t="s">
        <v>14</v>
      </c>
      <c r="F793" s="2" t="s">
        <v>15</v>
      </c>
      <c r="G793" s="2" t="s">
        <v>2233</v>
      </c>
      <c r="H793" s="2" t="s">
        <v>117</v>
      </c>
      <c r="I793" s="2" t="str">
        <f>IFERROR(__xludf.DUMMYFUNCTION("GOOGLETRANSLATE(C793,""fr"",""en"")"),"Hello,
Axa ... what a story.
I subscribed in February 2018 at home following a dispute with my former insurer (MAIF), which during a simple request for information on my guarantees charged me with the existence of a disaster while it n 'never existe"&amp;"d.
At that time, I received daily calls from the AXA salesperson! Very effective of this coast there!
Thus, during my subscription to AXA, on my information statement was an ""imaginary claim"". AXA, therefore made me adjust an amount corresponding "&amp;"to approximately 3 months of insurance, during the subscription.
Subsequently, I managed to obtain maif that the ""imaginary claim"" is removed from my information statement. This had the consequence of reducing the amount of my subscription at AXA.
"&amp;"
AXA is therefore indebted for too perceived!
The advisor I had online on this subject, in February, told me to be unable to change the number of claims on my contract and created a second, ensuring that the funds paid During my subscription would be t"&amp;"ransferred to this new contract and that a too perceived return check would be sent to me by post!
However, after 5 months and almost quota calls, I continue to receive formal notices, automated calls asking me to settle these contributions that I have"&amp;" already paid.
I come up against a wall and managers who only know how to repeat like sheep that this is managed by a service that cannot be contacted, that this service has accumulated a lot of delay and that it is constantly relaunched by Each manage"&amp;"r I have online.
Even more edifying, a manager told me that it was normal that I was relaunched by the litigation service because the transfer of funds is still not carried out and that I had to pay while waiting to avoid prosecution.
AXA addresses "&amp;"me again a letter this day indicating that ""the recovery of your contract (provided that it is not terminated) will only be effective after payment of all of your contributions and prosecution fees and prosecution fees and prosecution fees and prosecutio"&amp;"n fees overlap "".
AXA suspends my guarantees, adds recovery costs and threatens me with prosecution while I have paid these contributions and owe me money!
I would settle my contributions to come when I am sure that my guarantees are effective, and"&amp;" when I will be asked to settle!
In the meantime, I will sequest subsequent contributions on another account ...
So as not to escape my obligations!
Obviously, to take out the contract, it was disconcerting.
However, when it comes to taking respon"&amp;"sibilities and properly managing the file, Axa discusses, violates its obligations and so far as to threaten me!
I admit that my request was not processed in the weeks following my subscription.
But, 5 months of waiting for a simple transfer of fund"&amp;"s and threats of prosecution, it is simply an abuse.
I am sure that the subscription collection is adjusted much faster ... strangely!
Being a lawyer (bailiff), I distress myself each time the fact that insurers abuse small people and forget that th"&amp;"ey are subject to the application of legal provisions.
Everything is good to put your pockets on the back of the insured!
It's really sad !
I remind you that the insurer also has obligations! The insured pay you contributions to afford a service that"&amp;" is not there.
It is therefore not enough to pronounce ready -made sentences, hoping that it satisfies us.
In the absence of a quick regulation of this situation (this week), I plan to put you in notice in order to later obtain your judicial convictio"&amp;"n to the termination of this contract!
I plan to obtain this termination of contract, notwithstanding the lower duration of one year of it!
As for my other insurance contracts, I would certainly not subscribe to your company.
I hope I never have "&amp;"to undergo a disaster by being provided by your services, because when I see that I am obliged to constantly relaunch you for a simple question of transfer of funds, I dare not imagine the Management of a disaster.
Daring to hope that you will not forc"&amp;"e me to arrive at such measures ...")</f>
        <v>Hello,
Axa ... what a story.
I subscribed in February 2018 at home following a dispute with my former insurer (MAIF), which during a simple request for information on my guarantees charged me with the existence of a disaster while it n 'never existed.
At that time, I received daily calls from the AXA salesperson! Very effective of this coast there!
Thus, during my subscription to AXA, on my information statement was an "imaginary claim". AXA, therefore made me adjust an amount corresponding to approximately 3 months of insurance, during the subscription.
Subsequently, I managed to obtain maif that the "imaginary claim" is removed from my information statement. This had the consequence of reducing the amount of my subscription at AXA.
AXA is therefore indebted for too perceived!
The advisor I had online on this subject, in February, told me to be unable to change the number of claims on my contract and created a second, ensuring that the funds paid During my subscription would be transferred to this new contract and that a too perceived return check would be sent to me by post!
However, after 5 months and almost quota calls, I continue to receive formal notices, automated calls asking me to settle these contributions that I have already paid.
I come up against a wall and managers who only know how to repeat like sheep that this is managed by a service that cannot be contacted, that this service has accumulated a lot of delay and that it is constantly relaunched by Each manager I have online.
Even more edifying, a manager told me that it was normal that I was relaunched by the litigation service because the transfer of funds is still not carried out and that I had to pay while waiting to avoid prosecution.
AXA addresses me again a letter this day indicating that "the recovery of your contract (provided that it is not terminated) will only be effective after payment of all of your contributions and prosecution fees and prosecution fees and prosecution fees and prosecution fees overlap ".
AXA suspends my guarantees, adds recovery costs and threatens me with prosecution while I have paid these contributions and owe me money!
I would settle my contributions to come when I am sure that my guarantees are effective, and when I will be asked to settle!
In the meantime, I will sequest subsequent contributions on another account ...
So as not to escape my obligations!
Obviously, to take out the contract, it was disconcerting.
However, when it comes to taking responsibilities and properly managing the file, Axa discusses, violates its obligations and so far as to threaten me!
I admit that my request was not processed in the weeks following my subscription.
But, 5 months of waiting for a simple transfer of funds and threats of prosecution, it is simply an abuse.
I am sure that the subscription collection is adjusted much faster ... strangely!
Being a lawyer (bailiff), I distress myself each time the fact that insurers abuse small people and forget that they are subject to the application of legal provisions.
Everything is good to put your pockets on the back of the insured!
It's really sad !
I remind you that the insurer also has obligations! The insured pay you contributions to afford a service that is not there.
It is therefore not enough to pronounce ready -made sentences, hoping that it satisfies us.
In the absence of a quick regulation of this situation (this week), I plan to put you in notice in order to later obtain your judicial conviction to the termination of this contract!
I plan to obtain this termination of contract, notwithstanding the lower duration of one year of it!
As for my other insurance contracts, I would certainly not subscribe to your company.
I hope I never have to undergo a disaster by being provided by your services, because when I see that I am obliged to constantly relaunch you for a simple question of transfer of funds, I dare not imagine the Management of a disaster.
Daring to hope that you will not force me to arrive at such measures ...</v>
      </c>
    </row>
    <row r="794" ht="15.75" customHeight="1">
      <c r="A794" s="2">
        <v>1.0</v>
      </c>
      <c r="B794" s="2" t="s">
        <v>2234</v>
      </c>
      <c r="C794" s="2" t="s">
        <v>2235</v>
      </c>
      <c r="D794" s="2" t="s">
        <v>30</v>
      </c>
      <c r="E794" s="2" t="s">
        <v>31</v>
      </c>
      <c r="F794" s="2" t="s">
        <v>15</v>
      </c>
      <c r="G794" s="2" t="s">
        <v>814</v>
      </c>
      <c r="H794" s="2" t="s">
        <v>171</v>
      </c>
      <c r="I794" s="2" t="str">
        <f>IFERROR(__xludf.DUMMYFUNCTION("GOOGLETRANSLATE(C794,""fr"",""en"")"),"The sale of my contract was made very correctly with a very professional advisor. I have subscribed to the range of guarantees: the optimal formula. Since then, it's the disaster!
- the guarantees put in place IT are not those planned
- I am not reimbur"&amp;"sed as planned ..... when I am reimbursed!
- I send complaints or I call no one solves the problem
- I am still not reimbursed for care since January
- I ended up contacting the advisor who sold me the contract and who constantly signals the problem to"&amp;" his hierarchy and nobody reminds us. It's been months! He tells me having regular meetings where problem files have been discussed but I haven't been back for months.
- the staff at the reimbursement service is completely incompetent
In short, it is a "&amp;"completely disrespectful mutual of its customers that I strongly advise against!
-")</f>
        <v>The sale of my contract was made very correctly with a very professional advisor. I have subscribed to the range of guarantees: the optimal formula. Since then, it's the disaster!
- the guarantees put in place IT are not those planned
- I am not reimbursed as planned ..... when I am reimbursed!
- I send complaints or I call no one solves the problem
- I am still not reimbursed for care since January
- I ended up contacting the advisor who sold me the contract and who constantly signals the problem to his hierarchy and nobody reminds us. It's been months! He tells me having regular meetings where problem files have been discussed but I haven't been back for months.
- the staff at the reimbursement service is completely incompetent
In short, it is a completely disrespectful mutual of its customers that I strongly advise against!
-</v>
      </c>
    </row>
    <row r="795" ht="15.75" customHeight="1">
      <c r="A795" s="2">
        <v>5.0</v>
      </c>
      <c r="B795" s="2" t="s">
        <v>2236</v>
      </c>
      <c r="C795" s="2" t="s">
        <v>2237</v>
      </c>
      <c r="D795" s="2" t="s">
        <v>13</v>
      </c>
      <c r="E795" s="2" t="s">
        <v>14</v>
      </c>
      <c r="F795" s="2" t="s">
        <v>15</v>
      </c>
      <c r="G795" s="2" t="s">
        <v>363</v>
      </c>
      <c r="H795" s="2" t="s">
        <v>33</v>
      </c>
      <c r="I795" s="2" t="str">
        <f>IFERROR(__xludf.DUMMYFUNCTION("GOOGLETRANSLATE(C795,""fr"",""en"")"),"The prices are defective in all competition. I managed to find insurance that suits me for my vehicle. The services offered are simple and effective!")</f>
        <v>The prices are defective in all competition. I managed to find insurance that suits me for my vehicle. The services offered are simple and effective!</v>
      </c>
    </row>
    <row r="796" ht="15.75" customHeight="1">
      <c r="A796" s="2">
        <v>1.0</v>
      </c>
      <c r="B796" s="2" t="s">
        <v>2238</v>
      </c>
      <c r="C796" s="2" t="s">
        <v>2239</v>
      </c>
      <c r="D796" s="2" t="s">
        <v>36</v>
      </c>
      <c r="E796" s="2" t="s">
        <v>14</v>
      </c>
      <c r="F796" s="2" t="s">
        <v>15</v>
      </c>
      <c r="G796" s="2" t="s">
        <v>1324</v>
      </c>
      <c r="H796" s="2" t="s">
        <v>17</v>
      </c>
      <c r="I796" s="2" t="str">
        <f>IFERROR(__xludf.DUMMYFUNCTION("GOOGLETRANSLATE(C796,""fr"",""en"")"),"Hello, Following our conversation on Thursday, February 7 at 3:38 p.m., you justified the increase in my annual subscription because all the insurance do. However, compared the FGAO estimated the 2018-2019 increase at 2 points. My increase represents 15 p"&amp;"oints which is completely unjustified. Thank you for returning to a reasonable rate, that is to say order 3 points at most.
Is there a lawyer among readers in order to assess the possibilities of action, grouped or not?
")</f>
        <v>Hello, Following our conversation on Thursday, February 7 at 3:38 p.m., you justified the increase in my annual subscription because all the insurance do. However, compared the FGAO estimated the 2018-2019 increase at 2 points. My increase represents 15 points which is completely unjustified. Thank you for returning to a reasonable rate, that is to say order 3 points at most.
Is there a lawyer among readers in order to assess the possibilities of action, grouped or not?
</v>
      </c>
    </row>
    <row r="797" ht="15.75" customHeight="1">
      <c r="A797" s="2">
        <v>5.0</v>
      </c>
      <c r="B797" s="2" t="s">
        <v>2240</v>
      </c>
      <c r="C797" s="2" t="s">
        <v>2241</v>
      </c>
      <c r="D797" s="2" t="s">
        <v>36</v>
      </c>
      <c r="E797" s="2" t="s">
        <v>14</v>
      </c>
      <c r="F797" s="2" t="s">
        <v>15</v>
      </c>
      <c r="G797" s="2" t="s">
        <v>2100</v>
      </c>
      <c r="H797" s="2" t="s">
        <v>33</v>
      </c>
      <c r="I797" s="2" t="str">
        <f>IFERROR(__xludf.DUMMYFUNCTION("GOOGLETRANSLATE(C797,""fr"",""en"")"),"Hello I highly recommend this insurance The advisers are super helpful The steps are very easy to carry out Mercii for the welcome thank you")</f>
        <v>Hello I highly recommend this insurance The advisers are super helpful The steps are very easy to carry out Mercii for the welcome thank you</v>
      </c>
    </row>
    <row r="798" ht="15.75" customHeight="1">
      <c r="A798" s="2">
        <v>1.0</v>
      </c>
      <c r="B798" s="2" t="s">
        <v>2242</v>
      </c>
      <c r="C798" s="2" t="s">
        <v>2243</v>
      </c>
      <c r="D798" s="2" t="s">
        <v>636</v>
      </c>
      <c r="E798" s="2" t="s">
        <v>31</v>
      </c>
      <c r="F798" s="2" t="s">
        <v>15</v>
      </c>
      <c r="G798" s="2" t="s">
        <v>2244</v>
      </c>
      <c r="H798" s="2" t="s">
        <v>487</v>
      </c>
      <c r="I798" s="2" t="str">
        <f>IFERROR(__xludf.DUMMYFUNCTION("GOOGLETRANSLATE(C798,""fr"",""en"")"),"Here I come to tell you about my adventure with this be mutual (harmony) huh !! So here I have been felt on all the documents we were sent to this mutual insurance company nothing but their name makes me want to vomit we answer you 1 time every 15 days, w"&amp;"e tell you that the refund was accepted and sent but On an account that excites the more I want to say that I and sent them my new RIB but as he does not know how to open a page of email then how to see who there is a new rib available best for the future"&amp;" adhere to this mutual Fuyer Fuy Fley because he takes the money does not think of the customer is champion of the withdrawal but zero reimbursement level because this mutual and makes that in order not to be sick like that they are happy with the money a"&amp;"nd this stuff")</f>
        <v>Here I come to tell you about my adventure with this be mutual (harmony) huh !! So here I have been felt on all the documents we were sent to this mutual insurance company nothing but their name makes me want to vomit we answer you 1 time every 15 days, we tell you that the refund was accepted and sent but On an account that excites the more I want to say that I and sent them my new RIB but as he does not know how to open a page of email then how to see who there is a new rib available best for the future adhere to this mutual Fuyer Fuy Fley because he takes the money does not think of the customer is champion of the withdrawal but zero reimbursement level because this mutual and makes that in order not to be sick like that they are happy with the money and this stuff</v>
      </c>
    </row>
    <row r="799" ht="15.75" customHeight="1">
      <c r="A799" s="2">
        <v>5.0</v>
      </c>
      <c r="B799" s="2" t="s">
        <v>2245</v>
      </c>
      <c r="C799" s="2" t="s">
        <v>2246</v>
      </c>
      <c r="D799" s="2" t="s">
        <v>13</v>
      </c>
      <c r="E799" s="2" t="s">
        <v>14</v>
      </c>
      <c r="F799" s="2" t="s">
        <v>15</v>
      </c>
      <c r="G799" s="2" t="s">
        <v>1488</v>
      </c>
      <c r="H799" s="2" t="s">
        <v>47</v>
      </c>
      <c r="I799" s="2" t="str">
        <f>IFERROR(__xludf.DUMMYFUNCTION("GOOGLETRANSLATE(C799,""fr"",""en"")"),"I am satisfied with the service and the options offered by insurance. The speed of execution also. It is all in simplicity, and the ergonomics of the site is superb")</f>
        <v>I am satisfied with the service and the options offered by insurance. The speed of execution also. It is all in simplicity, and the ergonomics of the site is superb</v>
      </c>
    </row>
    <row r="800" ht="15.75" customHeight="1">
      <c r="A800" s="2">
        <v>3.0</v>
      </c>
      <c r="B800" s="2" t="s">
        <v>2247</v>
      </c>
      <c r="C800" s="2" t="s">
        <v>2248</v>
      </c>
      <c r="D800" s="2" t="s">
        <v>36</v>
      </c>
      <c r="E800" s="2" t="s">
        <v>14</v>
      </c>
      <c r="F800" s="2" t="s">
        <v>15</v>
      </c>
      <c r="G800" s="2" t="s">
        <v>2249</v>
      </c>
      <c r="H800" s="2" t="s">
        <v>171</v>
      </c>
      <c r="I800" s="2" t="str">
        <f>IFERROR(__xludf.DUMMYFUNCTION("GOOGLETRANSLATE(C800,""fr"",""en"")"),"I find out about the prices of your competitors and I just found for equivalent services, a price 35 € cheaper. Therefore pending their quote.")</f>
        <v>I find out about the prices of your competitors and I just found for equivalent services, a price 35 € cheaper. Therefore pending their quote.</v>
      </c>
    </row>
    <row r="801" ht="15.75" customHeight="1">
      <c r="A801" s="2">
        <v>3.0</v>
      </c>
      <c r="B801" s="2" t="s">
        <v>2250</v>
      </c>
      <c r="C801" s="2" t="s">
        <v>2251</v>
      </c>
      <c r="D801" s="2" t="s">
        <v>143</v>
      </c>
      <c r="E801" s="2" t="s">
        <v>31</v>
      </c>
      <c r="F801" s="2" t="s">
        <v>15</v>
      </c>
      <c r="G801" s="2" t="s">
        <v>2252</v>
      </c>
      <c r="H801" s="2" t="s">
        <v>684</v>
      </c>
      <c r="I801" s="2" t="str">
        <f>IFERROR(__xludf.DUMMYFUNCTION("GOOGLETRANSLATE(C801,""fr"",""en"")"),"A digital interface not at the level; Unable to easily download a care sheet.
An overwhelmed call center that hangs up on you
Otherwise, positive point: speed of reimbursements")</f>
        <v>A digital interface not at the level; Unable to easily download a care sheet.
An overwhelmed call center that hangs up on you
Otherwise, positive point: speed of reimbursements</v>
      </c>
    </row>
    <row r="802" ht="15.75" customHeight="1">
      <c r="A802" s="2">
        <v>2.0</v>
      </c>
      <c r="B802" s="2" t="s">
        <v>2253</v>
      </c>
      <c r="C802" s="2" t="s">
        <v>2254</v>
      </c>
      <c r="D802" s="2" t="s">
        <v>414</v>
      </c>
      <c r="E802" s="2" t="s">
        <v>14</v>
      </c>
      <c r="F802" s="2" t="s">
        <v>15</v>
      </c>
      <c r="G802" s="2" t="s">
        <v>2255</v>
      </c>
      <c r="H802" s="2" t="s">
        <v>1167</v>
      </c>
      <c r="I802" s="2" t="str">
        <f>IFERROR(__xludf.DUMMYFUNCTION("GOOGLETRANSLATE(C802,""fr"",""en"")"),"The Maif is the company that assured my first vehicle more than 28 years ago and I stayed there faithful
I have provided all the vehicles there from my various dwellings and over the years I completed the PACS PRAXIS formulas
The concept of loyalty is n"&amp;"ot the same insurance side
After 28 years I discover that I am no longer insured 2 vehicles 1 house and 1 apartment for more than 2 months
Termination at the insurance initiative was sent by registered mail and I did not receive this registered
I manag"&amp;"ed to insist in having the motive alteration of the commercial link without any explanation
Person to find out
An email address generic complaint@maif.fr and wait for you to remind you
Pending by the obligation to be insured I spend my days with the qu"&amp;"otes and in addition the unilateral termination of the maif prevents me from prospecting with many insurance
I therefore find myself having to accept very high prices with brokers while 28 years I stayed faithful to a single insurance
")</f>
        <v>The Maif is the company that assured my first vehicle more than 28 years ago and I stayed there faithful
I have provided all the vehicles there from my various dwellings and over the years I completed the PACS PRAXIS formulas
The concept of loyalty is not the same insurance side
After 28 years I discover that I am no longer insured 2 vehicles 1 house and 1 apartment for more than 2 months
Termination at the insurance initiative was sent by registered mail and I did not receive this registered
I managed to insist in having the motive alteration of the commercial link without any explanation
Person to find out
An email address generic complaint@maif.fr and wait for you to remind you
Pending by the obligation to be insured I spend my days with the quotes and in addition the unilateral termination of the maif prevents me from prospecting with many insurance
I therefore find myself having to accept very high prices with brokers while 28 years I stayed faithful to a single insurance
</v>
      </c>
    </row>
    <row r="803" ht="15.75" customHeight="1">
      <c r="A803" s="2">
        <v>4.0</v>
      </c>
      <c r="B803" s="2" t="s">
        <v>2256</v>
      </c>
      <c r="C803" s="2" t="s">
        <v>2257</v>
      </c>
      <c r="D803" s="2" t="s">
        <v>36</v>
      </c>
      <c r="E803" s="2" t="s">
        <v>14</v>
      </c>
      <c r="F803" s="2" t="s">
        <v>15</v>
      </c>
      <c r="G803" s="2" t="s">
        <v>348</v>
      </c>
      <c r="H803" s="2" t="s">
        <v>43</v>
      </c>
      <c r="I803" s="2" t="str">
        <f>IFERROR(__xludf.DUMMYFUNCTION("GOOGLETRANSLATE(C803,""fr"",""en"")"),"Coherent price / warranty ratio. Overall satisfied even if I think Direct Insurance could do better. When all the options are chosen the price difference with another insurance is no longer necessarily as advantageous.")</f>
        <v>Coherent price / warranty ratio. Overall satisfied even if I think Direct Insurance could do better. When all the options are chosen the price difference with another insurance is no longer necessarily as advantageous.</v>
      </c>
    </row>
    <row r="804" ht="15.75" customHeight="1">
      <c r="A804" s="2">
        <v>4.0</v>
      </c>
      <c r="B804" s="2" t="s">
        <v>2258</v>
      </c>
      <c r="C804" s="2" t="s">
        <v>2259</v>
      </c>
      <c r="D804" s="2" t="s">
        <v>36</v>
      </c>
      <c r="E804" s="2" t="s">
        <v>14</v>
      </c>
      <c r="F804" s="2" t="s">
        <v>15</v>
      </c>
      <c r="G804" s="2" t="s">
        <v>817</v>
      </c>
      <c r="H804" s="2" t="s">
        <v>27</v>
      </c>
      <c r="I804" s="2" t="str">
        <f>IFERROR(__xludf.DUMMYFUNCTION("GOOGLETRANSLATE(C804,""fr"",""en"")"),"Simple and practical. The fact remains that it would be wise to ask for an opinion after a few months of experience.
For the moment, the services offered seem correct.
Cheers")</f>
        <v>Simple and practical. The fact remains that it would be wise to ask for an opinion after a few months of experience.
For the moment, the services offered seem correct.
Cheers</v>
      </c>
    </row>
    <row r="805" ht="15.75" customHeight="1">
      <c r="A805" s="2">
        <v>1.0</v>
      </c>
      <c r="B805" s="2" t="s">
        <v>2260</v>
      </c>
      <c r="C805" s="2" t="s">
        <v>2261</v>
      </c>
      <c r="D805" s="2" t="s">
        <v>2262</v>
      </c>
      <c r="E805" s="2" t="s">
        <v>21</v>
      </c>
      <c r="F805" s="2" t="s">
        <v>15</v>
      </c>
      <c r="G805" s="2" t="s">
        <v>2263</v>
      </c>
      <c r="H805" s="2" t="s">
        <v>504</v>
      </c>
      <c r="I805" s="2" t="str">
        <f>IFERROR(__xludf.DUMMYFUNCTION("GOOGLETRANSLATE(C805,""fr"",""en"")"),"Deplorable customer service, saturated telephone line, supposedly computer overhaul to explain the delays to pay the sums due as part of a succession. Knowing that FAF was ordered to pay in 2019 a fine of several million euros for a fraud committed 20 yea"&amp;"rs ago, the question arises: do they do everything to delay payments? What remedies do we have as goals?")</f>
        <v>Deplorable customer service, saturated telephone line, supposedly computer overhaul to explain the delays to pay the sums due as part of a succession. Knowing that FAF was ordered to pay in 2019 a fine of several million euros for a fraud committed 20 years ago, the question arises: do they do everything to delay payments? What remedies do we have as goals?</v>
      </c>
    </row>
    <row r="806" ht="15.75" customHeight="1">
      <c r="A806" s="2">
        <v>1.0</v>
      </c>
      <c r="B806" s="2" t="s">
        <v>2264</v>
      </c>
      <c r="C806" s="2" t="s">
        <v>2265</v>
      </c>
      <c r="D806" s="2" t="s">
        <v>50</v>
      </c>
      <c r="E806" s="2" t="s">
        <v>51</v>
      </c>
      <c r="F806" s="2" t="s">
        <v>15</v>
      </c>
      <c r="G806" s="2" t="s">
        <v>2266</v>
      </c>
      <c r="H806" s="2" t="s">
        <v>205</v>
      </c>
      <c r="I806" s="2" t="str">
        <f>IFERROR(__xludf.DUMMYFUNCTION("GOOGLETRANSLATE(C806,""fr"",""en"")"),"I agree with Step. After -sales service is a disaster! To push you to take out a quote, no worries, you have reminders every day of a platform abroad but to satisfy the customer in place it is a disaster.")</f>
        <v>I agree with Step. After -sales service is a disaster! To push you to take out a quote, no worries, you have reminders every day of a platform abroad but to satisfy the customer in place it is a disaster.</v>
      </c>
    </row>
    <row r="807" ht="15.75" customHeight="1">
      <c r="A807" s="2">
        <v>3.0</v>
      </c>
      <c r="B807" s="2" t="s">
        <v>2267</v>
      </c>
      <c r="C807" s="2" t="s">
        <v>2268</v>
      </c>
      <c r="D807" s="2" t="s">
        <v>88</v>
      </c>
      <c r="E807" s="2" t="s">
        <v>31</v>
      </c>
      <c r="F807" s="2" t="s">
        <v>15</v>
      </c>
      <c r="G807" s="2" t="s">
        <v>839</v>
      </c>
      <c r="H807" s="2" t="s">
        <v>297</v>
      </c>
      <c r="I807" s="2" t="str">
        <f>IFERROR(__xludf.DUMMYFUNCTION("GOOGLETRANSLATE(C807,""fr"",""en"")"),"Gwendal: very concise, very effective.
I had two types of questions to ask him:
- on the activation of my member space
- on the height of a care in relation to a next hospitalization
The answers to my questions were all satisfied in record time and I "&amp;"thank him.")</f>
        <v>Gwendal: very concise, very effective.
I had two types of questions to ask him:
- on the activation of my member space
- on the height of a care in relation to a next hospitalization
The answers to my questions were all satisfied in record time and I thank him.</v>
      </c>
    </row>
    <row r="808" ht="15.75" customHeight="1">
      <c r="A808" s="2">
        <v>5.0</v>
      </c>
      <c r="B808" s="2" t="s">
        <v>2269</v>
      </c>
      <c r="C808" s="2" t="s">
        <v>2270</v>
      </c>
      <c r="D808" s="2" t="s">
        <v>36</v>
      </c>
      <c r="E808" s="2" t="s">
        <v>14</v>
      </c>
      <c r="F808" s="2" t="s">
        <v>15</v>
      </c>
      <c r="G808" s="2" t="s">
        <v>1272</v>
      </c>
      <c r="H808" s="2" t="s">
        <v>487</v>
      </c>
      <c r="I808" s="2" t="str">
        <f>IFERROR(__xludf.DUMMYFUNCTION("GOOGLETRANSLATE(C808,""fr"",""en"")"),"At the price level is the cheapest of the walk
Regarding the claims for the moment I do not know anything since I have not had a claim yet")</f>
        <v>At the price level is the cheapest of the walk
Regarding the claims for the moment I do not know anything since I have not had a claim yet</v>
      </c>
    </row>
    <row r="809" ht="15.75" customHeight="1">
      <c r="A809" s="2">
        <v>1.0</v>
      </c>
      <c r="B809" s="2" t="s">
        <v>2271</v>
      </c>
      <c r="C809" s="2" t="s">
        <v>2272</v>
      </c>
      <c r="D809" s="2" t="s">
        <v>50</v>
      </c>
      <c r="E809" s="2" t="s">
        <v>51</v>
      </c>
      <c r="F809" s="2" t="s">
        <v>15</v>
      </c>
      <c r="G809" s="2" t="s">
        <v>1904</v>
      </c>
      <c r="H809" s="2" t="s">
        <v>106</v>
      </c>
      <c r="I809" s="2" t="str">
        <f>IFERROR(__xludf.DUMMYFUNCTION("GOOGLETRANSLATE(C809,""fr"",""en"")"),"Incompetent insurer
To run away absolutely. Do you pay a real insurer worthy of the name. Contract subscribed on 03/07. Mail announcing the final validation of the contract and the supporting documents provided (permit, gray card etc.) + sending the fina"&amp;"l green card on 16/08. Still nothing received on 11/09. Relaunch on my part: April responds and claims the vehicle registration card to issue a new provisional green card ... I am therefore without insurance to date by the fault of these tocards ....")</f>
        <v>Incompetent insurer
To run away absolutely. Do you pay a real insurer worthy of the name. Contract subscribed on 03/07. Mail announcing the final validation of the contract and the supporting documents provided (permit, gray card etc.) + sending the final green card on 16/08. Still nothing received on 11/09. Relaunch on my part: April responds and claims the vehicle registration card to issue a new provisional green card ... I am therefore without insurance to date by the fault of these tocards ....</v>
      </c>
    </row>
    <row r="810" ht="15.75" customHeight="1">
      <c r="A810" s="2">
        <v>4.0</v>
      </c>
      <c r="B810" s="2" t="s">
        <v>2273</v>
      </c>
      <c r="C810" s="2" t="s">
        <v>2274</v>
      </c>
      <c r="D810" s="2" t="s">
        <v>13</v>
      </c>
      <c r="E810" s="2" t="s">
        <v>14</v>
      </c>
      <c r="F810" s="2" t="s">
        <v>15</v>
      </c>
      <c r="G810" s="2" t="s">
        <v>630</v>
      </c>
      <c r="H810" s="2" t="s">
        <v>230</v>
      </c>
      <c r="I810" s="2" t="str">
        <f>IFERROR(__xludf.DUMMYFUNCTION("GOOGLETRANSLATE(C810,""fr"",""en"")"),"I am satisfied with the Olivier Insurance, it is the only insurance that was able to secure me at this price by being a young driver.
I highly recommend")</f>
        <v>I am satisfied with the Olivier Insurance, it is the only insurance that was able to secure me at this price by being a young driver.
I highly recommend</v>
      </c>
    </row>
    <row r="811" ht="15.75" customHeight="1">
      <c r="A811" s="2">
        <v>1.0</v>
      </c>
      <c r="B811" s="2" t="s">
        <v>2275</v>
      </c>
      <c r="C811" s="2" t="s">
        <v>2276</v>
      </c>
      <c r="D811" s="2" t="s">
        <v>354</v>
      </c>
      <c r="E811" s="2" t="s">
        <v>37</v>
      </c>
      <c r="F811" s="2" t="s">
        <v>15</v>
      </c>
      <c r="G811" s="2" t="s">
        <v>2277</v>
      </c>
      <c r="H811" s="2" t="s">
        <v>23</v>
      </c>
      <c r="I811" s="2" t="str">
        <f>IFERROR(__xludf.DUMMYFUNCTION("GOOGLETRANSLATE(C811,""fr"",""en"")"),"I have just been the victim of a burglary with break -in, the insurance expert passes home finds the break -in, the burglars we try to fracture the door before destroying a window, I therefore have brand on the door (minimal is used but Brand, game in the"&amp;" door and from a screwdriver on the top of the door) and the expert tells me that the door is repairable ..... I understood what side Allais its opinion. But how to repair brands on the door (shocks on moldings and brand of screwdriver on PVC door) file b"&amp;"eing waiting for a door repair quote (DIY according to my craftsmen) 1 month and nothing is done by insurance")</f>
        <v>I have just been the victim of a burglary with break -in, the insurance expert passes home finds the break -in, the burglars we try to fracture the door before destroying a window, I therefore have brand on the door (minimal is used but Brand, game in the door and from a screwdriver on the top of the door) and the expert tells me that the door is repairable ..... I understood what side Allais its opinion. But how to repair brands on the door (shocks on moldings and brand of screwdriver on PVC door) file being waiting for a door repair quote (DIY according to my craftsmen) 1 month and nothing is done by insurance</v>
      </c>
    </row>
    <row r="812" ht="15.75" customHeight="1">
      <c r="A812" s="2">
        <v>2.0</v>
      </c>
      <c r="B812" s="2" t="s">
        <v>2278</v>
      </c>
      <c r="C812" s="2" t="s">
        <v>2279</v>
      </c>
      <c r="D812" s="2" t="s">
        <v>36</v>
      </c>
      <c r="E812" s="2" t="s">
        <v>14</v>
      </c>
      <c r="F812" s="2" t="s">
        <v>15</v>
      </c>
      <c r="G812" s="2" t="s">
        <v>2280</v>
      </c>
      <c r="H812" s="2" t="s">
        <v>184</v>
      </c>
      <c r="I812" s="2" t="str">
        <f>IFERROR(__xludf.DUMMYFUNCTION("GOOGLETRANSLATE(C812,""fr"",""en"")"),"I have just been abused without reason after being insured at DA for over 10 years and therefore benefiting for life of 50% bonus. No loss responsible for 10 years. I am very angry")</f>
        <v>I have just been abused without reason after being insured at DA for over 10 years and therefore benefiting for life of 50% bonus. No loss responsible for 10 years. I am very angry</v>
      </c>
    </row>
    <row r="813" ht="15.75" customHeight="1">
      <c r="A813" s="2">
        <v>4.0</v>
      </c>
      <c r="B813" s="2" t="s">
        <v>2281</v>
      </c>
      <c r="C813" s="2" t="s">
        <v>2282</v>
      </c>
      <c r="D813" s="2" t="s">
        <v>36</v>
      </c>
      <c r="E813" s="2" t="s">
        <v>14</v>
      </c>
      <c r="F813" s="2" t="s">
        <v>15</v>
      </c>
      <c r="G813" s="2" t="s">
        <v>2249</v>
      </c>
      <c r="H813" s="2" t="s">
        <v>171</v>
      </c>
      <c r="I813" s="2" t="str">
        <f>IFERROR(__xludf.DUMMYFUNCTION("GOOGLETRANSLATE(C813,""fr"",""en"")"),"Ras satisfied with the price and guarantees, I cannot say for the treatment of a claim not having encountered this scenario ... I think that DA is well placed.")</f>
        <v>Ras satisfied with the price and guarantees, I cannot say for the treatment of a claim not having encountered this scenario ... I think that DA is well placed.</v>
      </c>
    </row>
    <row r="814" ht="15.75" customHeight="1">
      <c r="A814" s="2">
        <v>1.0</v>
      </c>
      <c r="B814" s="2" t="s">
        <v>2283</v>
      </c>
      <c r="C814" s="2" t="s">
        <v>2284</v>
      </c>
      <c r="D814" s="2" t="s">
        <v>430</v>
      </c>
      <c r="E814" s="2" t="s">
        <v>121</v>
      </c>
      <c r="F814" s="2" t="s">
        <v>15</v>
      </c>
      <c r="G814" s="2" t="s">
        <v>542</v>
      </c>
      <c r="H814" s="2" t="s">
        <v>171</v>
      </c>
      <c r="I814" s="2" t="str">
        <f>IFERROR(__xludf.DUMMYFUNCTION("GOOGLETRANSLATE(C814,""fr"",""en"")"),"The Macif mutual insurance Very organized insurance to delete reimbursements to her client, my mom insured with them all her life I was refused the reimbursement of the last invoice of the hospital on the grounds that I had to advance the money of this in"&amp;"voice What was impossible for me financially, they told me that I go 3 years to be reimbursed without writing it of course, after the regulation of the succession two years had passed, response sorry Mr. It is too late thank you the Macif flee.")</f>
        <v>The Macif mutual insurance Very organized insurance to delete reimbursements to her client, my mom insured with them all her life I was refused the reimbursement of the last invoice of the hospital on the grounds that I had to advance the money of this invoice What was impossible for me financially, they told me that I go 3 years to be reimbursed without writing it of course, after the regulation of the succession two years had passed, response sorry Mr. It is too late thank you the Macif flee.</v>
      </c>
    </row>
    <row r="815" ht="15.75" customHeight="1">
      <c r="A815" s="2">
        <v>4.0</v>
      </c>
      <c r="B815" s="2" t="s">
        <v>2285</v>
      </c>
      <c r="C815" s="2" t="s">
        <v>2286</v>
      </c>
      <c r="D815" s="2" t="s">
        <v>36</v>
      </c>
      <c r="E815" s="2" t="s">
        <v>14</v>
      </c>
      <c r="F815" s="2" t="s">
        <v>15</v>
      </c>
      <c r="G815" s="2" t="s">
        <v>510</v>
      </c>
      <c r="H815" s="2" t="s">
        <v>27</v>
      </c>
      <c r="I815" s="2" t="str">
        <f>IFERROR(__xludf.DUMMYFUNCTION("GOOGLETRANSLATE(C815,""fr"",""en"")"),"For the moment RAS thank you
C4 is the first time that I subscribe an online contract is a first; I would see in the long run to add several vehicles if I am satisfied")</f>
        <v>For the moment RAS thank you
C4 is the first time that I subscribe an online contract is a first; I would see in the long run to add several vehicles if I am satisfied</v>
      </c>
    </row>
    <row r="816" ht="15.75" customHeight="1">
      <c r="A816" s="2">
        <v>3.0</v>
      </c>
      <c r="B816" s="2" t="s">
        <v>2287</v>
      </c>
      <c r="C816" s="2" t="s">
        <v>2288</v>
      </c>
      <c r="D816" s="2" t="s">
        <v>36</v>
      </c>
      <c r="E816" s="2" t="s">
        <v>14</v>
      </c>
      <c r="F816" s="2" t="s">
        <v>15</v>
      </c>
      <c r="G816" s="2" t="s">
        <v>208</v>
      </c>
      <c r="H816" s="2" t="s">
        <v>43</v>
      </c>
      <c r="I816" s="2" t="str">
        <f>IFERROR(__xludf.DUMMYFUNCTION("GOOGLETRANSLATE(C816,""fr"",""en"")"),"For the moment happy as a whole to see later
Transaction monitoring
And the sticker and the contract
THANKS FOR YOUR RAPIDITY
")</f>
        <v>For the moment happy as a whole to see later
Transaction monitoring
And the sticker and the contract
THANKS FOR YOUR RAPIDITY
</v>
      </c>
    </row>
    <row r="817" ht="15.75" customHeight="1">
      <c r="A817" s="2">
        <v>5.0</v>
      </c>
      <c r="B817" s="2" t="s">
        <v>2289</v>
      </c>
      <c r="C817" s="2" t="s">
        <v>2290</v>
      </c>
      <c r="D817" s="2" t="s">
        <v>50</v>
      </c>
      <c r="E817" s="2" t="s">
        <v>51</v>
      </c>
      <c r="F817" s="2" t="s">
        <v>15</v>
      </c>
      <c r="G817" s="2" t="s">
        <v>1713</v>
      </c>
      <c r="H817" s="2" t="s">
        <v>27</v>
      </c>
      <c r="I817" s="2" t="str">
        <f>IFERROR(__xludf.DUMMYFUNCTION("GOOGLETRANSLATE(C817,""fr"",""en"")"),"I am satisfied with the service .
Very detailed site The prices are very affordable The choices offered are varied and this remains very interesting.
Thanking you.
Cordially")</f>
        <v>I am satisfied with the service .
Very detailed site The prices are very affordable The choices offered are varied and this remains very interesting.
Thanking you.
Cordially</v>
      </c>
    </row>
    <row r="818" ht="15.75" customHeight="1">
      <c r="A818" s="2">
        <v>3.0</v>
      </c>
      <c r="B818" s="2" t="s">
        <v>2291</v>
      </c>
      <c r="C818" s="2" t="s">
        <v>2292</v>
      </c>
      <c r="D818" s="2" t="s">
        <v>36</v>
      </c>
      <c r="E818" s="2" t="s">
        <v>14</v>
      </c>
      <c r="F818" s="2" t="s">
        <v>15</v>
      </c>
      <c r="G818" s="2" t="s">
        <v>26</v>
      </c>
      <c r="H818" s="2" t="s">
        <v>27</v>
      </c>
      <c r="I818" s="2" t="str">
        <f>IFERROR(__xludf.DUMMYFUNCTION("GOOGLETRANSLATE(C818,""fr"",""en"")"),"Apart from the computer bug of a few hours with my banking establishment, follow -up is effective in the technical service on the phone. Thank you to the operator who showed qualitative listening.")</f>
        <v>Apart from the computer bug of a few hours with my banking establishment, follow -up is effective in the technical service on the phone. Thank you to the operator who showed qualitative listening.</v>
      </c>
    </row>
    <row r="819" ht="15.75" customHeight="1">
      <c r="A819" s="2">
        <v>5.0</v>
      </c>
      <c r="B819" s="2" t="s">
        <v>2293</v>
      </c>
      <c r="C819" s="2" t="s">
        <v>2294</v>
      </c>
      <c r="D819" s="2" t="s">
        <v>13</v>
      </c>
      <c r="E819" s="2" t="s">
        <v>14</v>
      </c>
      <c r="F819" s="2" t="s">
        <v>15</v>
      </c>
      <c r="G819" s="2" t="s">
        <v>2295</v>
      </c>
      <c r="H819" s="2" t="s">
        <v>85</v>
      </c>
      <c r="I819" s="2" t="str">
        <f>IFERROR(__xludf.DUMMYFUNCTION("GOOGLETRANSLATE(C819,""fr"",""en"")"),"The phone advisers are always clear and precise.
The prices are very competitive and the conditions and other costs are clearly explained.")</f>
        <v>The phone advisers are always clear and precise.
The prices are very competitive and the conditions and other costs are clearly explained.</v>
      </c>
    </row>
    <row r="820" ht="15.75" customHeight="1">
      <c r="A820" s="2">
        <v>1.0</v>
      </c>
      <c r="B820" s="2" t="s">
        <v>2296</v>
      </c>
      <c r="C820" s="2" t="s">
        <v>2297</v>
      </c>
      <c r="D820" s="2" t="s">
        <v>842</v>
      </c>
      <c r="E820" s="2" t="s">
        <v>31</v>
      </c>
      <c r="F820" s="2" t="s">
        <v>15</v>
      </c>
      <c r="G820" s="2" t="s">
        <v>2298</v>
      </c>
      <c r="H820" s="2" t="s">
        <v>17</v>
      </c>
      <c r="I820" s="2" t="str">
        <f>IFERROR(__xludf.DUMMYFUNCTION("GOOGLETRANSLATE(C820,""fr"",""en"")"),"Customer service for the additional salary wages not friendly no kind no info on the amounts and dates of the payments which is the least of things a shame of not having access to these info")</f>
        <v>Customer service for the additional salary wages not friendly no kind no info on the amounts and dates of the payments which is the least of things a shame of not having access to these info</v>
      </c>
    </row>
    <row r="821" ht="15.75" customHeight="1">
      <c r="A821" s="2">
        <v>4.0</v>
      </c>
      <c r="B821" s="2" t="s">
        <v>2299</v>
      </c>
      <c r="C821" s="2" t="s">
        <v>2300</v>
      </c>
      <c r="D821" s="2" t="s">
        <v>36</v>
      </c>
      <c r="E821" s="2" t="s">
        <v>14</v>
      </c>
      <c r="F821" s="2" t="s">
        <v>15</v>
      </c>
      <c r="G821" s="2" t="s">
        <v>1048</v>
      </c>
      <c r="H821" s="2" t="s">
        <v>171</v>
      </c>
      <c r="I821" s="2" t="str">
        <f>IFERROR(__xludf.DUMMYFUNCTION("GOOGLETRANSLATE(C821,""fr"",""en"")"),"I am very satisfied with the price for the insure of my new car. Very easy to make lasure on the site. I hope all is going well :)")</f>
        <v>I am very satisfied with the price for the insure of my new car. Very easy to make lasure on the site. I hope all is going well :)</v>
      </c>
    </row>
    <row r="822" ht="15.75" customHeight="1">
      <c r="A822" s="2">
        <v>4.0</v>
      </c>
      <c r="B822" s="2" t="s">
        <v>2301</v>
      </c>
      <c r="C822" s="2" t="s">
        <v>2302</v>
      </c>
      <c r="D822" s="2" t="s">
        <v>13</v>
      </c>
      <c r="E822" s="2" t="s">
        <v>14</v>
      </c>
      <c r="F822" s="2" t="s">
        <v>15</v>
      </c>
      <c r="G822" s="2" t="s">
        <v>1235</v>
      </c>
      <c r="H822" s="2" t="s">
        <v>27</v>
      </c>
      <c r="I822" s="2" t="str">
        <f>IFERROR(__xludf.DUMMYFUNCTION("GOOGLETRANSLATE(C822,""fr"",""en"")"),"I am quite happy with the service and the speed of the execution for the establishment of the quote and the drafting of the insurance contract. Cordially")</f>
        <v>I am quite happy with the service and the speed of the execution for the establishment of the quote and the drafting of the insurance contract. Cordially</v>
      </c>
    </row>
    <row r="823" ht="15.75" customHeight="1">
      <c r="A823" s="2">
        <v>2.0</v>
      </c>
      <c r="B823" s="2" t="s">
        <v>2303</v>
      </c>
      <c r="C823" s="2" t="s">
        <v>2304</v>
      </c>
      <c r="D823" s="2" t="s">
        <v>36</v>
      </c>
      <c r="E823" s="2" t="s">
        <v>37</v>
      </c>
      <c r="F823" s="2" t="s">
        <v>15</v>
      </c>
      <c r="G823" s="2" t="s">
        <v>2305</v>
      </c>
      <c r="H823" s="2" t="s">
        <v>255</v>
      </c>
      <c r="I823" s="2" t="str">
        <f>IFERROR(__xludf.DUMMYFUNCTION("GOOGLETRANSLATE(C823,""fr"",""en"")"),"Very bad customer service. No listening. Impossible to have a manager despite repeated errors from the company.")</f>
        <v>Very bad customer service. No listening. Impossible to have a manager despite repeated errors from the company.</v>
      </c>
    </row>
    <row r="824" ht="15.75" customHeight="1">
      <c r="A824" s="2">
        <v>3.0</v>
      </c>
      <c r="B824" s="2" t="s">
        <v>2306</v>
      </c>
      <c r="C824" s="2" t="s">
        <v>2307</v>
      </c>
      <c r="D824" s="2" t="s">
        <v>50</v>
      </c>
      <c r="E824" s="2" t="s">
        <v>51</v>
      </c>
      <c r="F824" s="2" t="s">
        <v>15</v>
      </c>
      <c r="G824" s="2" t="s">
        <v>98</v>
      </c>
      <c r="H824" s="2" t="s">
        <v>47</v>
      </c>
      <c r="I824" s="2" t="str">
        <f>IFERROR(__xludf.DUMMYFUNCTION("GOOGLETRANSLATE(C824,""fr"",""en"")"),"April Moto or April mytho is the same one there is no difference ... I had subscribed to a 0km + troubleshooting option and in addition an option of my option which allowed me to have a replacement vehicle if ever my vehicle was immobilized. Raissed vehic"&amp;"le on 25/05 I brought it to the garage by my own care because I could do it on 01/06 and for more than 2 weeks I say it made wrapped by world assistance operators and people from April Moto Moto In order to try to have a replacement vehicle so -called my "&amp;"contract does not benefit from this option while to collect my money on 05/06 there was no problem with the option included in the price of the Insurance of course .... so still nothing tired of the situation I abandoned I clearly recommend this insurer b"&amp;"ecause at the slightest concerns they will all do so as not to fill their shares on the market I prefer to pay 50 euros more expensive elsewhere and Have real concrete acts that insurance that sells you quality at a lower price but which do not even fill "&amp;"half of their share of work when a disaster arrives ....")</f>
        <v>April Moto or April mytho is the same one there is no difference ... I had subscribed to a 0km + troubleshooting option and in addition an option of my option which allowed me to have a replacement vehicle if ever my vehicle was immobilized. Raissed vehicle on 25/05 I brought it to the garage by my own care because I could do it on 01/06 and for more than 2 weeks I say it made wrapped by world assistance operators and people from April Moto Moto In order to try to have a replacement vehicle so -called my contract does not benefit from this option while to collect my money on 05/06 there was no problem with the option included in the price of the Insurance of course .... so still nothing tired of the situation I abandoned I clearly recommend this insurer because at the slightest concerns they will all do so as not to fill their shares on the market I prefer to pay 50 euros more expensive elsewhere and Have real concrete acts that insurance that sells you quality at a lower price but which do not even fill half of their share of work when a disaster arrives ....</v>
      </c>
    </row>
    <row r="825" ht="15.75" customHeight="1">
      <c r="A825" s="2">
        <v>4.0</v>
      </c>
      <c r="B825" s="2" t="s">
        <v>2308</v>
      </c>
      <c r="C825" s="2" t="s">
        <v>2309</v>
      </c>
      <c r="D825" s="2" t="s">
        <v>36</v>
      </c>
      <c r="E825" s="2" t="s">
        <v>14</v>
      </c>
      <c r="F825" s="2" t="s">
        <v>15</v>
      </c>
      <c r="G825" s="2" t="s">
        <v>441</v>
      </c>
      <c r="H825" s="2" t="s">
        <v>33</v>
      </c>
      <c r="I825" s="2" t="str">
        <f>IFERROR(__xludf.DUMMYFUNCTION("GOOGLETRANSLATE(C825,""fr"",""en"")"),"I am satisfied with your services. The prices are correct and there is a very detailed follow -up.
A maximum of guarantees at the same rates would be just perfect.")</f>
        <v>I am satisfied with your services. The prices are correct and there is a very detailed follow -up.
A maximum of guarantees at the same rates would be just perfect.</v>
      </c>
    </row>
    <row r="826" ht="15.75" customHeight="1">
      <c r="A826" s="2">
        <v>3.0</v>
      </c>
      <c r="B826" s="2" t="s">
        <v>2310</v>
      </c>
      <c r="C826" s="2" t="s">
        <v>2311</v>
      </c>
      <c r="D826" s="2" t="s">
        <v>211</v>
      </c>
      <c r="E826" s="2" t="s">
        <v>31</v>
      </c>
      <c r="F826" s="2" t="s">
        <v>15</v>
      </c>
      <c r="G826" s="2" t="s">
        <v>1579</v>
      </c>
      <c r="H826" s="2" t="s">
        <v>145</v>
      </c>
      <c r="I826" s="2" t="str">
        <f>IFERROR(__xludf.DUMMYFUNCTION("GOOGLETRANSLATE(C826,""fr"",""en"")"),"The prices are attractive but the services on the reimbursement of certain products are a little just I was very well informed by Balde but I always attract my identifiers")</f>
        <v>The prices are attractive but the services on the reimbursement of certain products are a little just I was very well informed by Balde but I always attract my identifiers</v>
      </c>
    </row>
    <row r="827" ht="15.75" customHeight="1">
      <c r="A827" s="2">
        <v>2.0</v>
      </c>
      <c r="B827" s="2" t="s">
        <v>2312</v>
      </c>
      <c r="C827" s="2" t="s">
        <v>2313</v>
      </c>
      <c r="D827" s="2" t="s">
        <v>125</v>
      </c>
      <c r="E827" s="2" t="s">
        <v>37</v>
      </c>
      <c r="F827" s="2" t="s">
        <v>15</v>
      </c>
      <c r="G827" s="2" t="s">
        <v>2314</v>
      </c>
      <c r="H827" s="2" t="s">
        <v>276</v>
      </c>
      <c r="I827" s="2" t="str">
        <f>IFERROR(__xludf.DUMMYFUNCTION("GOOGLETRANSLATE(C827,""fr"",""en"")"),"Filming for more than 40 years at the GMF, victims in August 2018 of a major disaster on our home, we have suffered since that date an incurse and a lack of consideration likely to constitute a second claim.
So we left this insurer and mandated a lawyer."&amp;" More information here: https://assurementhuman.blogspot.com/2020/02/gmfassuredepasse.html")</f>
        <v>Filming for more than 40 years at the GMF, victims in August 2018 of a major disaster on our home, we have suffered since that date an incurse and a lack of consideration likely to constitute a second claim.
So we left this insurer and mandated a lawyer. More information here: https://assurementhuman.blogspot.com/2020/02/gmfassuredepasse.html</v>
      </c>
    </row>
    <row r="828" ht="15.75" customHeight="1">
      <c r="A828" s="2">
        <v>3.0</v>
      </c>
      <c r="B828" s="2" t="s">
        <v>2315</v>
      </c>
      <c r="C828" s="2" t="s">
        <v>2316</v>
      </c>
      <c r="D828" s="2" t="s">
        <v>36</v>
      </c>
      <c r="E828" s="2" t="s">
        <v>14</v>
      </c>
      <c r="F828" s="2" t="s">
        <v>15</v>
      </c>
      <c r="G828" s="2" t="s">
        <v>84</v>
      </c>
      <c r="H828" s="2" t="s">
        <v>85</v>
      </c>
      <c r="I828" s="2" t="str">
        <f>IFERROR(__xludf.DUMMYFUNCTION("GOOGLETRANSLATE(C828,""fr"",""en"")"),"Impossible to simply change a change of home or work address. or make a change of contract (go from mini to all risks.)")</f>
        <v>Impossible to simply change a change of home or work address. or make a change of contract (go from mini to all risks.)</v>
      </c>
    </row>
    <row r="829" ht="15.75" customHeight="1">
      <c r="A829" s="2">
        <v>1.0</v>
      </c>
      <c r="B829" s="2" t="s">
        <v>2317</v>
      </c>
      <c r="C829" s="2" t="s">
        <v>2318</v>
      </c>
      <c r="D829" s="2" t="s">
        <v>36</v>
      </c>
      <c r="E829" s="2" t="s">
        <v>14</v>
      </c>
      <c r="F829" s="2" t="s">
        <v>15</v>
      </c>
      <c r="G829" s="2" t="s">
        <v>675</v>
      </c>
      <c r="H829" s="2" t="s">
        <v>171</v>
      </c>
      <c r="I829" s="2" t="str">
        <f>IFERROR(__xludf.DUMMYFUNCTION("GOOGLETRANSLATE(C829,""fr"",""en"")"),"My annual rate increases while my bonus also increases. Difficult to reach an advisor to explain it to me. My other GMF insurer has made no increase in its side so who can explain it to me?")</f>
        <v>My annual rate increases while my bonus also increases. Difficult to reach an advisor to explain it to me. My other GMF insurer has made no increase in its side so who can explain it to me?</v>
      </c>
    </row>
    <row r="830" ht="15.75" customHeight="1">
      <c r="A830" s="2">
        <v>1.0</v>
      </c>
      <c r="B830" s="2" t="s">
        <v>2319</v>
      </c>
      <c r="C830" s="2" t="s">
        <v>2320</v>
      </c>
      <c r="D830" s="2" t="s">
        <v>340</v>
      </c>
      <c r="E830" s="2" t="s">
        <v>200</v>
      </c>
      <c r="F830" s="2" t="s">
        <v>15</v>
      </c>
      <c r="G830" s="2" t="s">
        <v>2321</v>
      </c>
      <c r="H830" s="2" t="s">
        <v>400</v>
      </c>
      <c r="I830" s="2" t="str">
        <f>IFERROR(__xludf.DUMMYFUNCTION("GOOGLETRANSLATE(C830,""fr"",""en"")"),"Hello, I contracted a loan on 09/27/2015. On 04/04/2016 The CPAM retroactively notifies my ALD, that is to say on 09/17/2015 (date of visit to my angiologist) so before the signing of the contract. Sogecap refuses me to take care of my monthly payments fo"&amp;"r 360 JRS for not having declared a disease whose character I did not know and for which I was not in treatment since hospitalized in April 2016. They therefore cancel my membership, refuse to industrial me and refuse to reimburse me the contributions, i."&amp;"e. € 1266.19 paid since the start date of the contract. The questions I ask myself are then as follows:
1 - Knowing that I will initiate a procedure, why would Sogecap resist a sum of 4369.92 € while mandating a lawyer is much more expensive?
2 - Why do"&amp;" they refuse to restore my contributions to me if membership is canceled on their own?
3 - Is the mediator listened to?
4 - Once utopia has been dissipated, how can you believe in a better world when after you have notified you your disability and your "&amp;"handicap are you passing you for a cheater that deserves to be left on the straw?
Cordially")</f>
        <v>Hello, I contracted a loan on 09/27/2015. On 04/04/2016 The CPAM retroactively notifies my ALD, that is to say on 09/17/2015 (date of visit to my angiologist) so before the signing of the contract. Sogecap refuses me to take care of my monthly payments for 360 JRS for not having declared a disease whose character I did not know and for which I was not in treatment since hospitalized in April 2016. They therefore cancel my membership, refuse to industrial me and refuse to reimburse me the contributions, i.e. € 1266.19 paid since the start date of the contract. The questions I ask myself are then as follows:
1 - Knowing that I will initiate a procedure, why would Sogecap resist a sum of 4369.92 € while mandating a lawyer is much more expensive?
2 - Why do they refuse to restore my contributions to me if membership is canceled on their own?
3 - Is the mediator listened to?
4 - Once utopia has been dissipated, how can you believe in a better world when after you have notified you your disability and your handicap are you passing you for a cheater that deserves to be left on the straw?
Cordially</v>
      </c>
    </row>
    <row r="831" ht="15.75" customHeight="1">
      <c r="A831" s="2">
        <v>5.0</v>
      </c>
      <c r="B831" s="2" t="s">
        <v>2322</v>
      </c>
      <c r="C831" s="2" t="s">
        <v>2323</v>
      </c>
      <c r="D831" s="2" t="s">
        <v>36</v>
      </c>
      <c r="E831" s="2" t="s">
        <v>14</v>
      </c>
      <c r="F831" s="2" t="s">
        <v>15</v>
      </c>
      <c r="G831" s="2" t="s">
        <v>2324</v>
      </c>
      <c r="H831" s="2" t="s">
        <v>85</v>
      </c>
      <c r="I831" s="2" t="str">
        <f>IFERROR(__xludf.DUMMYFUNCTION("GOOGLETRANSLATE(C831,""fr"",""en"")"),"Good value for money. Ease of insurance Ace the site, simple, practical and net.
We will see in use if the right cabbage is done but it seems reasonable.")</f>
        <v>Good value for money. Ease of insurance Ace the site, simple, practical and net.
We will see in use if the right cabbage is done but it seems reasonable.</v>
      </c>
    </row>
    <row r="832" ht="15.75" customHeight="1">
      <c r="A832" s="2">
        <v>4.0</v>
      </c>
      <c r="B832" s="2" t="s">
        <v>2325</v>
      </c>
      <c r="C832" s="2" t="s">
        <v>2326</v>
      </c>
      <c r="D832" s="2" t="s">
        <v>13</v>
      </c>
      <c r="E832" s="2" t="s">
        <v>14</v>
      </c>
      <c r="F832" s="2" t="s">
        <v>15</v>
      </c>
      <c r="G832" s="2" t="s">
        <v>261</v>
      </c>
      <c r="H832" s="2" t="s">
        <v>27</v>
      </c>
      <c r="I832" s="2" t="str">
        <f>IFERROR(__xludf.DUMMYFUNCTION("GOOGLETRANSLATE(C832,""fr"",""en"")"),"Prices suit me compared to my previous insurer AXA
Honesty when it comes to the guaranteed value
Impeccable internet service and easy to fill
Speed ​​and in accordance with my expectations
")</f>
        <v>Prices suit me compared to my previous insurer AXA
Honesty when it comes to the guaranteed value
Impeccable internet service and easy to fill
Speed ​​and in accordance with my expectations
</v>
      </c>
    </row>
    <row r="833" ht="15.75" customHeight="1">
      <c r="A833" s="2">
        <v>1.0</v>
      </c>
      <c r="B833" s="2" t="s">
        <v>2327</v>
      </c>
      <c r="C833" s="2" t="s">
        <v>2328</v>
      </c>
      <c r="D833" s="2" t="s">
        <v>300</v>
      </c>
      <c r="E833" s="2" t="s">
        <v>121</v>
      </c>
      <c r="F833" s="2" t="s">
        <v>15</v>
      </c>
      <c r="G833" s="2" t="s">
        <v>2329</v>
      </c>
      <c r="H833" s="2" t="s">
        <v>269</v>
      </c>
      <c r="I833" s="2" t="str">
        <f>IFERROR(__xludf.DUMMYFUNCTION("GOOGLETRANSLATE(C833,""fr"",""en"")"),"Our mother died in November 2018, we were contacted by the Carac in June 2021 for any account balance. All the requested papers were returned in September 2021, we are still awaiting payment and after 2 telephone calls (for information The amount to be pa"&amp;"id is around 45 euros)
Do your job !!!!!")</f>
        <v>Our mother died in November 2018, we were contacted by the Carac in June 2021 for any account balance. All the requested papers were returned in September 2021, we are still awaiting payment and after 2 telephone calls (for information The amount to be paid is around 45 euros)
Do your job !!!!!</v>
      </c>
    </row>
    <row r="834" ht="15.75" customHeight="1">
      <c r="A834" s="2">
        <v>4.0</v>
      </c>
      <c r="B834" s="2" t="s">
        <v>2330</v>
      </c>
      <c r="C834" s="2" t="s">
        <v>2331</v>
      </c>
      <c r="D834" s="2" t="s">
        <v>55</v>
      </c>
      <c r="E834" s="2" t="s">
        <v>37</v>
      </c>
      <c r="F834" s="2" t="s">
        <v>15</v>
      </c>
      <c r="G834" s="2" t="s">
        <v>2332</v>
      </c>
      <c r="H834" s="2" t="s">
        <v>178</v>
      </c>
      <c r="I834" s="2" t="str">
        <f>IFERROR(__xludf.DUMMYFUNCTION("GOOGLETRANSLATE(C834,""fr"",""en"")"),"Sinister 5593901907
Despite many of the negative opinions - I am very satisfied with his intervention (except the absolutely unreachable customer service number).
Only fats:
Storm loss date: 02/13/2020
Date of main compensation: 05/25/2020
Date of de"&amp;"ferred compensation: 30/10/2020
Really not bad.")</f>
        <v>Sinister 5593901907
Despite many of the negative opinions - I am very satisfied with his intervention (except the absolutely unreachable customer service number).
Only fats:
Storm loss date: 02/13/2020
Date of main compensation: 05/25/2020
Date of deferred compensation: 30/10/2020
Really not bad.</v>
      </c>
    </row>
    <row r="835" ht="15.75" customHeight="1">
      <c r="A835" s="2">
        <v>4.0</v>
      </c>
      <c r="B835" s="2" t="s">
        <v>2333</v>
      </c>
      <c r="C835" s="2" t="s">
        <v>2334</v>
      </c>
      <c r="D835" s="2" t="s">
        <v>13</v>
      </c>
      <c r="E835" s="2" t="s">
        <v>14</v>
      </c>
      <c r="F835" s="2" t="s">
        <v>15</v>
      </c>
      <c r="G835" s="2" t="s">
        <v>2335</v>
      </c>
      <c r="H835" s="2" t="s">
        <v>33</v>
      </c>
      <c r="I835" s="2" t="str">
        <f>IFERROR(__xludf.DUMMYFUNCTION("GOOGLETRANSLATE(C835,""fr"",""en"")"),"The request for a quote is simple. The content of the quote is clear. Ease of subscription is there. In short speed, simplicity, clarity, competitiveness ...")</f>
        <v>The request for a quote is simple. The content of the quote is clear. Ease of subscription is there. In short speed, simplicity, clarity, competitiveness ...</v>
      </c>
    </row>
    <row r="836" ht="15.75" customHeight="1">
      <c r="A836" s="2">
        <v>4.0</v>
      </c>
      <c r="B836" s="2" t="s">
        <v>2336</v>
      </c>
      <c r="C836" s="2" t="s">
        <v>2337</v>
      </c>
      <c r="D836" s="2" t="s">
        <v>13</v>
      </c>
      <c r="E836" s="2" t="s">
        <v>14</v>
      </c>
      <c r="F836" s="2" t="s">
        <v>15</v>
      </c>
      <c r="G836" s="2" t="s">
        <v>268</v>
      </c>
      <c r="H836" s="2" t="s">
        <v>269</v>
      </c>
      <c r="I836" s="2" t="str">
        <f>IFERROR(__xludf.DUMMYFUNCTION("GOOGLETRANSLATE(C836,""fr"",""en"")"),"I am satisfied with the welcome, easy to get a person on the phone
Very fast, efficient and reachable service on Saturday
Interesting rates, hoping that the rest is just as positive")</f>
        <v>I am satisfied with the welcome, easy to get a person on the phone
Very fast, efficient and reachable service on Saturday
Interesting rates, hoping that the rest is just as positive</v>
      </c>
    </row>
    <row r="837" ht="15.75" customHeight="1">
      <c r="A837" s="2">
        <v>5.0</v>
      </c>
      <c r="B837" s="2" t="s">
        <v>2338</v>
      </c>
      <c r="C837" s="2" t="s">
        <v>2339</v>
      </c>
      <c r="D837" s="2" t="s">
        <v>36</v>
      </c>
      <c r="E837" s="2" t="s">
        <v>14</v>
      </c>
      <c r="F837" s="2" t="s">
        <v>15</v>
      </c>
      <c r="G837" s="2" t="s">
        <v>2080</v>
      </c>
      <c r="H837" s="2" t="s">
        <v>27</v>
      </c>
      <c r="I837" s="2" t="str">
        <f>IFERROR(__xludf.DUMMYFUNCTION("GOOGLETRANSLATE(C837,""fr"",""en"")"),"Rather satisfied with the speed of service and price. Cordially. I look forward to the unofficial documents. Other than that, I have nothing more to add.")</f>
        <v>Rather satisfied with the speed of service and price. Cordially. I look forward to the unofficial documents. Other than that, I have nothing more to add.</v>
      </c>
    </row>
    <row r="838" ht="15.75" customHeight="1">
      <c r="A838" s="2">
        <v>3.0</v>
      </c>
      <c r="B838" s="2" t="s">
        <v>2340</v>
      </c>
      <c r="C838" s="2" t="s">
        <v>2341</v>
      </c>
      <c r="D838" s="2" t="s">
        <v>211</v>
      </c>
      <c r="E838" s="2" t="s">
        <v>31</v>
      </c>
      <c r="F838" s="2" t="s">
        <v>15</v>
      </c>
      <c r="G838" s="2" t="s">
        <v>2342</v>
      </c>
      <c r="H838" s="2" t="s">
        <v>313</v>
      </c>
      <c r="I838" s="2" t="str">
        <f>IFERROR(__xludf.DUMMYFUNCTION("GOOGLETRANSLATE(C838,""fr"",""en"")"),"Thanks to Yassine for her advice for the cancellation of an unconted contract.")</f>
        <v>Thanks to Yassine for her advice for the cancellation of an unconted contract.</v>
      </c>
    </row>
    <row r="839" ht="15.75" customHeight="1">
      <c r="A839" s="2">
        <v>5.0</v>
      </c>
      <c r="B839" s="2" t="s">
        <v>2343</v>
      </c>
      <c r="C839" s="2" t="s">
        <v>2344</v>
      </c>
      <c r="D839" s="2" t="s">
        <v>211</v>
      </c>
      <c r="E839" s="2" t="s">
        <v>31</v>
      </c>
      <c r="F839" s="2" t="s">
        <v>15</v>
      </c>
      <c r="G839" s="2" t="s">
        <v>2345</v>
      </c>
      <c r="H839" s="2" t="s">
        <v>39</v>
      </c>
      <c r="I839" s="2" t="str">
        <f>IFERROR(__xludf.DUMMYFUNCTION("GOOGLETRANSLATE(C839,""fr"",""en"")"),"Hello I was with April for 5 years with increases each year also 2nd franchise on each Utisation of the card. A neoliane advisor called me. He offered me the contract since I am quiet")</f>
        <v>Hello I was with April for 5 years with increases each year also 2nd franchise on each Utisation of the card. A neoliane advisor called me. He offered me the contract since I am quiet</v>
      </c>
    </row>
    <row r="840" ht="15.75" customHeight="1">
      <c r="A840" s="2">
        <v>3.0</v>
      </c>
      <c r="B840" s="2" t="s">
        <v>2346</v>
      </c>
      <c r="C840" s="2" t="s">
        <v>2347</v>
      </c>
      <c r="D840" s="2" t="s">
        <v>36</v>
      </c>
      <c r="E840" s="2" t="s">
        <v>14</v>
      </c>
      <c r="F840" s="2" t="s">
        <v>15</v>
      </c>
      <c r="G840" s="2" t="s">
        <v>2348</v>
      </c>
      <c r="H840" s="2" t="s">
        <v>43</v>
      </c>
      <c r="I840" s="2" t="str">
        <f>IFERROR(__xludf.DUMMYFUNCTION("GOOGLETRANSLATE(C840,""fr"",""en"")"),"I am satisfied with the service but I find that still know a little expensive.
A little effort on your part at the price level would completely change the situation")</f>
        <v>I am satisfied with the service but I find that still know a little expensive.
A little effort on your part at the price level would completely change the situation</v>
      </c>
    </row>
    <row r="841" ht="15.75" customHeight="1">
      <c r="A841" s="2">
        <v>4.0</v>
      </c>
      <c r="B841" s="2" t="s">
        <v>2349</v>
      </c>
      <c r="C841" s="2" t="s">
        <v>2350</v>
      </c>
      <c r="D841" s="2" t="s">
        <v>13</v>
      </c>
      <c r="E841" s="2" t="s">
        <v>14</v>
      </c>
      <c r="F841" s="2" t="s">
        <v>15</v>
      </c>
      <c r="G841" s="2" t="s">
        <v>992</v>
      </c>
      <c r="H841" s="2" t="s">
        <v>43</v>
      </c>
      <c r="I841" s="2" t="str">
        <f>IFERROR(__xludf.DUMMYFUNCTION("GOOGLETRANSLATE(C841,""fr"",""en"")"),"The price is very attractive, there is a real difference at this level among many insurance companies. This is what makes me subscribe to you.")</f>
        <v>The price is very attractive, there is a real difference at this level among many insurance companies. This is what makes me subscribe to you.</v>
      </c>
    </row>
    <row r="842" ht="15.75" customHeight="1">
      <c r="A842" s="2">
        <v>5.0</v>
      </c>
      <c r="B842" s="2" t="s">
        <v>2351</v>
      </c>
      <c r="C842" s="2" t="s">
        <v>2352</v>
      </c>
      <c r="D842" s="2" t="s">
        <v>211</v>
      </c>
      <c r="E842" s="2" t="s">
        <v>31</v>
      </c>
      <c r="F842" s="2" t="s">
        <v>15</v>
      </c>
      <c r="G842" s="2" t="s">
        <v>2353</v>
      </c>
      <c r="H842" s="2" t="s">
        <v>62</v>
      </c>
      <c r="I842" s="2" t="str">
        <f>IFERROR(__xludf.DUMMYFUNCTION("GOOGLETRANSLATE(C842,""fr"",""en"")"),"Entitly satisfied with our interview with your advisor, both in terms of company cover services and the professionalism of my interlocutor, everything has been clearly defined.")</f>
        <v>Entitly satisfied with our interview with your advisor, both in terms of company cover services and the professionalism of my interlocutor, everything has been clearly defined.</v>
      </c>
    </row>
    <row r="843" ht="15.75" customHeight="1">
      <c r="A843" s="2">
        <v>4.0</v>
      </c>
      <c r="B843" s="2" t="s">
        <v>2354</v>
      </c>
      <c r="C843" s="2" t="s">
        <v>2355</v>
      </c>
      <c r="D843" s="2" t="s">
        <v>80</v>
      </c>
      <c r="E843" s="2" t="s">
        <v>14</v>
      </c>
      <c r="F843" s="2" t="s">
        <v>15</v>
      </c>
      <c r="G843" s="2" t="s">
        <v>98</v>
      </c>
      <c r="H843" s="2" t="s">
        <v>47</v>
      </c>
      <c r="I843" s="2" t="str">
        <f>IFERROR(__xludf.DUMMYFUNCTION("GOOGLETRANSLATE(C843,""fr"",""en"")"),"Still a little expensive we are forced to play the competition to lower prices is a shame
In addition when we are insured at the MAAF we have the impression of being part of the walls we no longer offer us any advantage !!!
Attention")</f>
        <v>Still a little expensive we are forced to play the competition to lower prices is a shame
In addition when we are insured at the MAAF we have the impression of being part of the walls we no longer offer us any advantage !!!
Attention</v>
      </c>
    </row>
    <row r="844" ht="15.75" customHeight="1">
      <c r="A844" s="2">
        <v>1.0</v>
      </c>
      <c r="B844" s="2" t="s">
        <v>2356</v>
      </c>
      <c r="C844" s="2" t="s">
        <v>2357</v>
      </c>
      <c r="D844" s="2" t="s">
        <v>36</v>
      </c>
      <c r="E844" s="2" t="s">
        <v>37</v>
      </c>
      <c r="F844" s="2" t="s">
        <v>15</v>
      </c>
      <c r="G844" s="2" t="s">
        <v>101</v>
      </c>
      <c r="H844" s="2" t="s">
        <v>85</v>
      </c>
      <c r="I844" s="2" t="str">
        <f>IFERROR(__xludf.DUMMYFUNCTION("GOOGLETRANSLATE(C844,""fr"",""en"")"),"I have been fighting for more than 5 weeks with them for water damage, it's scandalous they do everything to drag and not reimburse, incompetent who do not know their profession and unreachable.
Go quickly or never come there")</f>
        <v>I have been fighting for more than 5 weeks with them for water damage, it's scandalous they do everything to drag and not reimburse, incompetent who do not know their profession and unreachable.
Go quickly or never come there</v>
      </c>
    </row>
    <row r="845" ht="15.75" customHeight="1">
      <c r="A845" s="2">
        <v>1.0</v>
      </c>
      <c r="B845" s="2" t="s">
        <v>2358</v>
      </c>
      <c r="C845" s="2" t="s">
        <v>2359</v>
      </c>
      <c r="D845" s="2" t="s">
        <v>80</v>
      </c>
      <c r="E845" s="2" t="s">
        <v>14</v>
      </c>
      <c r="F845" s="2" t="s">
        <v>15</v>
      </c>
      <c r="G845" s="2" t="s">
        <v>2360</v>
      </c>
      <c r="H845" s="2" t="s">
        <v>1319</v>
      </c>
      <c r="I845" s="2" t="str">
        <f>IFERROR(__xludf.DUMMYFUNCTION("GOOGLETRANSLATE(C845,""fr"",""en"")"),"hello
Increase of 8% in 2017 and 6% in 2018
While a zero loss. Make quotes to change insurance now seems necessary to me
I have the maximum bonus and for life but at what price in the years to come?")</f>
        <v>hello
Increase of 8% in 2017 and 6% in 2018
While a zero loss. Make quotes to change insurance now seems necessary to me
I have the maximum bonus and for life but at what price in the years to come?</v>
      </c>
    </row>
    <row r="846" ht="15.75" customHeight="1">
      <c r="A846" s="2">
        <v>5.0</v>
      </c>
      <c r="B846" s="2" t="s">
        <v>2361</v>
      </c>
      <c r="C846" s="2" t="s">
        <v>2362</v>
      </c>
      <c r="D846" s="2" t="s">
        <v>143</v>
      </c>
      <c r="E846" s="2" t="s">
        <v>31</v>
      </c>
      <c r="F846" s="2" t="s">
        <v>15</v>
      </c>
      <c r="G846" s="2" t="s">
        <v>2363</v>
      </c>
      <c r="H846" s="2" t="s">
        <v>145</v>
      </c>
      <c r="I846" s="2" t="str">
        <f>IFERROR(__xludf.DUMMYFUNCTION("GOOGLETRANSLATE(C846,""fr"",""en"")"),"Hello I am delighted with your service and the price hoping to be very satisfied because I am not a mutual insurance company and I am very delighted to be among you")</f>
        <v>Hello I am delighted with your service and the price hoping to be very satisfied because I am not a mutual insurance company and I am very delighted to be among you</v>
      </c>
    </row>
    <row r="847" ht="15.75" customHeight="1">
      <c r="A847" s="2">
        <v>1.0</v>
      </c>
      <c r="B847" s="2" t="s">
        <v>2364</v>
      </c>
      <c r="C847" s="2" t="s">
        <v>2365</v>
      </c>
      <c r="D847" s="2" t="s">
        <v>304</v>
      </c>
      <c r="E847" s="2" t="s">
        <v>21</v>
      </c>
      <c r="F847" s="2" t="s">
        <v>15</v>
      </c>
      <c r="G847" s="2" t="s">
        <v>2366</v>
      </c>
      <c r="H847" s="2" t="s">
        <v>387</v>
      </c>
      <c r="I847" s="2" t="str">
        <f>IFERROR(__xludf.DUMMYFUNCTION("GOOGLETRANSLATE(C847,""fr"",""en"")"),"Too bad we can't put a 0 !!!
I have been a BNP customer for almost 30 years and of course they recommended me cardif for life insurance. In addition to outrageous costs for subscription (4.5 % !!!) renegotiated after many reminders, I learn that for a ta"&amp;"keover it takes 10 to 15 days for the value date. Being on UCs on dynamic markets I wanted to benefit from the rise in the markets to make a partial acquisition, it is announced to me between 10 and 15 days for the value date, so if there is a significant"&amp;" drop I will be penalized , but I am sure that if there is an increase they will be able to choose the date that will suit them best !!!
In addition, the info is not concordant between my advisor, the telephone service and another advisor. So I looked on"&amp;" their site, it is impossible to have the membership instructions where there should be the CGs.
In summary, flee Cardif ... unless you have a crystal ball that will allow you to predict market fluctuations")</f>
        <v>Too bad we can't put a 0 !!!
I have been a BNP customer for almost 30 years and of course they recommended me cardif for life insurance. In addition to outrageous costs for subscription (4.5 % !!!) renegotiated after many reminders, I learn that for a takeover it takes 10 to 15 days for the value date. Being on UCs on dynamic markets I wanted to benefit from the rise in the markets to make a partial acquisition, it is announced to me between 10 and 15 days for the value date, so if there is a significant drop I will be penalized , but I am sure that if there is an increase they will be able to choose the date that will suit them best !!!
In addition, the info is not concordant between my advisor, the telephone service and another advisor. So I looked on their site, it is impossible to have the membership instructions where there should be the CGs.
In summary, flee Cardif ... unless you have a crystal ball that will allow you to predict market fluctuations</v>
      </c>
    </row>
    <row r="848" ht="15.75" customHeight="1">
      <c r="A848" s="2">
        <v>1.0</v>
      </c>
      <c r="B848" s="2" t="s">
        <v>2367</v>
      </c>
      <c r="C848" s="2" t="s">
        <v>2368</v>
      </c>
      <c r="D848" s="2" t="s">
        <v>80</v>
      </c>
      <c r="E848" s="2" t="s">
        <v>14</v>
      </c>
      <c r="F848" s="2" t="s">
        <v>15</v>
      </c>
      <c r="G848" s="2" t="s">
        <v>2369</v>
      </c>
      <c r="H848" s="2" t="s">
        <v>1319</v>
      </c>
      <c r="I848" s="2" t="str">
        <f>IFERROR(__xludf.DUMMYFUNCTION("GOOGLETRANSLATE(C848,""fr"",""en"")"),"Insured for more than 10 years without any problem and an accident where I am not wrongly and no longer having anyone responds to the phone when we pretend or we remind you during the day and nothing! A disaster so be vigilant")</f>
        <v>Insured for more than 10 years without any problem and an accident where I am not wrongly and no longer having anyone responds to the phone when we pretend or we remind you during the day and nothing! A disaster so be vigilant</v>
      </c>
    </row>
    <row r="849" ht="15.75" customHeight="1">
      <c r="A849" s="2">
        <v>5.0</v>
      </c>
      <c r="B849" s="2" t="s">
        <v>2370</v>
      </c>
      <c r="C849" s="2" t="s">
        <v>2371</v>
      </c>
      <c r="D849" s="2" t="s">
        <v>13</v>
      </c>
      <c r="E849" s="2" t="s">
        <v>14</v>
      </c>
      <c r="F849" s="2" t="s">
        <v>15</v>
      </c>
      <c r="G849" s="2" t="s">
        <v>26</v>
      </c>
      <c r="H849" s="2" t="s">
        <v>27</v>
      </c>
      <c r="I849" s="2" t="str">
        <f>IFERROR(__xludf.DUMMYFUNCTION("GOOGLETRANSLATE(C849,""fr"",""en"")"),"Very satisfied for the moment of this insurance. The prices are very competitive.
The very pleasant and competent staff on the phone.
I recommend.")</f>
        <v>Very satisfied for the moment of this insurance. The prices are very competitive.
The very pleasant and competent staff on the phone.
I recommend.</v>
      </c>
    </row>
    <row r="850" ht="15.75" customHeight="1">
      <c r="A850" s="2">
        <v>5.0</v>
      </c>
      <c r="B850" s="2" t="s">
        <v>2372</v>
      </c>
      <c r="C850" s="2" t="s">
        <v>2373</v>
      </c>
      <c r="D850" s="2" t="s">
        <v>36</v>
      </c>
      <c r="E850" s="2" t="s">
        <v>14</v>
      </c>
      <c r="F850" s="2" t="s">
        <v>15</v>
      </c>
      <c r="G850" s="2" t="s">
        <v>749</v>
      </c>
      <c r="H850" s="2" t="s">
        <v>171</v>
      </c>
      <c r="I850" s="2" t="str">
        <f>IFERROR(__xludf.DUMMYFUNCTION("GOOGLETRANSLATE(C850,""fr"",""en"")"),"inexpensive and fast and fast service, I recommend direct insurance, I put my home contract there and when I have a motorcycle, motorcycle insurance")</f>
        <v>inexpensive and fast and fast service, I recommend direct insurance, I put my home contract there and when I have a motorcycle, motorcycle insurance</v>
      </c>
    </row>
    <row r="851" ht="15.75" customHeight="1">
      <c r="A851" s="2">
        <v>3.0</v>
      </c>
      <c r="B851" s="2" t="s">
        <v>2374</v>
      </c>
      <c r="C851" s="2" t="s">
        <v>2375</v>
      </c>
      <c r="D851" s="2" t="s">
        <v>36</v>
      </c>
      <c r="E851" s="2" t="s">
        <v>14</v>
      </c>
      <c r="F851" s="2" t="s">
        <v>15</v>
      </c>
      <c r="G851" s="2" t="s">
        <v>817</v>
      </c>
      <c r="H851" s="2" t="s">
        <v>27</v>
      </c>
      <c r="I851" s="2" t="str">
        <f>IFERROR(__xludf.DUMMYFUNCTION("GOOGLETRANSLATE(C851,""fr"",""en"")"),"I am satisfied with the prices and the fast service, fast and secure payment., I just hope that drivers prices are going to change because a little expensive when you start")</f>
        <v>I am satisfied with the prices and the fast service, fast and secure payment., I just hope that drivers prices are going to change because a little expensive when you start</v>
      </c>
    </row>
    <row r="852" ht="15.75" customHeight="1">
      <c r="A852" s="2">
        <v>1.0</v>
      </c>
      <c r="B852" s="2" t="s">
        <v>2376</v>
      </c>
      <c r="C852" s="2" t="s">
        <v>2377</v>
      </c>
      <c r="D852" s="2" t="s">
        <v>430</v>
      </c>
      <c r="E852" s="2" t="s">
        <v>14</v>
      </c>
      <c r="F852" s="2" t="s">
        <v>15</v>
      </c>
      <c r="G852" s="2" t="s">
        <v>403</v>
      </c>
      <c r="H852" s="2" t="s">
        <v>205</v>
      </c>
      <c r="I852" s="2" t="str">
        <f>IFERROR(__xludf.DUMMYFUNCTION("GOOGLETRANSLATE(C852,""fr"",""en"")"),"I am more than disappointed with this insurance and will quickly change it in 24 hours two completely opposite opinions on adding a driver on pro car insurance ..... I am trying tomorrow for the third")</f>
        <v>I am more than disappointed with this insurance and will quickly change it in 24 hours two completely opposite opinions on adding a driver on pro car insurance ..... I am trying tomorrow for the third</v>
      </c>
    </row>
    <row r="853" ht="15.75" customHeight="1">
      <c r="A853" s="2">
        <v>1.0</v>
      </c>
      <c r="B853" s="2" t="s">
        <v>2378</v>
      </c>
      <c r="C853" s="2" t="s">
        <v>2379</v>
      </c>
      <c r="D853" s="2" t="s">
        <v>93</v>
      </c>
      <c r="E853" s="2" t="s">
        <v>37</v>
      </c>
      <c r="F853" s="2" t="s">
        <v>15</v>
      </c>
      <c r="G853" s="2" t="s">
        <v>1731</v>
      </c>
      <c r="H853" s="2" t="s">
        <v>130</v>
      </c>
      <c r="I853" s="2" t="str">
        <f>IFERROR(__xludf.DUMMYFUNCTION("GOOGLETRANSLATE(C853,""fr"",""en"")"),"Burgled on 08/30/19 I contact the Matmut the next day, either 08/31/19 to open a file quickly.
Indeed we had to replace the lock + wrist of the door and declare stolen objects.
I was stolen from an 18 kt gold signet ring (with invoice at 765th, 9kt gold"&amp;" loops with 225th bill as well as 925 silver gourmet + 925 silver necklace. Almost more than 1000th of jewelry .
I was finally ""compensated"" on 19/12/19 or almost 4 months after the facts of 305th of jewelry. At the Matmut we are talking about the vetu"&amp;"tte of gold and silver! Yes it is not a joke! Gold and money devalue according to this insurance.
We kindly explain to you that we reimburse at the price of the occasion but that the jewelry becomes obsolete over time. However, everyone knows that the pr"&amp;"ice of gold is increasing from year to year.
It's just incredible!
I absolutely do not recommend Matmut!
As such I will change insurance very quickly.
TO FLEE !")</f>
        <v>Burgled on 08/30/19 I contact the Matmut the next day, either 08/31/19 to open a file quickly.
Indeed we had to replace the lock + wrist of the door and declare stolen objects.
I was stolen from an 18 kt gold signet ring (with invoice at 765th, 9kt gold loops with 225th bill as well as 925 silver gourmet + 925 silver necklace. Almost more than 1000th of jewelry .
I was finally "compensated" on 19/12/19 or almost 4 months after the facts of 305th of jewelry. At the Matmut we are talking about the vetutte of gold and silver! Yes it is not a joke! Gold and money devalue according to this insurance.
We kindly explain to you that we reimburse at the price of the occasion but that the jewelry becomes obsolete over time. However, everyone knows that the price of gold is increasing from year to year.
It's just incredible!
I absolutely do not recommend Matmut!
As such I will change insurance very quickly.
TO FLEE !</v>
      </c>
    </row>
    <row r="854" ht="15.75" customHeight="1">
      <c r="A854" s="2">
        <v>4.0</v>
      </c>
      <c r="B854" s="2" t="s">
        <v>2380</v>
      </c>
      <c r="C854" s="2" t="s">
        <v>2381</v>
      </c>
      <c r="D854" s="2" t="s">
        <v>414</v>
      </c>
      <c r="E854" s="2" t="s">
        <v>14</v>
      </c>
      <c r="F854" s="2" t="s">
        <v>15</v>
      </c>
      <c r="G854" s="2" t="s">
        <v>2382</v>
      </c>
      <c r="H854" s="2" t="s">
        <v>167</v>
      </c>
      <c r="I854" s="2" t="str">
        <f>IFERROR(__xludf.DUMMYFUNCTION("GOOGLETRANSLATE(C854,""fr"",""en"")"),"I highly recommend Maif. It's so pleasant to have a competent and professional person. I want to have them as little as possible but each time, I was recalled by a person who had knowledge of my file, of my situation, with a real capacity for listening an"&amp;"d understanding.
I found myself well in their ad insisting on the mutualist side.")</f>
        <v>I highly recommend Maif. It's so pleasant to have a competent and professional person. I want to have them as little as possible but each time, I was recalled by a person who had knowledge of my file, of my situation, with a real capacity for listening and understanding.
I found myself well in their ad insisting on the mutualist side.</v>
      </c>
    </row>
    <row r="855" ht="15.75" customHeight="1">
      <c r="A855" s="2">
        <v>5.0</v>
      </c>
      <c r="B855" s="2" t="s">
        <v>2383</v>
      </c>
      <c r="C855" s="2" t="s">
        <v>2384</v>
      </c>
      <c r="D855" s="2" t="s">
        <v>13</v>
      </c>
      <c r="E855" s="2" t="s">
        <v>14</v>
      </c>
      <c r="F855" s="2" t="s">
        <v>15</v>
      </c>
      <c r="G855" s="2" t="s">
        <v>931</v>
      </c>
      <c r="H855" s="2" t="s">
        <v>43</v>
      </c>
      <c r="I855" s="2" t="str">
        <f>IFERROR(__xludf.DUMMYFUNCTION("GOOGLETRANSLATE(C855,""fr"",""en"")"),"Very pleasant communication and clear explanations
File quickly produces by phone with Logigue proposals
I recommend this insurance in my entourage")</f>
        <v>Very pleasant communication and clear explanations
File quickly produces by phone with Logigue proposals
I recommend this insurance in my entourage</v>
      </c>
    </row>
    <row r="856" ht="15.75" customHeight="1">
      <c r="A856" s="2">
        <v>3.0</v>
      </c>
      <c r="B856" s="2" t="s">
        <v>2385</v>
      </c>
      <c r="C856" s="2" t="s">
        <v>2386</v>
      </c>
      <c r="D856" s="2" t="s">
        <v>36</v>
      </c>
      <c r="E856" s="2" t="s">
        <v>14</v>
      </c>
      <c r="F856" s="2" t="s">
        <v>15</v>
      </c>
      <c r="G856" s="2" t="s">
        <v>2387</v>
      </c>
      <c r="H856" s="2" t="s">
        <v>297</v>
      </c>
      <c r="I856" s="2" t="str">
        <f>IFERROR(__xludf.DUMMYFUNCTION("GOOGLETRANSLATE(C856,""fr"",""en"")"),"I take advantage of the Hamon law to change auto insurance. Direct Insurance tells me that they are responsible for terminating my current contract, 2 months later, nothing has been done. Direct Insurance is an insurer like the others, effective and quick"&amp;" to take the premium, for the rest, we cannot count on it.")</f>
        <v>I take advantage of the Hamon law to change auto insurance. Direct Insurance tells me that they are responsible for terminating my current contract, 2 months later, nothing has been done. Direct Insurance is an insurer like the others, effective and quick to take the premium, for the rest, we cannot count on it.</v>
      </c>
    </row>
    <row r="857" ht="15.75" customHeight="1">
      <c r="A857" s="2">
        <v>1.0</v>
      </c>
      <c r="B857" s="2" t="s">
        <v>2388</v>
      </c>
      <c r="C857" s="2" t="s">
        <v>2389</v>
      </c>
      <c r="D857" s="2" t="s">
        <v>55</v>
      </c>
      <c r="E857" s="2" t="s">
        <v>14</v>
      </c>
      <c r="F857" s="2" t="s">
        <v>15</v>
      </c>
      <c r="G857" s="2" t="s">
        <v>630</v>
      </c>
      <c r="H857" s="2" t="s">
        <v>230</v>
      </c>
      <c r="I857" s="2" t="str">
        <f>IFERROR(__xludf.DUMMYFUNCTION("GOOGLETRANSLATE(C857,""fr"",""en"")"),"Never had an accident therefore no opinion on the reimbursement, on the other hand very expensive insurance, acceptable deductible. Insured via my very difficult bank to have the insurer directly. &gt;")</f>
        <v>Never had an accident therefore no opinion on the reimbursement, on the other hand very expensive insurance, acceptable deductible. Insured via my very difficult bank to have the insurer directly. &gt;</v>
      </c>
    </row>
    <row r="858" ht="15.75" customHeight="1">
      <c r="A858" s="2">
        <v>1.0</v>
      </c>
      <c r="B858" s="2" t="s">
        <v>2390</v>
      </c>
      <c r="C858" s="2" t="s">
        <v>2391</v>
      </c>
      <c r="D858" s="2" t="s">
        <v>20</v>
      </c>
      <c r="E858" s="2" t="s">
        <v>14</v>
      </c>
      <c r="F858" s="2" t="s">
        <v>15</v>
      </c>
      <c r="G858" s="2" t="s">
        <v>2392</v>
      </c>
      <c r="H858" s="2" t="s">
        <v>17</v>
      </c>
      <c r="I858" s="2" t="str">
        <f>IFERROR(__xludf.DUMMYFUNCTION("GOOGLETRANSLATE(C858,""fr"",""en"")"),"Null, especially in passing by a broker")</f>
        <v>Null, especially in passing by a broker</v>
      </c>
    </row>
    <row r="859" ht="15.75" customHeight="1">
      <c r="A859" s="2">
        <v>4.0</v>
      </c>
      <c r="B859" s="2" t="s">
        <v>2393</v>
      </c>
      <c r="C859" s="2" t="s">
        <v>2394</v>
      </c>
      <c r="D859" s="2" t="s">
        <v>576</v>
      </c>
      <c r="E859" s="2" t="s">
        <v>14</v>
      </c>
      <c r="F859" s="2" t="s">
        <v>15</v>
      </c>
      <c r="G859" s="2" t="s">
        <v>2395</v>
      </c>
      <c r="H859" s="2" t="s">
        <v>880</v>
      </c>
      <c r="I859" s="2" t="str">
        <f>IFERROR(__xludf.DUMMYFUNCTION("GOOGLETRANSLATE(C859,""fr"",""en"")"),"Eurofil was very responsive to process my refund request, it took only a telephone call and an email to obtain the reimbursement in 3 weeks. I had to do to competent, effective and very professional people.
I have a self-insurance contract since 2011 wit"&amp;"h the same vehicle and the same services I had an increase of 135 euros which seems reasonable to me")</f>
        <v>Eurofil was very responsive to process my refund request, it took only a telephone call and an email to obtain the reimbursement in 3 weeks. I had to do to competent, effective and very professional people.
I have a self-insurance contract since 2011 with the same vehicle and the same services I had an increase of 135 euros which seems reasonable to me</v>
      </c>
    </row>
    <row r="860" ht="15.75" customHeight="1">
      <c r="A860" s="2">
        <v>4.0</v>
      </c>
      <c r="B860" s="2" t="s">
        <v>2396</v>
      </c>
      <c r="C860" s="2" t="s">
        <v>2397</v>
      </c>
      <c r="D860" s="2" t="s">
        <v>13</v>
      </c>
      <c r="E860" s="2" t="s">
        <v>14</v>
      </c>
      <c r="F860" s="2" t="s">
        <v>15</v>
      </c>
      <c r="G860" s="2" t="s">
        <v>951</v>
      </c>
      <c r="H860" s="2" t="s">
        <v>145</v>
      </c>
      <c r="I860" s="2" t="str">
        <f>IFERROR(__xludf.DUMMYFUNCTION("GOOGLETRANSLATE(C860,""fr"",""en"")"),"I am delighted with the speed of your services since I recovered my vehicle on a Saturday afternoon it was insurance in 10 minutes it is great
The price is correct")</f>
        <v>I am delighted with the speed of your services since I recovered my vehicle on a Saturday afternoon it was insurance in 10 minutes it is great
The price is correct</v>
      </c>
    </row>
    <row r="861" ht="15.75" customHeight="1">
      <c r="A861" s="2">
        <v>3.0</v>
      </c>
      <c r="B861" s="2" t="s">
        <v>2398</v>
      </c>
      <c r="C861" s="2" t="s">
        <v>2399</v>
      </c>
      <c r="D861" s="2" t="s">
        <v>36</v>
      </c>
      <c r="E861" s="2" t="s">
        <v>14</v>
      </c>
      <c r="F861" s="2" t="s">
        <v>15</v>
      </c>
      <c r="G861" s="2" t="s">
        <v>2400</v>
      </c>
      <c r="H861" s="2" t="s">
        <v>171</v>
      </c>
      <c r="I861" s="2" t="str">
        <f>IFERROR(__xludf.DUMMYFUNCTION("GOOGLETRANSLATE(C861,""fr"",""en"")"),"I am waiting to ride with You Drive to see if he really benefited for a person who does not have a risk driving (no claims over 5 years of license having 3 having 3
motorcycles and 1 cars)")</f>
        <v>I am waiting to ride with You Drive to see if he really benefited for a person who does not have a risk driving (no claims over 5 years of license having 3 having 3
motorcycles and 1 cars)</v>
      </c>
    </row>
    <row r="862" ht="15.75" customHeight="1">
      <c r="A862" s="2">
        <v>1.0</v>
      </c>
      <c r="B862" s="2" t="s">
        <v>2401</v>
      </c>
      <c r="C862" s="2" t="s">
        <v>2402</v>
      </c>
      <c r="D862" s="2" t="s">
        <v>93</v>
      </c>
      <c r="E862" s="2" t="s">
        <v>37</v>
      </c>
      <c r="F862" s="2" t="s">
        <v>15</v>
      </c>
      <c r="G862" s="2" t="s">
        <v>2403</v>
      </c>
      <c r="H862" s="2" t="s">
        <v>130</v>
      </c>
      <c r="I862" s="2" t="str">
        <f>IFERROR(__xludf.DUMMYFUNCTION("GOOGLETRANSLATE(C862,""fr"",""en"")"),"Following the storm of July 2019, we had a water damage, we had a quote made by an artisan from our town and it was refused because too expensive. falls on platforms for the Cost Service, which brings together several insurance companies and they do not e"&amp;"ven manage to find your file. And there I am reminded to tell me that if I refuse an approved craftsman Matmut and that within 15 days I do not send a new quote ""reduced"" they close my file. Tell me how much you want to give me it will avoid moving the "&amp;"craftsman back! well no!
When we go to the agency we have people who can no longer answer you directly they forced to correspond by email.
The services have deteriorated.
 ")</f>
        <v>Following the storm of July 2019, we had a water damage, we had a quote made by an artisan from our town and it was refused because too expensive. falls on platforms for the Cost Service, which brings together several insurance companies and they do not even manage to find your file. And there I am reminded to tell me that if I refuse an approved craftsman Matmut and that within 15 days I do not send a new quote "reduced" they close my file. Tell me how much you want to give me it will avoid moving the craftsman back! well no!
When we go to the agency we have people who can no longer answer you directly they forced to correspond by email.
The services have deteriorated.
 </v>
      </c>
    </row>
    <row r="863" ht="15.75" customHeight="1">
      <c r="A863" s="2">
        <v>1.0</v>
      </c>
      <c r="B863" s="2" t="s">
        <v>2404</v>
      </c>
      <c r="C863" s="2" t="s">
        <v>2405</v>
      </c>
      <c r="D863" s="2" t="s">
        <v>88</v>
      </c>
      <c r="E863" s="2" t="s">
        <v>31</v>
      </c>
      <c r="F863" s="2" t="s">
        <v>15</v>
      </c>
      <c r="G863" s="2" t="s">
        <v>2406</v>
      </c>
      <c r="H863" s="2" t="s">
        <v>90</v>
      </c>
      <c r="I863" s="2" t="str">
        <f>IFERROR(__xludf.DUMMYFUNCTION("GOOGLETRANSLATE(C863,""fr"",""en"")"),"Having wanted to terminate my 89 -year -old mother's mutual insurance company I read on the document, my contract is renewable by tacit renewal with each annual deadline or December 31 of each year. The contract having been signed on March 9, in good fait"&amp;"h I request the termination on November 23, therefore largely before the 2 months required. But oh surprise !!!!!!!!!!! Obviously, the deadline is not the anniversary date, that's what I just learned !!!!!! Nice way to play on words !!!!! Why put two date"&amp;"s options since obviously the two dates are the same if it is not to mislead. The shepherd's response to the shepherdess will be that I will terminate my pension contract and this, in the delays provided !!!!!! fed up these practices !!!!")</f>
        <v>Having wanted to terminate my 89 -year -old mother's mutual insurance company I read on the document, my contract is renewable by tacit renewal with each annual deadline or December 31 of each year. The contract having been signed on March 9, in good faith I request the termination on November 23, therefore largely before the 2 months required. But oh surprise !!!!!!!!!!! Obviously, the deadline is not the anniversary date, that's what I just learned !!!!!! Nice way to play on words !!!!! Why put two dates options since obviously the two dates are the same if it is not to mislead. The shepherd's response to the shepherdess will be that I will terminate my pension contract and this, in the delays provided !!!!!! fed up these practices !!!!</v>
      </c>
    </row>
    <row r="864" ht="15.75" customHeight="1">
      <c r="A864" s="2">
        <v>3.0</v>
      </c>
      <c r="B864" s="2" t="s">
        <v>2407</v>
      </c>
      <c r="C864" s="2" t="s">
        <v>2408</v>
      </c>
      <c r="D864" s="2" t="s">
        <v>88</v>
      </c>
      <c r="E864" s="2" t="s">
        <v>31</v>
      </c>
      <c r="F864" s="2" t="s">
        <v>15</v>
      </c>
      <c r="G864" s="2" t="s">
        <v>2409</v>
      </c>
      <c r="H864" s="2" t="s">
        <v>57</v>
      </c>
      <c r="I864" s="2" t="str">
        <f>IFERROR(__xludf.DUMMYFUNCTION("GOOGLETRANSLATE(C864,""fr"",""en"")"),"I had Gwendal telephone for various information and modification on my file in order to complete the ""paper"" certificates that I wish to obtain as soon as possible.")</f>
        <v>I had Gwendal telephone for various information and modification on my file in order to complete the "paper" certificates that I wish to obtain as soon as possible.</v>
      </c>
    </row>
    <row r="865" ht="15.75" customHeight="1">
      <c r="A865" s="2">
        <v>3.0</v>
      </c>
      <c r="B865" s="2" t="s">
        <v>2410</v>
      </c>
      <c r="C865" s="2" t="s">
        <v>2411</v>
      </c>
      <c r="D865" s="2" t="s">
        <v>88</v>
      </c>
      <c r="E865" s="2" t="s">
        <v>31</v>
      </c>
      <c r="F865" s="2" t="s">
        <v>15</v>
      </c>
      <c r="G865" s="2" t="s">
        <v>2412</v>
      </c>
      <c r="H865" s="2" t="s">
        <v>432</v>
      </c>
      <c r="I865" s="2" t="str">
        <f>IFERROR(__xludf.DUMMYFUNCTION("GOOGLETRANSLATE(C865,""fr"",""en"")"),"Good customer follow -up. Listening interlocutor and good advice.")</f>
        <v>Good customer follow -up. Listening interlocutor and good advice.</v>
      </c>
    </row>
    <row r="866" ht="15.75" customHeight="1">
      <c r="A866" s="2">
        <v>1.0</v>
      </c>
      <c r="B866" s="2" t="s">
        <v>2413</v>
      </c>
      <c r="C866" s="2" t="s">
        <v>2414</v>
      </c>
      <c r="D866" s="2" t="s">
        <v>104</v>
      </c>
      <c r="E866" s="2" t="s">
        <v>31</v>
      </c>
      <c r="F866" s="2" t="s">
        <v>15</v>
      </c>
      <c r="G866" s="2" t="s">
        <v>323</v>
      </c>
      <c r="H866" s="2" t="s">
        <v>85</v>
      </c>
      <c r="I866" s="2" t="str">
        <f>IFERROR(__xludf.DUMMYFUNCTION("GOOGLETRANSLATE(C866,""fr"",""en"")"),"I am absolutely not satisfied with this company, whether it is the health care party or guaranteed dependence.
Customer service is particularly ineffective and only responds to complaints by typical letters that have neither tail nor head.
supporting do"&amp;"cuments are not received and we are claiming them several times
The files drag in length unanswered: this is the case for my request for a guarantee dependence deposited more than a year ago. It's a shame....
")</f>
        <v>I am absolutely not satisfied with this company, whether it is the health care party or guaranteed dependence.
Customer service is particularly ineffective and only responds to complaints by typical letters that have neither tail nor head.
supporting documents are not received and we are claiming them several times
The files drag in length unanswered: this is the case for my request for a guarantee dependence deposited more than a year ago. It's a shame....
</v>
      </c>
    </row>
    <row r="867" ht="15.75" customHeight="1">
      <c r="A867" s="2">
        <v>1.0</v>
      </c>
      <c r="B867" s="2" t="s">
        <v>2415</v>
      </c>
      <c r="C867" s="2" t="s">
        <v>2416</v>
      </c>
      <c r="D867" s="2" t="s">
        <v>20</v>
      </c>
      <c r="E867" s="2" t="s">
        <v>14</v>
      </c>
      <c r="F867" s="2" t="s">
        <v>15</v>
      </c>
      <c r="G867" s="2" t="s">
        <v>2103</v>
      </c>
      <c r="H867" s="2" t="s">
        <v>387</v>
      </c>
      <c r="I867" s="2" t="str">
        <f>IFERROR(__xludf.DUMMYFUNCTION("GOOGLETRANSLATE(C867,""fr"",""en"")"),"I am assured for my car with 0km assistance, 0 franchise. I call on assistance for a puncture, an advisor gives me the information to contact the convenience store, and contact them when we are in the garage with the car .... so as soon as we arrive at th"&amp;"e garage, I remind them. . And there another advisor tells me that it was not the right step to follow and that I will not be reimbursed !!!! Certainly a new technique not to reimburse, it is wrong, I even think voluntarily ... and after no reimbursement "&amp;"!!!! My sincere congratulations !!!")</f>
        <v>I am assured for my car with 0km assistance, 0 franchise. I call on assistance for a puncture, an advisor gives me the information to contact the convenience store, and contact them when we are in the garage with the car .... so as soon as we arrive at the garage, I remind them. . And there another advisor tells me that it was not the right step to follow and that I will not be reimbursed !!!! Certainly a new technique not to reimburse, it is wrong, I even think voluntarily ... and after no reimbursement !!!! My sincere congratulations !!!</v>
      </c>
    </row>
    <row r="868" ht="15.75" customHeight="1">
      <c r="A868" s="2">
        <v>3.0</v>
      </c>
      <c r="B868" s="2" t="s">
        <v>2417</v>
      </c>
      <c r="C868" s="2" t="s">
        <v>2418</v>
      </c>
      <c r="D868" s="2" t="s">
        <v>13</v>
      </c>
      <c r="E868" s="2" t="s">
        <v>14</v>
      </c>
      <c r="F868" s="2" t="s">
        <v>15</v>
      </c>
      <c r="G868" s="2" t="s">
        <v>2419</v>
      </c>
      <c r="H868" s="2" t="s">
        <v>27</v>
      </c>
      <c r="I868" s="2" t="str">
        <f>IFERROR(__xludf.DUMMYFUNCTION("GOOGLETRANSLATE(C868,""fr"",""en"")"),"Satisfactory, contact time by phone a little long.
Correct price and takes people who have had claims Aupparevent. I compare recème I can't find it less.")</f>
        <v>Satisfactory, contact time by phone a little long.
Correct price and takes people who have had claims Aupparevent. I compare recème I can't find it less.</v>
      </c>
    </row>
    <row r="869" ht="15.75" customHeight="1">
      <c r="A869" s="2">
        <v>5.0</v>
      </c>
      <c r="B869" s="2" t="s">
        <v>2420</v>
      </c>
      <c r="C869" s="2" t="s">
        <v>2421</v>
      </c>
      <c r="D869" s="2" t="s">
        <v>36</v>
      </c>
      <c r="E869" s="2" t="s">
        <v>14</v>
      </c>
      <c r="F869" s="2" t="s">
        <v>15</v>
      </c>
      <c r="G869" s="2" t="s">
        <v>2422</v>
      </c>
      <c r="H869" s="2" t="s">
        <v>27</v>
      </c>
      <c r="I869" s="2" t="str">
        <f>IFERROR(__xludf.DUMMYFUNCTION("GOOGLETRANSLATE(C869,""fr"",""en"")"),"Well and good price.
I looked for a lot, but you have the best prices for my vehicle.
I am very satisfied with your services, thank you very much and have a good evening.")</f>
        <v>Well and good price.
I looked for a lot, but you have the best prices for my vehicle.
I am very satisfied with your services, thank you very much and have a good evening.</v>
      </c>
    </row>
    <row r="870" ht="15.75" customHeight="1">
      <c r="A870" s="2">
        <v>3.0</v>
      </c>
      <c r="B870" s="2" t="s">
        <v>2423</v>
      </c>
      <c r="C870" s="2" t="s">
        <v>2424</v>
      </c>
      <c r="D870" s="2" t="s">
        <v>211</v>
      </c>
      <c r="E870" s="2" t="s">
        <v>31</v>
      </c>
      <c r="F870" s="2" t="s">
        <v>15</v>
      </c>
      <c r="G870" s="2" t="s">
        <v>1901</v>
      </c>
      <c r="H870" s="2" t="s">
        <v>43</v>
      </c>
      <c r="I870" s="2" t="str">
        <f>IFERROR(__xludf.DUMMYFUNCTION("GOOGLETRANSLATE(C870,""fr"",""en"")"),"telephone availability
I am very satisfied with Mariama who knew how to listen to me and answer my questions
Quality customer service, I will be able to access my file in peace")</f>
        <v>telephone availability
I am very satisfied with Mariama who knew how to listen to me and answer my questions
Quality customer service, I will be able to access my file in peace</v>
      </c>
    </row>
    <row r="871" ht="15.75" customHeight="1">
      <c r="A871" s="2">
        <v>1.0</v>
      </c>
      <c r="B871" s="2" t="s">
        <v>2425</v>
      </c>
      <c r="C871" s="2" t="s">
        <v>2426</v>
      </c>
      <c r="D871" s="2" t="s">
        <v>50</v>
      </c>
      <c r="E871" s="2" t="s">
        <v>51</v>
      </c>
      <c r="F871" s="2" t="s">
        <v>15</v>
      </c>
      <c r="G871" s="2" t="s">
        <v>2147</v>
      </c>
      <c r="H871" s="2" t="s">
        <v>320</v>
      </c>
      <c r="I871" s="2" t="str">
        <f>IFERROR(__xludf.DUMMYFUNCTION("GOOGLETRANSLATE(C871,""fr"",""en"")"),"Great anything! Two months after termination of my contract because of the sale of the vehicle, they continue to take me! I call them and supposedly ""these are the termination costs""! € 60 termination fees ??? It is stipulated on their site that there a"&amp;"re no termination fees in the event of sale! Insurance to flee! !!!! Go your way and quickly !!!!!!!")</f>
        <v>Great anything! Two months after termination of my contract because of the sale of the vehicle, they continue to take me! I call them and supposedly "these are the termination costs"! € 60 termination fees ??? It is stipulated on their site that there are no termination fees in the event of sale! Insurance to flee! !!!! Go your way and quickly !!!!!!!</v>
      </c>
    </row>
    <row r="872" ht="15.75" customHeight="1">
      <c r="A872" s="2">
        <v>2.0</v>
      </c>
      <c r="B872" s="2" t="s">
        <v>2427</v>
      </c>
      <c r="C872" s="2" t="s">
        <v>2428</v>
      </c>
      <c r="D872" s="2" t="s">
        <v>143</v>
      </c>
      <c r="E872" s="2" t="s">
        <v>200</v>
      </c>
      <c r="F872" s="2" t="s">
        <v>15</v>
      </c>
      <c r="G872" s="2" t="s">
        <v>2429</v>
      </c>
      <c r="H872" s="2" t="s">
        <v>255</v>
      </c>
      <c r="I872" s="2" t="str">
        <f>IFERROR(__xludf.DUMMYFUNCTION("GOOGLETRANSLATE(C872,""fr"",""en"")"),"I am trying to take out an insurance delegation for my mortgage at April who was recommended to me by my broker. I may not get my mortgage loan on time due to processing times at April. And with all the additional consequences that result from it, namely "&amp;"that we have given our notice and our owner has already found a new tenant when we left. The signature date is set as well as the moving date. If the signature date is postponed we are homeless with our 1 year old baby which is inconceivable. We started t"&amp;"he procedures 3 weeks ago, I obtained a response by phone concerning my file last week. I was forced to sign electronically as well as my husband on the grounds that I will receive on my customer area the agreement of the medical service and the tariff co"&amp;"nditions. Since then, it is impossible to connect to my customer area. For my husband it is even worse it has still not been contacted by the medical service when the study of my file is made. For 1 week I have been calling almost every day! The advisers "&amp;"tell me that they will send an email to my husband to ask him for additional information on his medical file, and every day I have the same explanation: ""The email will be sent to you within 48 hours"". I would like my approach to advance my file because"&amp;" today the bank awaits the borrower insurance contract to trigger the loan request. How to get out of this situation ?")</f>
        <v>I am trying to take out an insurance delegation for my mortgage at April who was recommended to me by my broker. I may not get my mortgage loan on time due to processing times at April. And with all the additional consequences that result from it, namely that we have given our notice and our owner has already found a new tenant when we left. The signature date is set as well as the moving date. If the signature date is postponed we are homeless with our 1 year old baby which is inconceivable. We started the procedures 3 weeks ago, I obtained a response by phone concerning my file last week. I was forced to sign electronically as well as my husband on the grounds that I will receive on my customer area the agreement of the medical service and the tariff conditions. Since then, it is impossible to connect to my customer area. For my husband it is even worse it has still not been contacted by the medical service when the study of my file is made. For 1 week I have been calling almost every day! The advisers tell me that they will send an email to my husband to ask him for additional information on his medical file, and every day I have the same explanation: "The email will be sent to you within 48 hours". I would like my approach to advance my file because today the bank awaits the borrower insurance contract to trigger the loan request. How to get out of this situation ?</v>
      </c>
    </row>
    <row r="873" ht="15.75" customHeight="1">
      <c r="A873" s="2">
        <v>4.0</v>
      </c>
      <c r="B873" s="2" t="s">
        <v>2430</v>
      </c>
      <c r="C873" s="2" t="s">
        <v>2431</v>
      </c>
      <c r="D873" s="2" t="s">
        <v>125</v>
      </c>
      <c r="E873" s="2" t="s">
        <v>37</v>
      </c>
      <c r="F873" s="2" t="s">
        <v>15</v>
      </c>
      <c r="G873" s="2" t="s">
        <v>2432</v>
      </c>
      <c r="H873" s="2" t="s">
        <v>487</v>
      </c>
      <c r="I873" s="2" t="str">
        <f>IFERROR(__xludf.DUMMYFUNCTION("GOOGLETRANSLATE(C873,""fr"",""en"")"),"GMF member for 50 years, I had 3 contracts at home. Auto housing and legal protection.
To date, I only have home insurance. For reimbursements. On the other hand, I terminate the PJ because I was unhappy with their management of a file.
But let's come t"&amp;"o home insurance since it is her in question.
I was the victim of an attempted theft on October 16, 2017.I lock was forced, but as I was present, they left without taking anything. I slept and heard nothing. But they on the other hand have had to hear "&amp;"me snoring and quickly widen (like what, snoring can have positive) .... it was on the night of Saturday to Sunday and I did not realize this attempted break -in Around 5:00 p.m. by taking out the trash. Indeed, when I wanted to open the door, the lock tu"&amp;"rned in the void. And at this moment that I noticed this attempted break -in. I called the police, and I was very surprised to see the scientific police arrived. They noticed the damage and raising the imprints. For info, in the building there had been 6 "&amp;"burglaries and all the inhabitants were absent. May enter the buckled apartments, they asked me to accompany them, because they are not allowed to enter a San apartment Sitor. The time to go around all the apartments, it was more than 9:00 p.m. when the p"&amp;"olice left. As it was a Sunday, I waited the next day to call the GMF. I explained the situation and They sent me a locksmith to repair the damage. He changed the lock as well as the handle that had been broken, and when he had finished, I asked him the a"&amp;"mount of the bill to pay it. To say that I had nothing to settle that he sent the invoice to the GMF.
So, I was very satisfied. It was the first claim for 40 years.
I am assured without deductible. I pay of course a little more, 30 € more per year t"&amp;"han with a deductible, but as regards insurance, I prefer to pay a little more expensive but by being well guaranteed.
After this sinister, I moved and the apartment in which I am now, does not have a handful, just the lock. And I found myself twice lo"&amp;"cked up on the landing. So I contacted the GMF and They sent me a locksmith. Here again nothing to pay because they take care of this type of incident up to € 150 per event. And this, up to two interventions per year.
Most :
Speed ​​in the treatment"&amp;" of claims.
Good guarantees, especially in the event of a locksmith problem.
Loss of the freezer content (€ 166)
The lessers :
The monthly payment (3 €) by deadline. Obviously, for all the contracts. But for me who is only one with them, it would "&amp;"make me an annual cost of 36 €, then, I pay year -round. This is what I just did on October 1.
I consider that the quality / price ratio is correct. Setout without deductible and the management of small worries like a slapting door.
For all my insur"&amp;"ances, I do not see to pay a little more expensive if the quality /price ratio is at the appointment.
You have to know what you want. Pay cheaper at the risk of not being reimbursed or a little more expensive with good guarantees.
As the slogan of i"&amp;"nsurance said in my youth and which I do not remember the name: ""Insurance is expensive if one has no accident"".
Here, what I could say about my experience with GMF.")</f>
        <v>GMF member for 50 years, I had 3 contracts at home. Auto housing and legal protection.
To date, I only have home insurance. For reimbursements. On the other hand, I terminate the PJ because I was unhappy with their management of a file.
But let's come to home insurance since it is her in question.
I was the victim of an attempted theft on October 16, 2017.I lock was forced, but as I was present, they left without taking anything. I slept and heard nothing. But they on the other hand have had to hear me snoring and quickly widen (like what, snoring can have positive) .... it was on the night of Saturday to Sunday and I did not realize this attempted break -in Around 5:00 p.m. by taking out the trash. Indeed, when I wanted to open the door, the lock turned in the void. And at this moment that I noticed this attempted break -in. I called the police, and I was very surprised to see the scientific police arrived. They noticed the damage and raising the imprints. For info, in the building there had been 6 burglaries and all the inhabitants were absent. May enter the buckled apartments, they asked me to accompany them, because they are not allowed to enter a San apartment Sitor. The time to go around all the apartments, it was more than 9:00 p.m. when the police left. As it was a Sunday, I waited the next day to call the GMF. I explained the situation and They sent me a locksmith to repair the damage. He changed the lock as well as the handle that had been broken, and when he had finished, I asked him the amount of the bill to pay it. To say that I had nothing to settle that he sent the invoice to the GMF.
So, I was very satisfied. It was the first claim for 40 years.
I am assured without deductible. I pay of course a little more, 30 € more per year than with a deductible, but as regards insurance, I prefer to pay a little more expensive but by being well guaranteed.
After this sinister, I moved and the apartment in which I am now, does not have a handful, just the lock. And I found myself twice locked up on the landing. So I contacted the GMF and They sent me a locksmith. Here again nothing to pay because they take care of this type of incident up to € 150 per event. And this, up to two interventions per year.
Most :
Speed ​​in the treatment of claims.
Good guarantees, especially in the event of a locksmith problem.
Loss of the freezer content (€ 166)
The lessers :
The monthly payment (3 €) by deadline. Obviously, for all the contracts. But for me who is only one with them, it would make me an annual cost of 36 €, then, I pay year -round. This is what I just did on October 1.
I consider that the quality / price ratio is correct. Setout without deductible and the management of small worries like a slapting door.
For all my insurances, I do not see to pay a little more expensive if the quality /price ratio is at the appointment.
You have to know what you want. Pay cheaper at the risk of not being reimbursed or a little more expensive with good guarantees.
As the slogan of insurance said in my youth and which I do not remember the name: "Insurance is expensive if one has no accident".
Here, what I could say about my experience with GMF.</v>
      </c>
    </row>
    <row r="874" ht="15.75" customHeight="1">
      <c r="A874" s="2">
        <v>1.0</v>
      </c>
      <c r="B874" s="2" t="s">
        <v>2433</v>
      </c>
      <c r="C874" s="2" t="s">
        <v>2434</v>
      </c>
      <c r="D874" s="2" t="s">
        <v>20</v>
      </c>
      <c r="E874" s="2" t="s">
        <v>121</v>
      </c>
      <c r="F874" s="2" t="s">
        <v>15</v>
      </c>
      <c r="G874" s="2" t="s">
        <v>2435</v>
      </c>
      <c r="H874" s="2" t="s">
        <v>17</v>
      </c>
      <c r="I874" s="2" t="str">
        <f>IFERROR(__xludf.DUMMYFUNCTION("GOOGLETRANSLATE(C874,""fr"",""en"")"),"Having requested the portability of a contract undertaken by the agent's interm and after being dismissed, I fall seriously ill. I decide to assert my rights with this complementary. Now Axa therefore answers me 9 months later that they cannot respond to "&amp;"my request! Thank you for warning me of the non -validity of this contract! The minimum for an insurer would be to be honest to say the least and above all say all changes on a contract. At least they know how to manage portfolios .... after humans!
It i"&amp;"s on they know how to ""reinvent their profession""")</f>
        <v>Having requested the portability of a contract undertaken by the agent's interm and after being dismissed, I fall seriously ill. I decide to assert my rights with this complementary. Now Axa therefore answers me 9 months later that they cannot respond to my request! Thank you for warning me of the non -validity of this contract! The minimum for an insurer would be to be honest to say the least and above all say all changes on a contract. At least they know how to manage portfolios .... after humans!
It is on they know how to "reinvent their profession"</v>
      </c>
    </row>
    <row r="875" ht="15.75" customHeight="1">
      <c r="A875" s="2">
        <v>3.0</v>
      </c>
      <c r="B875" s="2" t="s">
        <v>2436</v>
      </c>
      <c r="C875" s="2" t="s">
        <v>2437</v>
      </c>
      <c r="D875" s="2" t="s">
        <v>36</v>
      </c>
      <c r="E875" s="2" t="s">
        <v>14</v>
      </c>
      <c r="F875" s="2" t="s">
        <v>15</v>
      </c>
      <c r="G875" s="2" t="s">
        <v>678</v>
      </c>
      <c r="H875" s="2" t="s">
        <v>85</v>
      </c>
      <c r="I875" s="2" t="str">
        <f>IFERROR(__xludf.DUMMYFUNCTION("GOOGLETRANSLATE(C875,""fr"",""en"")"),"Not possible to make the quote by phone at the same price and the non -feasible termination online
Copizations increase enormously each year.")</f>
        <v>Not possible to make the quote by phone at the same price and the non -feasible termination online
Copizations increase enormously each year.</v>
      </c>
    </row>
    <row r="876" ht="15.75" customHeight="1">
      <c r="A876" s="2">
        <v>1.0</v>
      </c>
      <c r="B876" s="2" t="s">
        <v>2438</v>
      </c>
      <c r="C876" s="2" t="s">
        <v>2439</v>
      </c>
      <c r="D876" s="2" t="s">
        <v>304</v>
      </c>
      <c r="E876" s="2" t="s">
        <v>200</v>
      </c>
      <c r="F876" s="2" t="s">
        <v>15</v>
      </c>
      <c r="G876" s="2" t="s">
        <v>2440</v>
      </c>
      <c r="H876" s="2" t="s">
        <v>487</v>
      </c>
      <c r="I876" s="2" t="str">
        <f>IFERROR(__xludf.DUMMYFUNCTION("GOOGLETRANSLATE(C876,""fr"",""en"")"),"Impossible to reach and when you contact a person unable to help you, really incompetent flee .....
I do not even recommend to my worst enemy !!!!!")</f>
        <v>Impossible to reach and when you contact a person unable to help you, really incompetent flee .....
I do not even recommend to my worst enemy !!!!!</v>
      </c>
    </row>
    <row r="877" ht="15.75" customHeight="1">
      <c r="A877" s="2">
        <v>1.0</v>
      </c>
      <c r="B877" s="2" t="s">
        <v>2441</v>
      </c>
      <c r="C877" s="2" t="s">
        <v>2442</v>
      </c>
      <c r="D877" s="2" t="s">
        <v>30</v>
      </c>
      <c r="E877" s="2" t="s">
        <v>31</v>
      </c>
      <c r="F877" s="2" t="s">
        <v>15</v>
      </c>
      <c r="G877" s="2" t="s">
        <v>2443</v>
      </c>
      <c r="H877" s="2" t="s">
        <v>39</v>
      </c>
      <c r="I877" s="2" t="str">
        <f>IFERROR(__xludf.DUMMYFUNCTION("GOOGLETRANSLATE(C877,""fr"",""en"")"),"Service after zero sale")</f>
        <v>Service after zero sale</v>
      </c>
    </row>
    <row r="878" ht="15.75" customHeight="1">
      <c r="A878" s="2">
        <v>5.0</v>
      </c>
      <c r="B878" s="2" t="s">
        <v>2444</v>
      </c>
      <c r="C878" s="2" t="s">
        <v>2445</v>
      </c>
      <c r="D878" s="2" t="s">
        <v>125</v>
      </c>
      <c r="E878" s="2" t="s">
        <v>14</v>
      </c>
      <c r="F878" s="2" t="s">
        <v>15</v>
      </c>
      <c r="G878" s="2" t="s">
        <v>1507</v>
      </c>
      <c r="H878" s="2" t="s">
        <v>43</v>
      </c>
      <c r="I878" s="2" t="str">
        <f>IFERROR(__xludf.DUMMYFUNCTION("GOOGLETRANSLATE(C878,""fr"",""en"")"),"We are very satisfied with the prices and the very important telephone reception for us.
Speed ​​of taking does not load for any problem, whether on our V &amp; vehicle or home.")</f>
        <v>We are very satisfied with the prices and the very important telephone reception for us.
Speed ​​of taking does not load for any problem, whether on our V &amp; vehicle or home.</v>
      </c>
    </row>
    <row r="879" ht="15.75" customHeight="1">
      <c r="A879" s="2">
        <v>5.0</v>
      </c>
      <c r="B879" s="2" t="s">
        <v>2446</v>
      </c>
      <c r="C879" s="2" t="s">
        <v>2447</v>
      </c>
      <c r="D879" s="2" t="s">
        <v>36</v>
      </c>
      <c r="E879" s="2" t="s">
        <v>14</v>
      </c>
      <c r="F879" s="2" t="s">
        <v>15</v>
      </c>
      <c r="G879" s="2" t="s">
        <v>2448</v>
      </c>
      <c r="H879" s="2" t="s">
        <v>230</v>
      </c>
      <c r="I879" s="2" t="str">
        <f>IFERROR(__xludf.DUMMYFUNCTION("GOOGLETRANSLATE(C879,""fr"",""en"")"),"The person in charge of my file was very professional, fast and efficient. She was able to meet all my expectations, I am delighted to have had this advisor.
")</f>
        <v>The person in charge of my file was very professional, fast and efficient. She was able to meet all my expectations, I am delighted to have had this advisor.
</v>
      </c>
    </row>
    <row r="880" ht="15.75" customHeight="1">
      <c r="A880" s="2">
        <v>5.0</v>
      </c>
      <c r="B880" s="2" t="s">
        <v>2449</v>
      </c>
      <c r="C880" s="2" t="s">
        <v>2450</v>
      </c>
      <c r="D880" s="2" t="s">
        <v>36</v>
      </c>
      <c r="E880" s="2" t="s">
        <v>14</v>
      </c>
      <c r="F880" s="2" t="s">
        <v>15</v>
      </c>
      <c r="G880" s="2" t="s">
        <v>2348</v>
      </c>
      <c r="H880" s="2" t="s">
        <v>43</v>
      </c>
      <c r="I880" s="2" t="str">
        <f>IFERROR(__xludf.DUMMYFUNCTION("GOOGLETRANSLATE(C880,""fr"",""en"")"),"Easy to use, correct quotes in terms of automotive prices and covers. I have complete customer service. I recommend")</f>
        <v>Easy to use, correct quotes in terms of automotive prices and covers. I have complete customer service. I recommend</v>
      </c>
    </row>
    <row r="881" ht="15.75" customHeight="1">
      <c r="A881" s="2">
        <v>2.0</v>
      </c>
      <c r="B881" s="2" t="s">
        <v>2451</v>
      </c>
      <c r="C881" s="2" t="s">
        <v>2452</v>
      </c>
      <c r="D881" s="2" t="s">
        <v>238</v>
      </c>
      <c r="E881" s="2" t="s">
        <v>31</v>
      </c>
      <c r="F881" s="2" t="s">
        <v>15</v>
      </c>
      <c r="G881" s="2" t="s">
        <v>1632</v>
      </c>
      <c r="H881" s="2" t="s">
        <v>184</v>
      </c>
      <c r="I881" s="2" t="str">
        <f>IFERROR(__xludf.DUMMYFUNCTION("GOOGLETRANSLATE(C881,""fr"",""en"")"),"very difficult to reach. Do not respond to emails. Communication Service near zero")</f>
        <v>very difficult to reach. Do not respond to emails. Communication Service near zero</v>
      </c>
    </row>
    <row r="882" ht="15.75" customHeight="1">
      <c r="A882" s="2">
        <v>1.0</v>
      </c>
      <c r="B882" s="2" t="s">
        <v>2453</v>
      </c>
      <c r="C882" s="2" t="s">
        <v>2454</v>
      </c>
      <c r="D882" s="2" t="s">
        <v>414</v>
      </c>
      <c r="E882" s="2" t="s">
        <v>14</v>
      </c>
      <c r="F882" s="2" t="s">
        <v>15</v>
      </c>
      <c r="G882" s="2" t="s">
        <v>2455</v>
      </c>
      <c r="H882" s="2" t="s">
        <v>684</v>
      </c>
      <c r="I882" s="2" t="str">
        <f>IFERROR(__xludf.DUMMYFUNCTION("GOOGLETRANSLATE(C882,""fr"",""en"")"),"A member for twenty years at La MAIF, no responsible accident, no responsible claim; I have just been the victim of a driver, my vehicle is declared irreparable, the compensation proposed by the expert is ridiculous, the value of the undervalued vehicle; "&amp;"The ""independent"" expert absolutely does not defend my interests, he established an expertise without having taken the trouble to consult the gray card of the vehicle or the parts he nevertheless asked and that I sent him by email: invoices + Technical "&amp;"control report dating from 2 months ago, with zero defects; La MAIF offers me a counter-expertise whose costs will be partly at my expense (!) First I am indicated the price of this expertise at 200 €, at the second phone call the price goes up to 300 €; "&amp;"I send the file to the MAIF, I attach the photos of the vehicle there, hoping that the expert designated by the MAIF will establish an expertise by taking into account the elements other than the expertise of the first expert; Very disappointed at this st"&amp;"age of the management of this disaster;")</f>
        <v>A member for twenty years at La MAIF, no responsible accident, no responsible claim; I have just been the victim of a driver, my vehicle is declared irreparable, the compensation proposed by the expert is ridiculous, the value of the undervalued vehicle; The "independent" expert absolutely does not defend my interests, he established an expertise without having taken the trouble to consult the gray card of the vehicle or the parts he nevertheless asked and that I sent him by email: invoices + Technical control report dating from 2 months ago, with zero defects; La MAIF offers me a counter-expertise whose costs will be partly at my expense (!) First I am indicated the price of this expertise at 200 €, at the second phone call the price goes up to 300 €; I send the file to the MAIF, I attach the photos of the vehicle there, hoping that the expert designated by the MAIF will establish an expertise by taking into account the elements other than the expertise of the first expert; Very disappointed at this stage of the management of this disaster;</v>
      </c>
    </row>
    <row r="883" ht="15.75" customHeight="1">
      <c r="A883" s="2">
        <v>3.0</v>
      </c>
      <c r="B883" s="2" t="s">
        <v>2456</v>
      </c>
      <c r="C883" s="2" t="s">
        <v>2457</v>
      </c>
      <c r="D883" s="2" t="s">
        <v>13</v>
      </c>
      <c r="E883" s="2" t="s">
        <v>14</v>
      </c>
      <c r="F883" s="2" t="s">
        <v>15</v>
      </c>
      <c r="G883" s="2" t="s">
        <v>323</v>
      </c>
      <c r="H883" s="2" t="s">
        <v>85</v>
      </c>
      <c r="I883" s="2" t="str">
        <f>IFERROR(__xludf.DUMMYFUNCTION("GOOGLETRANSLATE(C883,""fr"",""en"")"),"I am rather satisfied with the service despite the difficulty in finding my vehicle and the errors made by the online advisor when subscribing.")</f>
        <v>I am rather satisfied with the service despite the difficulty in finding my vehicle and the errors made by the online advisor when subscribing.</v>
      </c>
    </row>
    <row r="884" ht="15.75" customHeight="1">
      <c r="A884" s="2">
        <v>3.0</v>
      </c>
      <c r="B884" s="2" t="s">
        <v>2458</v>
      </c>
      <c r="C884" s="2" t="s">
        <v>2459</v>
      </c>
      <c r="D884" s="2" t="s">
        <v>125</v>
      </c>
      <c r="E884" s="2" t="s">
        <v>14</v>
      </c>
      <c r="F884" s="2" t="s">
        <v>15</v>
      </c>
      <c r="G884" s="2" t="s">
        <v>33</v>
      </c>
      <c r="H884" s="2" t="s">
        <v>33</v>
      </c>
      <c r="I884" s="2" t="str">
        <f>IFERROR(__xludf.DUMMYFUNCTION("GOOGLETRANSLATE(C884,""fr"",""en"")"),"I would have liked a drop in the price in view of the year of my vehicle. Years pass but the drop price not, even with a comfortable bonus, it's a shame.")</f>
        <v>I would have liked a drop in the price in view of the year of my vehicle. Years pass but the drop price not, even with a comfortable bonus, it's a shame.</v>
      </c>
    </row>
    <row r="885" ht="15.75" customHeight="1">
      <c r="A885" s="2">
        <v>3.0</v>
      </c>
      <c r="B885" s="2" t="s">
        <v>2460</v>
      </c>
      <c r="C885" s="2" t="s">
        <v>2461</v>
      </c>
      <c r="D885" s="2" t="s">
        <v>36</v>
      </c>
      <c r="E885" s="2" t="s">
        <v>14</v>
      </c>
      <c r="F885" s="2" t="s">
        <v>15</v>
      </c>
      <c r="G885" s="2" t="s">
        <v>597</v>
      </c>
      <c r="H885" s="2" t="s">
        <v>171</v>
      </c>
      <c r="I885" s="2" t="str">
        <f>IFERROR(__xludf.DUMMYFUNCTION("GOOGLETRANSLATE(C885,""fr"",""en"")"),"I had an accident that was on my part not my need but you decided that it was 50/50 .. so the cost for repairs are very heavy for me")</f>
        <v>I had an accident that was on my part not my need but you decided that it was 50/50 .. so the cost for repairs are very heavy for me</v>
      </c>
    </row>
    <row r="886" ht="15.75" customHeight="1">
      <c r="A886" s="2">
        <v>2.0</v>
      </c>
      <c r="B886" s="2" t="s">
        <v>2462</v>
      </c>
      <c r="C886" s="2" t="s">
        <v>2463</v>
      </c>
      <c r="D886" s="2" t="s">
        <v>93</v>
      </c>
      <c r="E886" s="2" t="s">
        <v>14</v>
      </c>
      <c r="F886" s="2" t="s">
        <v>15</v>
      </c>
      <c r="G886" s="2" t="s">
        <v>441</v>
      </c>
      <c r="H886" s="2" t="s">
        <v>33</v>
      </c>
      <c r="I886" s="2" t="str">
        <f>IFERROR(__xludf.DUMMYFUNCTION("GOOGLETRANSLATE(C886,""fr"",""en"")"),"Insurance does everything to not pay in the event of a claim I have been with the with 5 contra that for 20 years and quickly leaves them he does not receive the paper send and do not read your email I am more than disappointed and you do not does not rec"&amp;"ommend this insurance to a good hearing")</f>
        <v>Insurance does everything to not pay in the event of a claim I have been with the with 5 contra that for 20 years and quickly leaves them he does not receive the paper send and do not read your email I am more than disappointed and you do not does not recommend this insurance to a good hearing</v>
      </c>
    </row>
    <row r="887" ht="15.75" customHeight="1">
      <c r="A887" s="2">
        <v>4.0</v>
      </c>
      <c r="B887" s="2" t="s">
        <v>2464</v>
      </c>
      <c r="C887" s="2" t="s">
        <v>2465</v>
      </c>
      <c r="D887" s="2" t="s">
        <v>88</v>
      </c>
      <c r="E887" s="2" t="s">
        <v>31</v>
      </c>
      <c r="F887" s="2" t="s">
        <v>15</v>
      </c>
      <c r="G887" s="2" t="s">
        <v>2466</v>
      </c>
      <c r="H887" s="2" t="s">
        <v>110</v>
      </c>
      <c r="I887" s="2" t="str">
        <f>IFERROR(__xludf.DUMMYFUNCTION("GOOGLETRANSLATE(C887,""fr"",""en"")")," I have never had a problem")</f>
        <v> I have never had a problem</v>
      </c>
    </row>
    <row r="888" ht="15.75" customHeight="1">
      <c r="A888" s="2">
        <v>1.0</v>
      </c>
      <c r="B888" s="2" t="s">
        <v>2467</v>
      </c>
      <c r="C888" s="2" t="s">
        <v>2468</v>
      </c>
      <c r="D888" s="2" t="s">
        <v>20</v>
      </c>
      <c r="E888" s="2" t="s">
        <v>14</v>
      </c>
      <c r="F888" s="2" t="s">
        <v>15</v>
      </c>
      <c r="G888" s="2" t="s">
        <v>2369</v>
      </c>
      <c r="H888" s="2" t="s">
        <v>1319</v>
      </c>
      <c r="I888" s="2" t="str">
        <f>IFERROR(__xludf.DUMMYFUNCTION("GOOGLETRANSLATE(C888,""fr"",""en"")"),"When we want to leave this insurance due to the flight of prices of € 200 prices up normal for them when there was no clashes and at 50% bonus and well it is a festival of incompetence ... lost letters. lost regulations. AXA Prices that increase for witho"&amp;"ut reasons and a deplorable after -sales service.")</f>
        <v>When we want to leave this insurance due to the flight of prices of € 200 prices up normal for them when there was no clashes and at 50% bonus and well it is a festival of incompetence ... lost letters. lost regulations. AXA Prices that increase for without reasons and a deplorable after -sales service.</v>
      </c>
    </row>
    <row r="889" ht="15.75" customHeight="1">
      <c r="A889" s="2">
        <v>1.0</v>
      </c>
      <c r="B889" s="2" t="s">
        <v>2469</v>
      </c>
      <c r="C889" s="2" t="s">
        <v>2470</v>
      </c>
      <c r="D889" s="2" t="s">
        <v>36</v>
      </c>
      <c r="E889" s="2" t="s">
        <v>14</v>
      </c>
      <c r="F889" s="2" t="s">
        <v>15</v>
      </c>
      <c r="G889" s="2" t="s">
        <v>26</v>
      </c>
      <c r="H889" s="2" t="s">
        <v>27</v>
      </c>
      <c r="I889" s="2" t="str">
        <f>IFERROR(__xludf.DUMMYFUNCTION("GOOGLETRANSLATE(C889,""fr"",""en"")"),"It is not professional of all he resets the contract without having even information I am reselled in 2 times I do not even know what the problem not even an apelle to explain the problem")</f>
        <v>It is not professional of all he resets the contract without having even information I am reselled in 2 times I do not even know what the problem not even an apelle to explain the problem</v>
      </c>
    </row>
    <row r="890" ht="15.75" customHeight="1">
      <c r="A890" s="2">
        <v>5.0</v>
      </c>
      <c r="B890" s="2" t="s">
        <v>2471</v>
      </c>
      <c r="C890" s="2" t="s">
        <v>2472</v>
      </c>
      <c r="D890" s="2" t="s">
        <v>13</v>
      </c>
      <c r="E890" s="2" t="s">
        <v>14</v>
      </c>
      <c r="F890" s="2" t="s">
        <v>15</v>
      </c>
      <c r="G890" s="2" t="s">
        <v>316</v>
      </c>
      <c r="H890" s="2" t="s">
        <v>27</v>
      </c>
      <c r="I890" s="2" t="str">
        <f>IFERROR(__xludf.DUMMYFUNCTION("GOOGLETRANSLATE(C890,""fr"",""en"")"),"I am satisfied with the service (quality of listening and advice of the telecrower, ease of contractualization) The price positioning for a young driver is also attractive")</f>
        <v>I am satisfied with the service (quality of listening and advice of the telecrower, ease of contractualization) The price positioning for a young driver is also attractive</v>
      </c>
    </row>
    <row r="891" ht="15.75" customHeight="1">
      <c r="A891" s="2">
        <v>2.0</v>
      </c>
      <c r="B891" s="2" t="s">
        <v>2473</v>
      </c>
      <c r="C891" s="2" t="s">
        <v>2474</v>
      </c>
      <c r="D891" s="2" t="s">
        <v>104</v>
      </c>
      <c r="E891" s="2" t="s">
        <v>31</v>
      </c>
      <c r="F891" s="2" t="s">
        <v>15</v>
      </c>
      <c r="G891" s="2" t="s">
        <v>2475</v>
      </c>
      <c r="H891" s="2" t="s">
        <v>149</v>
      </c>
      <c r="I891" s="2" t="str">
        <f>IFERROR(__xludf.DUMMYFUNCTION("GOOGLETRANSLATE(C891,""fr"",""en"")"),"I find my mutual insurance company very expensive because calculated on the salary index
An in addition to each payment is held in addition.
In my entourage, friends for the same family configuration pay between 35 and 50 %less ???
")</f>
        <v>I find my mutual insurance company very expensive because calculated on the salary index
An in addition to each payment is held in addition.
In my entourage, friends for the same family configuration pay between 35 and 50 %less ???
</v>
      </c>
    </row>
    <row r="892" ht="15.75" customHeight="1">
      <c r="A892" s="2">
        <v>4.0</v>
      </c>
      <c r="B892" s="2" t="s">
        <v>2476</v>
      </c>
      <c r="C892" s="2" t="s">
        <v>2477</v>
      </c>
      <c r="D892" s="2" t="s">
        <v>36</v>
      </c>
      <c r="E892" s="2" t="s">
        <v>14</v>
      </c>
      <c r="F892" s="2" t="s">
        <v>15</v>
      </c>
      <c r="G892" s="2" t="s">
        <v>249</v>
      </c>
      <c r="H892" s="2" t="s">
        <v>43</v>
      </c>
      <c r="I892" s="2" t="str">
        <f>IFERROR(__xludf.DUMMYFUNCTION("GOOGLETRANSLATE(C892,""fr"",""en"")"),"I am satisfied with the service which also has a very well designed site at the UI/UX level.
Price defying all competition but always a little expensive for a new driver.")</f>
        <v>I am satisfied with the service which also has a very well designed site at the UI/UX level.
Price defying all competition but always a little expensive for a new driver.</v>
      </c>
    </row>
    <row r="893" ht="15.75" customHeight="1">
      <c r="A893" s="2">
        <v>5.0</v>
      </c>
      <c r="B893" s="2" t="s">
        <v>2478</v>
      </c>
      <c r="C893" s="2" t="s">
        <v>2479</v>
      </c>
      <c r="D893" s="2" t="s">
        <v>125</v>
      </c>
      <c r="E893" s="2" t="s">
        <v>37</v>
      </c>
      <c r="F893" s="2" t="s">
        <v>15</v>
      </c>
      <c r="G893" s="2" t="s">
        <v>427</v>
      </c>
      <c r="H893" s="2" t="s">
        <v>33</v>
      </c>
      <c r="I893" s="2" t="str">
        <f>IFERROR(__xludf.DUMMYFUNCTION("GOOGLETRANSLATE(C893,""fr"",""en"")"),"Hello,
The GMF covers my natural disaster damage (drought), I am very happy.
Thank you the GMF I encourage to secure 100%at home.
An interlocutor is always present!
")</f>
        <v>Hello,
The GMF covers my natural disaster damage (drought), I am very happy.
Thank you the GMF I encourage to secure 100%at home.
An interlocutor is always present!
</v>
      </c>
    </row>
    <row r="894" ht="15.75" customHeight="1">
      <c r="A894" s="2">
        <v>4.0</v>
      </c>
      <c r="B894" s="2" t="s">
        <v>2480</v>
      </c>
      <c r="C894" s="2" t="s">
        <v>2481</v>
      </c>
      <c r="D894" s="2" t="s">
        <v>143</v>
      </c>
      <c r="E894" s="2" t="s">
        <v>31</v>
      </c>
      <c r="F894" s="2" t="s">
        <v>15</v>
      </c>
      <c r="G894" s="2" t="s">
        <v>418</v>
      </c>
      <c r="H894" s="2" t="s">
        <v>73</v>
      </c>
      <c r="I894" s="2" t="str">
        <f>IFERROR(__xludf.DUMMYFUNCTION("GOOGLETRANSLATE(C894,""fr"",""en"")"),"Value for money I am satisfied, I was able to adapt my coverage according to my needs and I was especially well advised. I hope the prices will not increase exaggeratedly.")</f>
        <v>Value for money I am satisfied, I was able to adapt my coverage according to my needs and I was especially well advised. I hope the prices will not increase exaggeratedly.</v>
      </c>
    </row>
    <row r="895" ht="15.75" customHeight="1">
      <c r="A895" s="2">
        <v>4.0</v>
      </c>
      <c r="B895" s="2" t="s">
        <v>2482</v>
      </c>
      <c r="C895" s="2" t="s">
        <v>2483</v>
      </c>
      <c r="D895" s="2" t="s">
        <v>36</v>
      </c>
      <c r="E895" s="2" t="s">
        <v>14</v>
      </c>
      <c r="F895" s="2" t="s">
        <v>15</v>
      </c>
      <c r="G895" s="2" t="s">
        <v>542</v>
      </c>
      <c r="H895" s="2" t="s">
        <v>171</v>
      </c>
      <c r="I895" s="2" t="str">
        <f>IFERROR(__xludf.DUMMYFUNCTION("GOOGLETRANSLATE(C895,""fr"",""en"")"),"You can never give you an email because the files offered in the choices of selections are the old contracts or quotes which are always mentioned in the files when they have been expired for more than a year. It would be good to be able to delete them
th"&amp;"ank you")</f>
        <v>You can never give you an email because the files offered in the choices of selections are the old contracts or quotes which are always mentioned in the files when they have been expired for more than a year. It would be good to be able to delete them
thank you</v>
      </c>
    </row>
    <row r="896" ht="15.75" customHeight="1">
      <c r="A896" s="2">
        <v>5.0</v>
      </c>
      <c r="B896" s="2" t="s">
        <v>2484</v>
      </c>
      <c r="C896" s="2" t="s">
        <v>2485</v>
      </c>
      <c r="D896" s="2" t="s">
        <v>36</v>
      </c>
      <c r="E896" s="2" t="s">
        <v>14</v>
      </c>
      <c r="F896" s="2" t="s">
        <v>15</v>
      </c>
      <c r="G896" s="2" t="s">
        <v>992</v>
      </c>
      <c r="H896" s="2" t="s">
        <v>43</v>
      </c>
      <c r="I896" s="2" t="str">
        <f>IFERROR(__xludf.DUMMYFUNCTION("GOOGLETRANSLATE(C896,""fr"",""en"")"),"Very satisfied with your super responsive fuss I highly recommend this insurance service very good quality of the service I am very happy with this insurance")</f>
        <v>Very satisfied with your super responsive fuss I highly recommend this insurance service very good quality of the service I am very happy with this insurance</v>
      </c>
    </row>
    <row r="897" ht="15.75" customHeight="1">
      <c r="A897" s="2">
        <v>1.0</v>
      </c>
      <c r="B897" s="2" t="s">
        <v>2486</v>
      </c>
      <c r="C897" s="2" t="s">
        <v>2487</v>
      </c>
      <c r="D897" s="2" t="s">
        <v>1075</v>
      </c>
      <c r="E897" s="2" t="s">
        <v>51</v>
      </c>
      <c r="F897" s="2" t="s">
        <v>15</v>
      </c>
      <c r="G897" s="2" t="s">
        <v>2488</v>
      </c>
      <c r="H897" s="2" t="s">
        <v>356</v>
      </c>
      <c r="I897" s="2" t="str">
        <f>IFERROR(__xludf.DUMMYFUNCTION("GOOGLETRANSLATE(C897,""fr"",""en"")"),"If I could give zero I would have done it. Between the increase, the endorsements, follows to a change of address the erroneous calculations to reimburse you the too perceived.
There is no worse. Ah if it also invoices you a fake assembly which is useles"&amp;"s in short it to disgust this machine to make money on the back of the enthusiast of the motorcycle and never again.")</f>
        <v>If I could give zero I would have done it. Between the increase, the endorsements, follows to a change of address the erroneous calculations to reimburse you the too perceived.
There is no worse. Ah if it also invoices you a fake assembly which is useless in short it to disgust this machine to make money on the back of the enthusiast of the motorcycle and never again.</v>
      </c>
    </row>
    <row r="898" ht="15.75" customHeight="1">
      <c r="A898" s="2">
        <v>2.0</v>
      </c>
      <c r="B898" s="2" t="s">
        <v>2489</v>
      </c>
      <c r="C898" s="2" t="s">
        <v>2490</v>
      </c>
      <c r="D898" s="2" t="s">
        <v>430</v>
      </c>
      <c r="E898" s="2" t="s">
        <v>14</v>
      </c>
      <c r="F898" s="2" t="s">
        <v>15</v>
      </c>
      <c r="G898" s="2" t="s">
        <v>2049</v>
      </c>
      <c r="H898" s="2" t="s">
        <v>356</v>
      </c>
      <c r="I898" s="2" t="str">
        <f>IFERROR(__xludf.DUMMYFUNCTION("GOOGLETRANSLATE(C898,""fr"",""en"")"),"Insurance like all the others which promote 50 50 for claims to put as many penalties as possible.
With a long -file processing deadline without having 2 people on the phone that tell you the same thing")</f>
        <v>Insurance like all the others which promote 50 50 for claims to put as many penalties as possible.
With a long -file processing deadline without having 2 people on the phone that tell you the same thing</v>
      </c>
    </row>
    <row r="899" ht="15.75" customHeight="1">
      <c r="A899" s="2">
        <v>5.0</v>
      </c>
      <c r="B899" s="2" t="s">
        <v>2491</v>
      </c>
      <c r="C899" s="2" t="s">
        <v>2492</v>
      </c>
      <c r="D899" s="2" t="s">
        <v>13</v>
      </c>
      <c r="E899" s="2" t="s">
        <v>14</v>
      </c>
      <c r="F899" s="2" t="s">
        <v>15</v>
      </c>
      <c r="G899" s="2" t="s">
        <v>570</v>
      </c>
      <c r="H899" s="2" t="s">
        <v>43</v>
      </c>
      <c r="I899" s="2" t="str">
        <f>IFERROR(__xludf.DUMMYFUNCTION("GOOGLETRANSLATE(C899,""fr"",""en"")"),"All my questions have found an answer.
Very good, satisfactory
Excellent welcome and everything was very clear and well explained.
Also I renew my confidence")</f>
        <v>All my questions have found an answer.
Very good, satisfactory
Excellent welcome and everything was very clear and well explained.
Also I renew my confidence</v>
      </c>
    </row>
    <row r="900" ht="15.75" customHeight="1">
      <c r="A900" s="2">
        <v>3.0</v>
      </c>
      <c r="B900" s="2" t="s">
        <v>2493</v>
      </c>
      <c r="C900" s="2" t="s">
        <v>2494</v>
      </c>
      <c r="D900" s="2" t="s">
        <v>211</v>
      </c>
      <c r="E900" s="2" t="s">
        <v>31</v>
      </c>
      <c r="F900" s="2" t="s">
        <v>15</v>
      </c>
      <c r="G900" s="2" t="s">
        <v>2495</v>
      </c>
      <c r="H900" s="2" t="s">
        <v>205</v>
      </c>
      <c r="I900" s="2" t="str">
        <f>IFERROR(__xludf.DUMMYFUNCTION("GOOGLETRANSLATE(C900,""fr"",""en"")"),"exchange this day with Nadège no one very attentive listening to all the explanations")</f>
        <v>exchange this day with Nadège no one very attentive listening to all the explanations</v>
      </c>
    </row>
    <row r="901" ht="15.75" customHeight="1">
      <c r="A901" s="2">
        <v>2.0</v>
      </c>
      <c r="B901" s="2" t="s">
        <v>2496</v>
      </c>
      <c r="C901" s="2" t="s">
        <v>2497</v>
      </c>
      <c r="D901" s="2" t="s">
        <v>430</v>
      </c>
      <c r="E901" s="2" t="s">
        <v>37</v>
      </c>
      <c r="F901" s="2" t="s">
        <v>15</v>
      </c>
      <c r="G901" s="2" t="s">
        <v>2498</v>
      </c>
      <c r="H901" s="2" t="s">
        <v>591</v>
      </c>
      <c r="I901" s="2" t="str">
        <f>IFERROR(__xludf.DUMMYFUNCTION("GOOGLETRANSLATE(C901,""fr"",""en"")"),"We had a water damage to an unoccupied residence (breakdown of a pipe in the street) in January 2016 and the Macif refuses us all help, we have been a customer at home for more than 30 years with contributions of around 200 € / year!
repairs amounting to"&amp;" € 13,000")</f>
        <v>We had a water damage to an unoccupied residence (breakdown of a pipe in the street) in January 2016 and the Macif refuses us all help, we have been a customer at home for more than 30 years with contributions of around 200 € / year!
repairs amounting to € 13,000</v>
      </c>
    </row>
    <row r="902" ht="15.75" customHeight="1">
      <c r="A902" s="2">
        <v>2.0</v>
      </c>
      <c r="B902" s="2" t="s">
        <v>2499</v>
      </c>
      <c r="C902" s="2" t="s">
        <v>2500</v>
      </c>
      <c r="D902" s="2" t="s">
        <v>13</v>
      </c>
      <c r="E902" s="2" t="s">
        <v>14</v>
      </c>
      <c r="F902" s="2" t="s">
        <v>15</v>
      </c>
      <c r="G902" s="2" t="s">
        <v>962</v>
      </c>
      <c r="H902" s="2" t="s">
        <v>85</v>
      </c>
      <c r="I902" s="2" t="str">
        <f>IFERROR(__xludf.DUMMYFUNCTION("GOOGLETRANSLATE(C902,""fr"",""en"")"),"The clause on young drivers is quite abusive and not mentioned in the quote.
She may for some be considered as a Dolosive.")</f>
        <v>The clause on young drivers is quite abusive and not mentioned in the quote.
She may for some be considered as a Dolosive.</v>
      </c>
    </row>
    <row r="903" ht="15.75" customHeight="1">
      <c r="A903" s="2">
        <v>2.0</v>
      </c>
      <c r="B903" s="2" t="s">
        <v>2501</v>
      </c>
      <c r="C903" s="2" t="s">
        <v>2502</v>
      </c>
      <c r="D903" s="2" t="s">
        <v>93</v>
      </c>
      <c r="E903" s="2" t="s">
        <v>14</v>
      </c>
      <c r="F903" s="2" t="s">
        <v>15</v>
      </c>
      <c r="G903" s="2" t="s">
        <v>2503</v>
      </c>
      <c r="H903" s="2" t="s">
        <v>167</v>
      </c>
      <c r="I903" s="2" t="str">
        <f>IFERROR(__xludf.DUMMYFUNCTION("GOOGLETRANSLATE(C903,""fr"",""en"")"),"On 07/22/2018 My vehicle was burnt down (act of vandalism) today on 10/22/2018 (3 months after) still no proposals when nursing the person who takes care of me she hangs up with the nose more than 10 times In 1 week without even answering, when I call her"&amp;" with another phone she answers the first time then tells me that in 3 months she did not have time to read my file they are simply incapable that wants to play the big ones insurance but it is only a showcase.")</f>
        <v>On 07/22/2018 My vehicle was burnt down (act of vandalism) today on 10/22/2018 (3 months after) still no proposals when nursing the person who takes care of me she hangs up with the nose more than 10 times In 1 week without even answering, when I call her with another phone she answers the first time then tells me that in 3 months she did not have time to read my file they are simply incapable that wants to play the big ones insurance but it is only a showcase.</v>
      </c>
    </row>
    <row r="904" ht="15.75" customHeight="1">
      <c r="A904" s="2">
        <v>1.0</v>
      </c>
      <c r="B904" s="2" t="s">
        <v>2504</v>
      </c>
      <c r="C904" s="2" t="s">
        <v>2505</v>
      </c>
      <c r="D904" s="2" t="s">
        <v>1010</v>
      </c>
      <c r="E904" s="2" t="s">
        <v>121</v>
      </c>
      <c r="F904" s="2" t="s">
        <v>15</v>
      </c>
      <c r="G904" s="2" t="s">
        <v>2506</v>
      </c>
      <c r="H904" s="2" t="s">
        <v>149</v>
      </c>
      <c r="I904" s="2" t="str">
        <f>IFERROR(__xludf.DUMMYFUNCTION("GOOGLETRANSLATE(C904,""fr"",""en"")"),"Because you have to put 1 star otherwise I will put 0 !!!!
In 16 years that I am on my own and that I had to be hospitable for the first time I had to have 1 month of stopping. It's been 1 month and a half that I have still not touched my daily allowance"&amp;"s. They are unreachable on the phone and in addition it costs a blind to call them! 3 weeks to have an answer by a doctor advice to ask you again a paper that they have already had before! In short, branquignolles !!! Null, to flee! !! I don't even know i"&amp;"f I'm going to touch something and if so when. They refer the ball all the time when you manage to have them or they do not know it is not they who decide!
")</f>
        <v>Because you have to put 1 star otherwise I will put 0 !!!!
In 16 years that I am on my own and that I had to be hospitable for the first time I had to have 1 month of stopping. It's been 1 month and a half that I have still not touched my daily allowances. They are unreachable on the phone and in addition it costs a blind to call them! 3 weeks to have an answer by a doctor advice to ask you again a paper that they have already had before! In short, branquignolles !!! Null, to flee! !! I don't even know if I'm going to touch something and if so when. They refer the ball all the time when you manage to have them or they do not know it is not they who decide!
</v>
      </c>
    </row>
    <row r="905" ht="15.75" customHeight="1">
      <c r="A905" s="2">
        <v>1.0</v>
      </c>
      <c r="B905" s="2" t="s">
        <v>2507</v>
      </c>
      <c r="C905" s="2" t="s">
        <v>2508</v>
      </c>
      <c r="D905" s="2" t="s">
        <v>13</v>
      </c>
      <c r="E905" s="2" t="s">
        <v>14</v>
      </c>
      <c r="F905" s="2" t="s">
        <v>15</v>
      </c>
      <c r="G905" s="2" t="s">
        <v>2509</v>
      </c>
      <c r="H905" s="2" t="s">
        <v>145</v>
      </c>
      <c r="I905" s="2" t="str">
        <f>IFERROR(__xludf.DUMMYFUNCTION("GOOGLETRANSLATE(C905,""fr"",""en"")"),"Insurance to avoid! A commercial service that sells you mountains and wonders but the reality is quite different.
A non -professional team, which changes speeches with each telephone exchange.
A disaster for which I was not responsible: carned car, I "&amp;"am confirmed to me to reimburse my gray card and I am confirmed a week later (after having restarted them 4 times to be compensated for my car and gray card) that ultimately it would not be reimbursed.
Not to mention the long expectations, and to be with"&amp;" a different interlocutor (Rice) with each exchange! You will have nothing if you do not spend time, money and energy!
She won't make your life easier")</f>
        <v>Insurance to avoid! A commercial service that sells you mountains and wonders but the reality is quite different.
A non -professional team, which changes speeches with each telephone exchange.
A disaster for which I was not responsible: carned car, I am confirmed to me to reimburse my gray card and I am confirmed a week later (after having restarted them 4 times to be compensated for my car and gray card) that ultimately it would not be reimbursed.
Not to mention the long expectations, and to be with a different interlocutor (Rice) with each exchange! You will have nothing if you do not spend time, money and energy!
She won't make your life easier</v>
      </c>
    </row>
    <row r="906" ht="15.75" customHeight="1">
      <c r="A906" s="2">
        <v>2.0</v>
      </c>
      <c r="B906" s="2" t="s">
        <v>2510</v>
      </c>
      <c r="C906" s="2" t="s">
        <v>2511</v>
      </c>
      <c r="D906" s="2" t="s">
        <v>36</v>
      </c>
      <c r="E906" s="2" t="s">
        <v>14</v>
      </c>
      <c r="F906" s="2" t="s">
        <v>15</v>
      </c>
      <c r="G906" s="2" t="s">
        <v>243</v>
      </c>
      <c r="H906" s="2" t="s">
        <v>47</v>
      </c>
      <c r="I906" s="2" t="str">
        <f>IFERROR(__xludf.DUMMYFUNCTION("GOOGLETRANSLATE(C906,""fr"",""en"")"),"I found this procedure extremely simple and practical for the subscription of a contract and to receive the supporting documents.
Nothing more to add")</f>
        <v>I found this procedure extremely simple and practical for the subscription of a contract and to receive the supporting documents.
Nothing more to add</v>
      </c>
    </row>
    <row r="907" ht="15.75" customHeight="1">
      <c r="A907" s="2">
        <v>3.0</v>
      </c>
      <c r="B907" s="2" t="s">
        <v>2512</v>
      </c>
      <c r="C907" s="2" t="s">
        <v>2513</v>
      </c>
      <c r="D907" s="2" t="s">
        <v>252</v>
      </c>
      <c r="E907" s="2" t="s">
        <v>253</v>
      </c>
      <c r="F907" s="2" t="s">
        <v>15</v>
      </c>
      <c r="G907" s="2" t="s">
        <v>1901</v>
      </c>
      <c r="H907" s="2" t="s">
        <v>33</v>
      </c>
      <c r="I907" s="2" t="str">
        <f>IFERROR(__xludf.DUMMYFUNCTION("GOOGLETRANSLATE(C907,""fr"",""en"")"),"Hello, after a few reminders I was finally reimbursed, perhaps Coencidence with the summer holidays so a less reactive service but I was reimbursed in full in September for the care of my animal operated in emergency in July.")</f>
        <v>Hello, after a few reminders I was finally reimbursed, perhaps Coencidence with the summer holidays so a less reactive service but I was reimbursed in full in September for the care of my animal operated in emergency in July.</v>
      </c>
    </row>
    <row r="908" ht="15.75" customHeight="1">
      <c r="A908" s="2">
        <v>1.0</v>
      </c>
      <c r="B908" s="2" t="s">
        <v>2514</v>
      </c>
      <c r="C908" s="2" t="s">
        <v>2515</v>
      </c>
      <c r="D908" s="2" t="s">
        <v>20</v>
      </c>
      <c r="E908" s="2" t="s">
        <v>37</v>
      </c>
      <c r="F908" s="2" t="s">
        <v>15</v>
      </c>
      <c r="G908" s="2" t="s">
        <v>2516</v>
      </c>
      <c r="H908" s="2" t="s">
        <v>81</v>
      </c>
      <c r="I908" s="2" t="str">
        <f>IFERROR(__xludf.DUMMYFUNCTION("GOOGLETRANSLATE(C908,""fr"",""en"")"),"To flee. Mediocre monitoring of files. Axa is still looking for a reason not to implement a guarantee. Requires an unreasonable amount of documents to open a file. The monitoring platform is not based in France and the training of agents is visibly insuff"&amp;"icient (I had to explain what a VMC is for example). The 'Defense-Recours' guarantee is even worse, Axa will not make any effort to defend you, will be content to make an email for an amicable appeal and will accept without discussing the arguments of the"&amp;" opposing part (which will obviously be always against your disadvantage).")</f>
        <v>To flee. Mediocre monitoring of files. Axa is still looking for a reason not to implement a guarantee. Requires an unreasonable amount of documents to open a file. The monitoring platform is not based in France and the training of agents is visibly insufficient (I had to explain what a VMC is for example). The 'Defense-Recours' guarantee is even worse, Axa will not make any effort to defend you, will be content to make an email for an amicable appeal and will accept without discussing the arguments of the opposing part (which will obviously be always against your disadvantage).</v>
      </c>
    </row>
    <row r="909" ht="15.75" customHeight="1">
      <c r="A909" s="2">
        <v>4.0</v>
      </c>
      <c r="B909" s="2" t="s">
        <v>2517</v>
      </c>
      <c r="C909" s="2" t="s">
        <v>2518</v>
      </c>
      <c r="D909" s="2" t="s">
        <v>125</v>
      </c>
      <c r="E909" s="2" t="s">
        <v>14</v>
      </c>
      <c r="F909" s="2" t="s">
        <v>15</v>
      </c>
      <c r="G909" s="2" t="s">
        <v>1048</v>
      </c>
      <c r="H909" s="2" t="s">
        <v>171</v>
      </c>
      <c r="I909" s="2" t="str">
        <f>IFERROR(__xludf.DUMMYFUNCTION("GOOGLETRANSLATE(C909,""fr"",""en"")"),"I have always had confidence in the GMF. The reception in my Laon agency has always been professional.
I had more difficulties with the phone.
Have a good evening")</f>
        <v>I have always had confidence in the GMF. The reception in my Laon agency has always been professional.
I had more difficulties with the phone.
Have a good evening</v>
      </c>
    </row>
    <row r="910" ht="15.75" customHeight="1">
      <c r="A910" s="2">
        <v>4.0</v>
      </c>
      <c r="B910" s="2" t="s">
        <v>2519</v>
      </c>
      <c r="C910" s="2" t="s">
        <v>2520</v>
      </c>
      <c r="D910" s="2" t="s">
        <v>50</v>
      </c>
      <c r="E910" s="2" t="s">
        <v>51</v>
      </c>
      <c r="F910" s="2" t="s">
        <v>15</v>
      </c>
      <c r="G910" s="2" t="s">
        <v>272</v>
      </c>
      <c r="H910" s="2" t="s">
        <v>47</v>
      </c>
      <c r="I910" s="2" t="str">
        <f>IFERROR(__xludf.DUMMYFUNCTION("GOOGLETRANSLATE(C910,""fr"",""en"")"),"Quite clear in the description, a lower price than others. After comparison I think that the proposal I have chosen must give me satisfaction.")</f>
        <v>Quite clear in the description, a lower price than others. After comparison I think that the proposal I have chosen must give me satisfaction.</v>
      </c>
    </row>
    <row r="911" ht="15.75" customHeight="1">
      <c r="A911" s="2">
        <v>3.0</v>
      </c>
      <c r="B911" s="2" t="s">
        <v>2521</v>
      </c>
      <c r="C911" s="2" t="s">
        <v>2522</v>
      </c>
      <c r="D911" s="2" t="s">
        <v>414</v>
      </c>
      <c r="E911" s="2" t="s">
        <v>37</v>
      </c>
      <c r="F911" s="2" t="s">
        <v>15</v>
      </c>
      <c r="G911" s="2" t="s">
        <v>2039</v>
      </c>
      <c r="H911" s="2" t="s">
        <v>487</v>
      </c>
      <c r="I911" s="2" t="str">
        <f>IFERROR(__xludf.DUMMYFUNCTION("GOOGLETRANSLATE(C911,""fr"",""en"")"),"The maif is no longer what it was !! more at all up to par !!! Exorbitant prices compared to others!
Assured for over 30 years at home ... never a reimbursed claim
Today, the insurer prefers to pay for expert pseudo, rather than compensating his insured"&amp;"!
In my main residence, water damage, repairs taken into account as if I was the craftsman who was going to replace the Painting and Sol place !! Need 2 expertise, impossible to live while waiting in the house. in June!
In addition, natural disaster i"&amp;"n Nice in serenity compensation 0 euro !!")</f>
        <v>The maif is no longer what it was !! more at all up to par !!! Exorbitant prices compared to others!
Assured for over 30 years at home ... never a reimbursed claim
Today, the insurer prefers to pay for expert pseudo, rather than compensating his insured!
In my main residence, water damage, repairs taken into account as if I was the craftsman who was going to replace the Painting and Sol place !! Need 2 expertise, impossible to live while waiting in the house. in June!
In addition, natural disaster in Nice in serenity compensation 0 euro !!</v>
      </c>
    </row>
    <row r="912" ht="15.75" customHeight="1">
      <c r="A912" s="2">
        <v>1.0</v>
      </c>
      <c r="B912" s="2" t="s">
        <v>2523</v>
      </c>
      <c r="C912" s="2" t="s">
        <v>2524</v>
      </c>
      <c r="D912" s="2" t="s">
        <v>20</v>
      </c>
      <c r="E912" s="2" t="s">
        <v>14</v>
      </c>
      <c r="F912" s="2" t="s">
        <v>15</v>
      </c>
      <c r="G912" s="2" t="s">
        <v>2525</v>
      </c>
      <c r="H912" s="2" t="s">
        <v>160</v>
      </c>
      <c r="I912" s="2" t="str">
        <f>IFERROR(__xludf.DUMMYFUNCTION("GOOGLETRANSLATE(C912,""fr"",""en"")"),"Being currently at Axa Auto Insurance, I want to say it basically that it is not at all good insurance, I have a vehicle currently in repair, although I have the pack which allows me to have a vehicle loan in the event of a claim, Axa does not want to giv"&amp;"e me a loan vehicle at all.
Assurance to avoid absolutely and again so on but it would be too long to write, because they are in bad faith.")</f>
        <v>Being currently at Axa Auto Insurance, I want to say it basically that it is not at all good insurance, I have a vehicle currently in repair, although I have the pack which allows me to have a vehicle loan in the event of a claim, Axa does not want to give me a loan vehicle at all.
Assurance to avoid absolutely and again so on but it would be too long to write, because they are in bad faith.</v>
      </c>
    </row>
    <row r="913" ht="15.75" customHeight="1">
      <c r="A913" s="2">
        <v>1.0</v>
      </c>
      <c r="B913" s="2" t="s">
        <v>2526</v>
      </c>
      <c r="C913" s="2" t="s">
        <v>2527</v>
      </c>
      <c r="D913" s="2" t="s">
        <v>1010</v>
      </c>
      <c r="E913" s="2" t="s">
        <v>21</v>
      </c>
      <c r="F913" s="2" t="s">
        <v>15</v>
      </c>
      <c r="G913" s="2" t="s">
        <v>886</v>
      </c>
      <c r="H913" s="2" t="s">
        <v>436</v>
      </c>
      <c r="I913" s="2" t="str">
        <f>IFERROR(__xludf.DUMMYFUNCTION("GOOGLETRANSLATE(C913,""fr"",""en"")"),"Beneficiary of a life insurance contract, I had to attacked the Swiss-Life company to obtain my money. 4 years later I finally had my money. It's scandalous !! Do not let yourself have by this company whose internal services never communicate with you.")</f>
        <v>Beneficiary of a life insurance contract, I had to attacked the Swiss-Life company to obtain my money. 4 years later I finally had my money. It's scandalous !! Do not let yourself have by this company whose internal services never communicate with you.</v>
      </c>
    </row>
    <row r="914" ht="15.75" customHeight="1">
      <c r="A914" s="2">
        <v>2.0</v>
      </c>
      <c r="B914" s="2" t="s">
        <v>2528</v>
      </c>
      <c r="C914" s="2" t="s">
        <v>2529</v>
      </c>
      <c r="D914" s="2" t="s">
        <v>80</v>
      </c>
      <c r="E914" s="2" t="s">
        <v>37</v>
      </c>
      <c r="F914" s="2" t="s">
        <v>15</v>
      </c>
      <c r="G914" s="2" t="s">
        <v>2530</v>
      </c>
      <c r="H914" s="2" t="s">
        <v>255</v>
      </c>
      <c r="I914" s="2" t="str">
        <f>IFERROR(__xludf.DUMMYFUNCTION("GOOGLETRANSLATE(C914,""fr"",""en"")"),"In three years 3 claims: a freezer failure following a 100 € storm reimbursed. A broken window € 120 supported and a request for invoice for the search for a water leak and you are announced that you are too large a disaster. I have paid them € 45 every m"&amp;"onth for 3 years which costs € 1,700: it does not even reimburse me € 300 in damage and releases me.")</f>
        <v>In three years 3 claims: a freezer failure following a 100 € storm reimbursed. A broken window € 120 supported and a request for invoice for the search for a water leak and you are announced that you are too large a disaster. I have paid them € 45 every month for 3 years which costs € 1,700: it does not even reimburse me € 300 in damage and releases me.</v>
      </c>
    </row>
    <row r="915" ht="15.75" customHeight="1">
      <c r="A915" s="2">
        <v>3.0</v>
      </c>
      <c r="B915" s="2" t="s">
        <v>2531</v>
      </c>
      <c r="C915" s="2" t="s">
        <v>2532</v>
      </c>
      <c r="D915" s="2" t="s">
        <v>211</v>
      </c>
      <c r="E915" s="2" t="s">
        <v>31</v>
      </c>
      <c r="F915" s="2" t="s">
        <v>15</v>
      </c>
      <c r="G915" s="2" t="s">
        <v>2533</v>
      </c>
      <c r="H915" s="2" t="s">
        <v>205</v>
      </c>
      <c r="I915" s="2" t="str">
        <f>IFERROR(__xludf.DUMMYFUNCTION("GOOGLETRANSLATE(C915,""fr"",""en"")"),"To advise despite the disfunction on the web page")</f>
        <v>To advise despite the disfunction on the web page</v>
      </c>
    </row>
    <row r="916" ht="15.75" customHeight="1">
      <c r="A916" s="2">
        <v>1.0</v>
      </c>
      <c r="B916" s="2" t="s">
        <v>2534</v>
      </c>
      <c r="C916" s="2" t="s">
        <v>2535</v>
      </c>
      <c r="D916" s="2" t="s">
        <v>430</v>
      </c>
      <c r="E916" s="2" t="s">
        <v>14</v>
      </c>
      <c r="F916" s="2" t="s">
        <v>15</v>
      </c>
      <c r="G916" s="2" t="s">
        <v>2536</v>
      </c>
      <c r="H916" s="2" t="s">
        <v>145</v>
      </c>
      <c r="I916" s="2" t="str">
        <f>IFERROR(__xludf.DUMMYFUNCTION("GOOGLETRANSLATE(C916,""fr"",""en"")"),"I have been insured at home for several decades. I pay several thousand euros in insurance at home.
My bodybuilder declares a disaster broken ice as it usually does.
The Macif does not designate an expert and a month later, once the repairs have been ma"&amp;"de, they announce that they want to see the vehicle ... before work !!!
All this so as not to pay.")</f>
        <v>I have been insured at home for several decades. I pay several thousand euros in insurance at home.
My bodybuilder declares a disaster broken ice as it usually does.
The Macif does not designate an expert and a month later, once the repairs have been made, they announce that they want to see the vehicle ... before work !!!
All this so as not to pay.</v>
      </c>
    </row>
    <row r="917" ht="15.75" customHeight="1">
      <c r="A917" s="2">
        <v>1.0</v>
      </c>
      <c r="B917" s="2" t="s">
        <v>2537</v>
      </c>
      <c r="C917" s="2" t="s">
        <v>2538</v>
      </c>
      <c r="D917" s="2" t="s">
        <v>790</v>
      </c>
      <c r="E917" s="2" t="s">
        <v>121</v>
      </c>
      <c r="F917" s="2" t="s">
        <v>15</v>
      </c>
      <c r="G917" s="2" t="s">
        <v>109</v>
      </c>
      <c r="H917" s="2" t="s">
        <v>110</v>
      </c>
      <c r="I917" s="2" t="str">
        <f>IFERROR(__xludf.DUMMYFUNCTION("GOOGLETRANSLATE(C917,""fr"",""en"")"),"Research victims borrower insurance.
We sign these contracts without real visibility of the ins and outs of the services.
The deception is revealed during health problems.
It is important to denounce these abuses most widely which puts a lot of f"&amp;"amilies in difficulty, these contracts are nevertheless selected (with care? Or not ...) by your bank
Do not hesitate to contact me.
We must denounce this contact@banques-infos-recours.fr
I myself am in trial with CNP and Crédit Agricole.
 ")</f>
        <v>Research victims borrower insurance.
We sign these contracts without real visibility of the ins and outs of the services.
The deception is revealed during health problems.
It is important to denounce these abuses most widely which puts a lot of families in difficulty, these contracts are nevertheless selected (with care? Or not ...) by your bank
Do not hesitate to contact me.
We must denounce this contact@banques-infos-recours.fr
I myself am in trial with CNP and Crédit Agricole.
 </v>
      </c>
    </row>
    <row r="918" ht="15.75" customHeight="1">
      <c r="A918" s="2">
        <v>2.0</v>
      </c>
      <c r="B918" s="2" t="s">
        <v>2539</v>
      </c>
      <c r="C918" s="2" t="s">
        <v>2540</v>
      </c>
      <c r="D918" s="2" t="s">
        <v>285</v>
      </c>
      <c r="E918" s="2" t="s">
        <v>14</v>
      </c>
      <c r="F918" s="2" t="s">
        <v>15</v>
      </c>
      <c r="G918" s="2" t="s">
        <v>622</v>
      </c>
      <c r="H918" s="2" t="s">
        <v>39</v>
      </c>
      <c r="I918" s="2" t="str">
        <f>IFERROR(__xludf.DUMMYFUNCTION("GOOGLETRANSLATE(C918,""fr"",""en"")"),"Never make sure you are despite their contributions that can be attractive.
Their such number is surcharged.
They never respond to emails.
I had to claim my insurance certificate because they did not send it to me.
I have never been able to know the d"&amp;"ate of my sample despite my request made 6 times by email. They made the levy on 12.07 for a deadline on 06.08
Impossible to find on my account in their site the contract that has been taken out.
I don't even dare to imagine a disaster with this company"&amp;" ...")</f>
        <v>Never make sure you are despite their contributions that can be attractive.
Their such number is surcharged.
They never respond to emails.
I had to claim my insurance certificate because they did not send it to me.
I have never been able to know the date of my sample despite my request made 6 times by email. They made the levy on 12.07 for a deadline on 06.08
Impossible to find on my account in their site the contract that has been taken out.
I don't even dare to imagine a disaster with this company ...</v>
      </c>
    </row>
    <row r="919" ht="15.75" customHeight="1">
      <c r="A919" s="2">
        <v>1.0</v>
      </c>
      <c r="B919" s="2" t="s">
        <v>2541</v>
      </c>
      <c r="C919" s="2" t="s">
        <v>2542</v>
      </c>
      <c r="D919" s="2" t="s">
        <v>304</v>
      </c>
      <c r="E919" s="2" t="s">
        <v>21</v>
      </c>
      <c r="F919" s="2" t="s">
        <v>15</v>
      </c>
      <c r="G919" s="2" t="s">
        <v>2543</v>
      </c>
      <c r="H919" s="2" t="s">
        <v>73</v>
      </c>
      <c r="I919" s="2" t="str">
        <f>IFERROR(__xludf.DUMMYFUNCTION("GOOGLETRANSLATE(C919,""fr"",""en"")"),"As part of my mother's succession, I am one of the beneficiaries of cardif life insurance. Cardif acknowledges having received, since January 2020, all documents concern in the succession file. But almost all beneficiaries have not yet received the paymen"&amp;"t of death capital. He assures me ""to do everything in order to settle this file as quickly as possible"" but they still do not solve anything!")</f>
        <v>As part of my mother's succession, I am one of the beneficiaries of cardif life insurance. Cardif acknowledges having received, since January 2020, all documents concern in the succession file. But almost all beneficiaries have not yet received the payment of death capital. He assures me "to do everything in order to settle this file as quickly as possible" but they still do not solve anything!</v>
      </c>
    </row>
    <row r="920" ht="15.75" customHeight="1">
      <c r="A920" s="2">
        <v>1.0</v>
      </c>
      <c r="B920" s="2" t="s">
        <v>2544</v>
      </c>
      <c r="C920" s="2" t="s">
        <v>2545</v>
      </c>
      <c r="D920" s="2" t="s">
        <v>13</v>
      </c>
      <c r="E920" s="2" t="s">
        <v>14</v>
      </c>
      <c r="F920" s="2" t="s">
        <v>15</v>
      </c>
      <c r="G920" s="2" t="s">
        <v>2546</v>
      </c>
      <c r="H920" s="2" t="s">
        <v>360</v>
      </c>
      <c r="I920" s="2" t="str">
        <f>IFERROR(__xludf.DUMMYFUNCTION("GOOGLETRANSLATE(C920,""fr"",""en"")"),"Impossible to reach by phone or email a request for a change of account for 4 months without response from the olive tree incorrects a faith the signed contract they make fun of customers.
I leave them at the end of my annual contract phew")</f>
        <v>Impossible to reach by phone or email a request for a change of account for 4 months without response from the olive tree incorrects a faith the signed contract they make fun of customers.
I leave them at the end of my annual contract phew</v>
      </c>
    </row>
    <row r="921" ht="15.75" customHeight="1">
      <c r="A921" s="2">
        <v>5.0</v>
      </c>
      <c r="B921" s="2" t="s">
        <v>2547</v>
      </c>
      <c r="C921" s="2" t="s">
        <v>2548</v>
      </c>
      <c r="D921" s="2" t="s">
        <v>13</v>
      </c>
      <c r="E921" s="2" t="s">
        <v>14</v>
      </c>
      <c r="F921" s="2" t="s">
        <v>15</v>
      </c>
      <c r="G921" s="2" t="s">
        <v>2549</v>
      </c>
      <c r="H921" s="2" t="s">
        <v>130</v>
      </c>
      <c r="I921" s="2" t="str">
        <f>IFERROR(__xludf.DUMMYFUNCTION("GOOGLETRANSLATE(C921,""fr"",""en"")"),"Perfect, very very excellent insurance.
Easy contact by email and by phone")</f>
        <v>Perfect, very very excellent insurance.
Easy contact by email and by phone</v>
      </c>
    </row>
    <row r="922" ht="15.75" customHeight="1">
      <c r="A922" s="2">
        <v>1.0</v>
      </c>
      <c r="B922" s="2" t="s">
        <v>2550</v>
      </c>
      <c r="C922" s="2" t="s">
        <v>2551</v>
      </c>
      <c r="D922" s="2" t="s">
        <v>414</v>
      </c>
      <c r="E922" s="2" t="s">
        <v>14</v>
      </c>
      <c r="F922" s="2" t="s">
        <v>15</v>
      </c>
      <c r="G922" s="2" t="s">
        <v>2552</v>
      </c>
      <c r="H922" s="2" t="s">
        <v>110</v>
      </c>
      <c r="I922" s="2" t="str">
        <f>IFERROR(__xludf.DUMMYFUNCTION("GOOGLETRANSLATE(C922,""fr"",""en"")"),"Hello, so far I was a very satisfied client. But currently this is no longer the case. My daughter had a hanging on 08/03/2019: she doubled a bike to be able to turn left; On the road, there was only one vehicle behind it which returned to it. Both are in"&amp;"sured at the MAIF. Between 5 and 27/08, we contacted the Maif 5 times. We are told that we were going to remind us: it is not. I have always recalled; I was told that my daughter was wrong; When I asked for the reason, each time the reason invoked was dif"&amp;"ferent, and never explicit: the explanations are blurred, when we ask for an explanation we are systematically put on hold, so that the discussion is very difficult. On 08/28, my daughter and I went to delegation. The advisor told us to ask an activist to"&amp;" contact us as soon as possible. On 08/30, I sent a letter unanswered. In short, to date, no one has contacted us by phone or by mail. I don't understand ; We, who for over 35 years have had good relations, fall from the clouds. I no longer know who I sho"&amp;"uld address; I would have liked to be received with my daughter to finally be able to understand and above all be listened to. We have everything to gain by trusting ourselves, says the slogan of the maif, I only ask that!")</f>
        <v>Hello, so far I was a very satisfied client. But currently this is no longer the case. My daughter had a hanging on 08/03/2019: she doubled a bike to be able to turn left; On the road, there was only one vehicle behind it which returned to it. Both are insured at the MAIF. Between 5 and 27/08, we contacted the Maif 5 times. We are told that we were going to remind us: it is not. I have always recalled; I was told that my daughter was wrong; When I asked for the reason, each time the reason invoked was different, and never explicit: the explanations are blurred, when we ask for an explanation we are systematically put on hold, so that the discussion is very difficult. On 08/28, my daughter and I went to delegation. The advisor told us to ask an activist to contact us as soon as possible. On 08/30, I sent a letter unanswered. In short, to date, no one has contacted us by phone or by mail. I don't understand ; We, who for over 35 years have had good relations, fall from the clouds. I no longer know who I should address; I would have liked to be received with my daughter to finally be able to understand and above all be listened to. We have everything to gain by trusting ourselves, says the slogan of the maif, I only ask that!</v>
      </c>
    </row>
    <row r="923" ht="15.75" customHeight="1">
      <c r="A923" s="2">
        <v>4.0</v>
      </c>
      <c r="B923" s="2" t="s">
        <v>2553</v>
      </c>
      <c r="C923" s="2" t="s">
        <v>2554</v>
      </c>
      <c r="D923" s="2" t="s">
        <v>576</v>
      </c>
      <c r="E923" s="2" t="s">
        <v>14</v>
      </c>
      <c r="F923" s="2" t="s">
        <v>15</v>
      </c>
      <c r="G923" s="2" t="s">
        <v>2555</v>
      </c>
      <c r="H923" s="2" t="s">
        <v>205</v>
      </c>
      <c r="I923" s="2" t="str">
        <f>IFERROR(__xludf.DUMMYFUNCTION("GOOGLETRANSLATE(C923,""fr"",""en"")"),"Being a customer at home for 3 years for 2 cars and the home now everything goes very well. Unfortunately first hanging this not responsible week (stopping at a cedez the passage and the car behind has not slowed down) everything went very well, very fast"&amp;" contact, open file is photo expertise on the same day in a garage Approved (very good point that) very surprised by your speed despite the aggressive prices you offer.
But, there is a but. After tour the opinions I see on this site I am afraid of being "&amp;"terminated because of this hanging. And to be died will act when I did nothing wrong. When I see all people terminated it scares me a little.
Afterwards I also think that it does not necessarily reflect reality. There are always more unsatisfied people w"&amp;"ho will leave comments on this site than people who have nothing to blame you for.")</f>
        <v>Being a customer at home for 3 years for 2 cars and the home now everything goes very well. Unfortunately first hanging this not responsible week (stopping at a cedez the passage and the car behind has not slowed down) everything went very well, very fast contact, open file is photo expertise on the same day in a garage Approved (very good point that) very surprised by your speed despite the aggressive prices you offer.
But, there is a but. After tour the opinions I see on this site I am afraid of being terminated because of this hanging. And to be died will act when I did nothing wrong. When I see all people terminated it scares me a little.
Afterwards I also think that it does not necessarily reflect reality. There are always more unsatisfied people who will leave comments on this site than people who have nothing to blame you for.</v>
      </c>
    </row>
    <row r="924" ht="15.75" customHeight="1">
      <c r="A924" s="2">
        <v>2.0</v>
      </c>
      <c r="B924" s="2" t="s">
        <v>2556</v>
      </c>
      <c r="C924" s="2" t="s">
        <v>2557</v>
      </c>
      <c r="D924" s="2" t="s">
        <v>36</v>
      </c>
      <c r="E924" s="2" t="s">
        <v>14</v>
      </c>
      <c r="F924" s="2" t="s">
        <v>15</v>
      </c>
      <c r="G924" s="2" t="s">
        <v>2558</v>
      </c>
      <c r="H924" s="2" t="s">
        <v>73</v>
      </c>
      <c r="I924" s="2" t="str">
        <f>IFERROR(__xludf.DUMMYFUNCTION("GOOGLETRANSLATE(C924,""fr"",""en"")"),"You have terminated my car contract when I had asked one of your advisers to wait until I find a new car to stay at home before terminating my contract.")</f>
        <v>You have terminated my car contract when I had asked one of your advisers to wait until I find a new car to stay at home before terminating my contract.</v>
      </c>
    </row>
    <row r="925" ht="15.75" customHeight="1">
      <c r="A925" s="2">
        <v>2.0</v>
      </c>
      <c r="B925" s="2" t="s">
        <v>2559</v>
      </c>
      <c r="C925" s="2" t="s">
        <v>2560</v>
      </c>
      <c r="D925" s="2" t="s">
        <v>36</v>
      </c>
      <c r="E925" s="2" t="s">
        <v>14</v>
      </c>
      <c r="F925" s="2" t="s">
        <v>15</v>
      </c>
      <c r="G925" s="2" t="s">
        <v>2561</v>
      </c>
      <c r="H925" s="2" t="s">
        <v>73</v>
      </c>
      <c r="I925" s="2" t="str">
        <f>IFERROR(__xludf.DUMMYFUNCTION("GOOGLETRANSLATE(C925,""fr"",""en"")"),"Why has I have been a client for a few years.
Can't be offered.
Cordially
Madame Paprocki")</f>
        <v>Why has I have been a client for a few years.
Can't be offered.
Cordially
Madame Paprocki</v>
      </c>
    </row>
    <row r="926" ht="15.75" customHeight="1">
      <c r="A926" s="2">
        <v>5.0</v>
      </c>
      <c r="B926" s="2" t="s">
        <v>2562</v>
      </c>
      <c r="C926" s="2" t="s">
        <v>2563</v>
      </c>
      <c r="D926" s="2" t="s">
        <v>125</v>
      </c>
      <c r="E926" s="2" t="s">
        <v>14</v>
      </c>
      <c r="F926" s="2" t="s">
        <v>15</v>
      </c>
      <c r="G926" s="2" t="s">
        <v>1574</v>
      </c>
      <c r="H926" s="2" t="s">
        <v>33</v>
      </c>
      <c r="I926" s="2" t="str">
        <f>IFERROR(__xludf.DUMMYFUNCTION("GOOGLETRANSLATE(C926,""fr"",""en"")"),"I am satisfied with the service. Fast and effective. All the answers to the questions asked are clear and well explained. The agency reception is pleasant and fast.")</f>
        <v>I am satisfied with the service. Fast and effective. All the answers to the questions asked are clear and well explained. The agency reception is pleasant and fast.</v>
      </c>
    </row>
    <row r="927" ht="15.75" customHeight="1">
      <c r="A927" s="2">
        <v>3.0</v>
      </c>
      <c r="B927" s="2" t="s">
        <v>2564</v>
      </c>
      <c r="C927" s="2" t="s">
        <v>2565</v>
      </c>
      <c r="D927" s="2" t="s">
        <v>60</v>
      </c>
      <c r="E927" s="2" t="s">
        <v>21</v>
      </c>
      <c r="F927" s="2" t="s">
        <v>15</v>
      </c>
      <c r="G927" s="2" t="s">
        <v>2566</v>
      </c>
      <c r="H927" s="2" t="s">
        <v>23</v>
      </c>
      <c r="I927" s="2" t="str">
        <f>IFERROR(__xludf.DUMMYFUNCTION("GOOGLETRANSLATE(C927,""fr"",""en"")"),"hello since 05 02 2017 I have been contacting for a refund to date still nothing being subscribed to what to choose and 60 million consumer I will put that in their hands that real dealer this insurance")</f>
        <v>hello since 05 02 2017 I have been contacting for a refund to date still nothing being subscribed to what to choose and 60 million consumer I will put that in their hands that real dealer this insurance</v>
      </c>
    </row>
    <row r="928" ht="15.75" customHeight="1">
      <c r="A928" s="2">
        <v>1.0</v>
      </c>
      <c r="B928" s="2" t="s">
        <v>2567</v>
      </c>
      <c r="C928" s="2" t="s">
        <v>2568</v>
      </c>
      <c r="D928" s="2" t="s">
        <v>430</v>
      </c>
      <c r="E928" s="2" t="s">
        <v>14</v>
      </c>
      <c r="F928" s="2" t="s">
        <v>15</v>
      </c>
      <c r="G928" s="2" t="s">
        <v>106</v>
      </c>
      <c r="H928" s="2" t="s">
        <v>106</v>
      </c>
      <c r="I928" s="2" t="str">
        <f>IFERROR(__xludf.DUMMYFUNCTION("GOOGLETRANSLATE(C928,""fr"",""en"")"),"In 25 years of insurance at the Macif without any responsible accident I was caught my car by the vehicle driving behind me. Overwhelmed bumper results and fucked up retractable roof closure system. After passing by the expert who concludes that the diagn"&amp;"osis made with the garage computer does not reveal that the problem comes from the shock, the Macif will not support this repair (2000 €) despite that I am not responsible and moreover insured all risks. I am disgusted and very disappointed with this insu"&amp;"rer after 25 years at home. When I assured my car the Macif M agents sold the contract well, based on the fact that it was a convertible (hard roof) and that we did not know what could happen it was better Ensure any risk. To better fatten them because to"&amp;" support repairs ?? Disgust
")</f>
        <v>In 25 years of insurance at the Macif without any responsible accident I was caught my car by the vehicle driving behind me. Overwhelmed bumper results and fucked up retractable roof closure system. After passing by the expert who concludes that the diagnosis made with the garage computer does not reveal that the problem comes from the shock, the Macif will not support this repair (2000 €) despite that I am not responsible and moreover insured all risks. I am disgusted and very disappointed with this insurer after 25 years at home. When I assured my car the Macif M agents sold the contract well, based on the fact that it was a convertible (hard roof) and that we did not know what could happen it was better Ensure any risk. To better fatten them because to support repairs ?? Disgust
</v>
      </c>
    </row>
    <row r="929" ht="15.75" customHeight="1">
      <c r="A929" s="2">
        <v>1.0</v>
      </c>
      <c r="B929" s="2" t="s">
        <v>2569</v>
      </c>
      <c r="C929" s="2" t="s">
        <v>2570</v>
      </c>
      <c r="D929" s="2" t="s">
        <v>125</v>
      </c>
      <c r="E929" s="2" t="s">
        <v>14</v>
      </c>
      <c r="F929" s="2" t="s">
        <v>15</v>
      </c>
      <c r="G929" s="2" t="s">
        <v>1595</v>
      </c>
      <c r="H929" s="2" t="s">
        <v>85</v>
      </c>
      <c r="I929" s="2" t="str">
        <f>IFERROR(__xludf.DUMMYFUNCTION("GOOGLETRANSLATE(C929,""fr"",""en"")"),"I was satisfied until I declare a claim which for me was not supported correctly. I realize that there are experts and that everything is not the fault of insurance but still !!!!")</f>
        <v>I was satisfied until I declare a claim which for me was not supported correctly. I realize that there are experts and that everything is not the fault of insurance but still !!!!</v>
      </c>
    </row>
    <row r="930" ht="15.75" customHeight="1">
      <c r="A930" s="2">
        <v>1.0</v>
      </c>
      <c r="B930" s="2" t="s">
        <v>2571</v>
      </c>
      <c r="C930" s="2" t="s">
        <v>2572</v>
      </c>
      <c r="D930" s="2" t="s">
        <v>36</v>
      </c>
      <c r="E930" s="2" t="s">
        <v>14</v>
      </c>
      <c r="F930" s="2" t="s">
        <v>15</v>
      </c>
      <c r="G930" s="2" t="s">
        <v>2455</v>
      </c>
      <c r="H930" s="2" t="s">
        <v>684</v>
      </c>
      <c r="I930" s="2" t="str">
        <f>IFERROR(__xludf.DUMMYFUNCTION("GOOGLETRANSLATE(C930,""fr"",""en"")"),"I insured myself at Direct Insurance thinking to be at the right address but hey here is a disappointing experience assured for two years now the insurance premium has increased each year while no change always the same vehicle and no sinister here it gra"&amp;"bs you the first year but from the second you have to get out")</f>
        <v>I insured myself at Direct Insurance thinking to be at the right address but hey here is a disappointing experience assured for two years now the insurance premium has increased each year while no change always the same vehicle and no sinister here it grabs you the first year but from the second you have to get out</v>
      </c>
    </row>
    <row r="931" ht="15.75" customHeight="1">
      <c r="A931" s="2">
        <v>4.0</v>
      </c>
      <c r="B931" s="2" t="s">
        <v>2573</v>
      </c>
      <c r="C931" s="2" t="s">
        <v>2574</v>
      </c>
      <c r="D931" s="2" t="s">
        <v>36</v>
      </c>
      <c r="E931" s="2" t="s">
        <v>14</v>
      </c>
      <c r="F931" s="2" t="s">
        <v>15</v>
      </c>
      <c r="G931" s="2" t="s">
        <v>749</v>
      </c>
      <c r="H931" s="2" t="s">
        <v>171</v>
      </c>
      <c r="I931" s="2" t="str">
        <f>IFERROR(__xludf.DUMMYFUNCTION("GOOGLETRANSLATE(C931,""fr"",""en"")"),"I think you are doing things well. I was pleasantly surprised by the quality of your service and the degree of professionalism and skills of your telephone operators. In any case, I helped me well. best wishes
")</f>
        <v>I think you are doing things well. I was pleasantly surprised by the quality of your service and the degree of professionalism and skills of your telephone operators. In any case, I helped me well. best wishes
</v>
      </c>
    </row>
    <row r="932" ht="15.75" customHeight="1">
      <c r="A932" s="2">
        <v>3.0</v>
      </c>
      <c r="B932" s="2" t="s">
        <v>2575</v>
      </c>
      <c r="C932" s="2" t="s">
        <v>2576</v>
      </c>
      <c r="D932" s="2" t="s">
        <v>76</v>
      </c>
      <c r="E932" s="2" t="s">
        <v>51</v>
      </c>
      <c r="F932" s="2" t="s">
        <v>15</v>
      </c>
      <c r="G932" s="2" t="s">
        <v>817</v>
      </c>
      <c r="H932" s="2" t="s">
        <v>27</v>
      </c>
      <c r="I932" s="2" t="str">
        <f>IFERROR(__xludf.DUMMYFUNCTION("GOOGLETRANSLATE(C932,""fr"",""en"")"),"We will see every day! I just joined you!
The subscription is quite simple but if you want to improve, I advise you to work again on the simplicity of subscription.")</f>
        <v>We will see every day! I just joined you!
The subscription is quite simple but if you want to improve, I advise you to work again on the simplicity of subscription.</v>
      </c>
    </row>
    <row r="933" ht="15.75" customHeight="1">
      <c r="A933" s="2">
        <v>5.0</v>
      </c>
      <c r="B933" s="2" t="s">
        <v>2577</v>
      </c>
      <c r="C933" s="2" t="s">
        <v>2578</v>
      </c>
      <c r="D933" s="2" t="s">
        <v>13</v>
      </c>
      <c r="E933" s="2" t="s">
        <v>14</v>
      </c>
      <c r="F933" s="2" t="s">
        <v>15</v>
      </c>
      <c r="G933" s="2" t="s">
        <v>1377</v>
      </c>
      <c r="H933" s="2" t="s">
        <v>171</v>
      </c>
      <c r="I933" s="2" t="str">
        <f>IFERROR(__xludf.DUMMYFUNCTION("GOOGLETRANSLATE(C933,""fr"",""en"")"),"Simple and practical, well explained.
I have known the word insurance olive by mouth and I am really not disappointed, affordable price for car insurance being young driver")</f>
        <v>Simple and practical, well explained.
I have known the word insurance olive by mouth and I am really not disappointed, affordable price for car insurance being young driver</v>
      </c>
    </row>
    <row r="934" ht="15.75" customHeight="1">
      <c r="A934" s="2">
        <v>2.0</v>
      </c>
      <c r="B934" s="2" t="s">
        <v>2579</v>
      </c>
      <c r="C934" s="2" t="s">
        <v>2580</v>
      </c>
      <c r="D934" s="2" t="s">
        <v>93</v>
      </c>
      <c r="E934" s="2" t="s">
        <v>14</v>
      </c>
      <c r="F934" s="2" t="s">
        <v>15</v>
      </c>
      <c r="G934" s="2" t="s">
        <v>2581</v>
      </c>
      <c r="H934" s="2" t="s">
        <v>17</v>
      </c>
      <c r="I934" s="2" t="str">
        <f>IFERROR(__xludf.DUMMYFUNCTION("GOOGLETRANSLATE(C934,""fr"",""en"")"),"Hello everyone I come here to inform you of my dissatisfaction with matmut insurance that I strongly advise against in the event of a claim this one will all do things to drag things and not reimburse you for my part my vehicle in fire by rolling the expe"&amp;"rt Concluded an electrical defect and the vehicle being irreparable it gave its current value on the market, 25,000 euros at the matmut this car that I bought 1 years earlier at the price of 29,800euro, he refused to compensate me for various supporting d"&amp;"ocuments Backgrounds invoice ect when I assured my vehicle any risk by phone because it is 10 years old that I am at home he just asked me for information on the gray card and sent me by post my green card with three sheets that summarize my Guarantees ne"&amp;"ver when subscribing to the contract An insurance agent requests any document on the terms of purchase of the vehicle noted for accounting for a support for loan and So in custody all people who have a vehicle buy with personal savings or others who will "&amp;"be a problem for justifying during a disaster flee the MATMUT AMF")</f>
        <v>Hello everyone I come here to inform you of my dissatisfaction with matmut insurance that I strongly advise against in the event of a claim this one will all do things to drag things and not reimburse you for my part my vehicle in fire by rolling the expert Concluded an electrical defect and the vehicle being irreparable it gave its current value on the market, 25,000 euros at the matmut this car that I bought 1 years earlier at the price of 29,800euro, he refused to compensate me for various supporting documents Backgrounds invoice ect when I assured my vehicle any risk by phone because it is 10 years old that I am at home he just asked me for information on the gray card and sent me by post my green card with three sheets that summarize my Guarantees never when subscribing to the contract An insurance agent requests any document on the terms of purchase of the vehicle noted for accounting for a support for loan and So in custody all people who have a vehicle buy with personal savings or others who will be a problem for justifying during a disaster flee the MATMUT AMF</v>
      </c>
    </row>
    <row r="935" ht="15.75" customHeight="1">
      <c r="A935" s="2">
        <v>1.0</v>
      </c>
      <c r="B935" s="2" t="s">
        <v>2582</v>
      </c>
      <c r="C935" s="2" t="s">
        <v>2583</v>
      </c>
      <c r="D935" s="2" t="s">
        <v>636</v>
      </c>
      <c r="E935" s="2" t="s">
        <v>31</v>
      </c>
      <c r="F935" s="2" t="s">
        <v>15</v>
      </c>
      <c r="G935" s="2" t="s">
        <v>320</v>
      </c>
      <c r="H935" s="2" t="s">
        <v>320</v>
      </c>
      <c r="I935" s="2" t="str">
        <f>IFERROR(__xludf.DUMMYFUNCTION("GOOGLETRANSLATE(C935,""fr"",""en"")"),"TO FLEE !!!!!!
Zero professionalism !!! No one they are but bi-dons ??
They did not take my contributions in 2020 because concern with my rib
No one to get me the problem, not even a phone call !! No it's so much better to do things in the backwards .."&amp;".
Big begging: they were said to be sent 8 letters to warn me that the file was going to the litigation that I never received !! Since when we send such important letters without accused of reception ??? !!!!!!
Being a client for years they have done no"&amp;"thing to keep me among their members! I had to pay a certain amount to make up for their bad work. Donkeys !
Why didn't they call me to explain the problem to me instead of making me a hit in my back !!!
The worst part in all of this is that in addition"&amp;" to the sum to be repaid, they drater us without saying anything !!! Well done very pro ??
And then the pompom is when you come across the legal service of this mutual, buffoons ...
Really big disappointment I strongly recommend !!!!
")</f>
        <v>TO FLEE !!!!!!
Zero professionalism !!! No one they are but bi-dons ??
They did not take my contributions in 2020 because concern with my rib
No one to get me the problem, not even a phone call !! No it's so much better to do things in the backwards ...
Big begging: they were said to be sent 8 letters to warn me that the file was going to the litigation that I never received !! Since when we send such important letters without accused of reception ??? !!!!!!
Being a client for years they have done nothing to keep me among their members! I had to pay a certain amount to make up for their bad work. Donkeys !
Why didn't they call me to explain the problem to me instead of making me a hit in my back !!!
The worst part in all of this is that in addition to the sum to be repaid, they drater us without saying anything !!! Well done very pro ??
And then the pompom is when you come across the legal service of this mutual, buffoons ...
Really big disappointment I strongly recommend !!!!
</v>
      </c>
    </row>
    <row r="936" ht="15.75" customHeight="1">
      <c r="A936" s="2">
        <v>5.0</v>
      </c>
      <c r="B936" s="2" t="s">
        <v>2584</v>
      </c>
      <c r="C936" s="2" t="s">
        <v>2585</v>
      </c>
      <c r="D936" s="2" t="s">
        <v>36</v>
      </c>
      <c r="E936" s="2" t="s">
        <v>14</v>
      </c>
      <c r="F936" s="2" t="s">
        <v>15</v>
      </c>
      <c r="G936" s="2" t="s">
        <v>1377</v>
      </c>
      <c r="H936" s="2" t="s">
        <v>171</v>
      </c>
      <c r="I936" s="2" t="str">
        <f>IFERROR(__xludf.DUMMYFUNCTION("GOOGLETRANSLATE(C936,""fr"",""en"")"),"Extremely satisfied with my interlocutor for his explanations, his availability and his professional conscience.
Pleasantly surprised by the applied prices.
I can only recommend this insurance company.")</f>
        <v>Extremely satisfied with my interlocutor for his explanations, his availability and his professional conscience.
Pleasantly surprised by the applied prices.
I can only recommend this insurance company.</v>
      </c>
    </row>
    <row r="937" ht="15.75" customHeight="1">
      <c r="A937" s="2">
        <v>3.0</v>
      </c>
      <c r="B937" s="2" t="s">
        <v>2586</v>
      </c>
      <c r="C937" s="2" t="s">
        <v>2587</v>
      </c>
      <c r="D937" s="2" t="s">
        <v>36</v>
      </c>
      <c r="E937" s="2" t="s">
        <v>14</v>
      </c>
      <c r="F937" s="2" t="s">
        <v>15</v>
      </c>
      <c r="G937" s="2" t="s">
        <v>1507</v>
      </c>
      <c r="H937" s="2" t="s">
        <v>43</v>
      </c>
      <c r="I937" s="2" t="str">
        <f>IFERROR(__xludf.DUMMYFUNCTION("GOOGLETRANSLATE(C937,""fr"",""en"")"),"I am quite satisfactory. It's just a shame that I failed to have an advisor to accompany me in the subscription process. It took me a long time before I saw that I had to change the payment in one or more times. But Level Prices I am a winner so I hope th"&amp;"at the quality of service will follow")</f>
        <v>I am quite satisfactory. It's just a shame that I failed to have an advisor to accompany me in the subscription process. It took me a long time before I saw that I had to change the payment in one or more times. But Level Prices I am a winner so I hope that the quality of service will follow</v>
      </c>
    </row>
    <row r="938" ht="15.75" customHeight="1">
      <c r="A938" s="2">
        <v>5.0</v>
      </c>
      <c r="B938" s="2" t="s">
        <v>2588</v>
      </c>
      <c r="C938" s="2" t="s">
        <v>2589</v>
      </c>
      <c r="D938" s="2" t="s">
        <v>76</v>
      </c>
      <c r="E938" s="2" t="s">
        <v>51</v>
      </c>
      <c r="F938" s="2" t="s">
        <v>15</v>
      </c>
      <c r="G938" s="2" t="s">
        <v>208</v>
      </c>
      <c r="H938" s="2" t="s">
        <v>43</v>
      </c>
      <c r="I938" s="2" t="str">
        <f>IFERROR(__xludf.DUMMYFUNCTION("GOOGLETRANSLATE(C938,""fr"",""en"")"),"Fast and efficient satisfied, very good guarantees, value for money.
We are 2 to be insured at AMV have and very satisfied
All our friends are insured at home and very satisfied")</f>
        <v>Fast and efficient satisfied, very good guarantees, value for money.
We are 2 to be insured at AMV have and very satisfied
All our friends are insured at home and very satisfied</v>
      </c>
    </row>
    <row r="939" ht="15.75" customHeight="1">
      <c r="A939" s="2">
        <v>4.0</v>
      </c>
      <c r="B939" s="2" t="s">
        <v>2590</v>
      </c>
      <c r="C939" s="2" t="s">
        <v>2591</v>
      </c>
      <c r="D939" s="2" t="s">
        <v>13</v>
      </c>
      <c r="E939" s="2" t="s">
        <v>14</v>
      </c>
      <c r="F939" s="2" t="s">
        <v>15</v>
      </c>
      <c r="G939" s="2" t="s">
        <v>755</v>
      </c>
      <c r="H939" s="2" t="s">
        <v>145</v>
      </c>
      <c r="I939" s="2" t="str">
        <f>IFERROR(__xludf.DUMMYFUNCTION("GOOGLETRANSLATE(C939,""fr"",""en"")"),"I am satisfied with the service this is simple and practical, it is the first time that I have been using a hundred percent insurance online and I hope to continue to be satisfied with your services.")</f>
        <v>I am satisfied with the service this is simple and practical, it is the first time that I have been using a hundred percent insurance online and I hope to continue to be satisfied with your services.</v>
      </c>
    </row>
    <row r="940" ht="15.75" customHeight="1">
      <c r="A940" s="2">
        <v>1.0</v>
      </c>
      <c r="B940" s="2" t="s">
        <v>2592</v>
      </c>
      <c r="C940" s="2" t="s">
        <v>2593</v>
      </c>
      <c r="D940" s="2" t="s">
        <v>125</v>
      </c>
      <c r="E940" s="2" t="s">
        <v>14</v>
      </c>
      <c r="F940" s="2" t="s">
        <v>15</v>
      </c>
      <c r="G940" s="2" t="s">
        <v>268</v>
      </c>
      <c r="H940" s="2" t="s">
        <v>269</v>
      </c>
      <c r="I940" s="2" t="str">
        <f>IFERROR(__xludf.DUMMYFUNCTION("GOOGLETRANSLATE(C940,""fr"",""en"")"),"The GMF subcontracts its assistance services in Fidelia, operators, which are difficult to reach (18 min of waiting on average for care Tuesday, November 2), do not know your options and offer you at least the treatment Eco!
No clear information on the d"&amp;"etails of the care, no link in monitoring the file and when they are faced with their incompetence to respond, they threaten to hang up. Of the 8 operators joined on the same day, only one person apologized for the deplorable management of the file.
To f"&amp;"lee !")</f>
        <v>The GMF subcontracts its assistance services in Fidelia, operators, which are difficult to reach (18 min of waiting on average for care Tuesday, November 2), do not know your options and offer you at least the treatment Eco!
No clear information on the details of the care, no link in monitoring the file and when they are faced with their incompetence to respond, they threaten to hang up. Of the 8 operators joined on the same day, only one person apologized for the deplorable management of the file.
To flee !</v>
      </c>
    </row>
    <row r="941" ht="15.75" customHeight="1">
      <c r="A941" s="2">
        <v>5.0</v>
      </c>
      <c r="B941" s="2" t="s">
        <v>2594</v>
      </c>
      <c r="C941" s="2" t="s">
        <v>2595</v>
      </c>
      <c r="D941" s="2" t="s">
        <v>13</v>
      </c>
      <c r="E941" s="2" t="s">
        <v>14</v>
      </c>
      <c r="F941" s="2" t="s">
        <v>15</v>
      </c>
      <c r="G941" s="2" t="s">
        <v>970</v>
      </c>
      <c r="H941" s="2" t="s">
        <v>171</v>
      </c>
      <c r="I941" s="2" t="str">
        <f>IFERROR(__xludf.DUMMYFUNCTION("GOOGLETRANSLATE(C941,""fr"",""en"")"),"Perfect. It is a pleasure to be with Olivier Insurance ... I have 2 cars ensuring at home and it goes very well. They 8 months I had an accident was very easily resolved.")</f>
        <v>Perfect. It is a pleasure to be with Olivier Insurance ... I have 2 cars ensuring at home and it goes very well. They 8 months I had an accident was very easily resolved.</v>
      </c>
    </row>
    <row r="942" ht="15.75" customHeight="1">
      <c r="A942" s="2">
        <v>4.0</v>
      </c>
      <c r="B942" s="2" t="s">
        <v>2596</v>
      </c>
      <c r="C942" s="2" t="s">
        <v>2597</v>
      </c>
      <c r="D942" s="2" t="s">
        <v>143</v>
      </c>
      <c r="E942" s="2" t="s">
        <v>31</v>
      </c>
      <c r="F942" s="2" t="s">
        <v>15</v>
      </c>
      <c r="G942" s="2" t="s">
        <v>2175</v>
      </c>
      <c r="H942" s="2" t="s">
        <v>145</v>
      </c>
      <c r="I942" s="2" t="str">
        <f>IFERROR(__xludf.DUMMYFUNCTION("GOOGLETRANSLATE(C942,""fr"",""en"")"),"I am satisfied by this mutual prices are attractive and the healthcare ratio is also
I recommend without hesitation to those looking for a new mutual")</f>
        <v>I am satisfied by this mutual prices are attractive and the healthcare ratio is also
I recommend without hesitation to those looking for a new mutual</v>
      </c>
    </row>
    <row r="943" ht="15.75" customHeight="1">
      <c r="A943" s="2">
        <v>3.0</v>
      </c>
      <c r="B943" s="2" t="s">
        <v>2598</v>
      </c>
      <c r="C943" s="2" t="s">
        <v>2599</v>
      </c>
      <c r="D943" s="2" t="s">
        <v>88</v>
      </c>
      <c r="E943" s="2" t="s">
        <v>31</v>
      </c>
      <c r="F943" s="2" t="s">
        <v>15</v>
      </c>
      <c r="G943" s="2" t="s">
        <v>2178</v>
      </c>
      <c r="H943" s="2" t="s">
        <v>287</v>
      </c>
      <c r="I943" s="2" t="str">
        <f>IFERROR(__xludf.DUMMYFUNCTION("GOOGLETRANSLATE(C943,""fr"",""en"")"),"Hello,
Santiane did not comply with the commercial gesture which was planned upon receipt of my acquitted invoice and therefore to flee absolutely (it was right for me to withdraw my previous comment)
Cordially")</f>
        <v>Hello,
Santiane did not comply with the commercial gesture which was planned upon receipt of my acquitted invoice and therefore to flee absolutely (it was right for me to withdraw my previous comment)
Cordially</v>
      </c>
    </row>
    <row r="944" ht="15.75" customHeight="1">
      <c r="A944" s="2">
        <v>4.0</v>
      </c>
      <c r="B944" s="2" t="s">
        <v>2600</v>
      </c>
      <c r="C944" s="2" t="s">
        <v>2601</v>
      </c>
      <c r="D944" s="2" t="s">
        <v>36</v>
      </c>
      <c r="E944" s="2" t="s">
        <v>14</v>
      </c>
      <c r="F944" s="2" t="s">
        <v>15</v>
      </c>
      <c r="G944" s="2" t="s">
        <v>27</v>
      </c>
      <c r="H944" s="2" t="s">
        <v>27</v>
      </c>
      <c r="I944" s="2" t="str">
        <f>IFERROR(__xludf.DUMMYFUNCTION("GOOGLETRANSLATE(C944,""fr"",""en"")"),"very satisfied with the service
Very practical use site
In addition a correct price for insurance that covers what wanted for my Ford Kuga vehicle")</f>
        <v>very satisfied with the service
Very practical use site
In addition a correct price for insurance that covers what wanted for my Ford Kuga vehicle</v>
      </c>
    </row>
    <row r="945" ht="15.75" customHeight="1">
      <c r="A945" s="2">
        <v>5.0</v>
      </c>
      <c r="B945" s="2" t="s">
        <v>2602</v>
      </c>
      <c r="C945" s="2" t="s">
        <v>2603</v>
      </c>
      <c r="D945" s="2" t="s">
        <v>76</v>
      </c>
      <c r="E945" s="2" t="s">
        <v>51</v>
      </c>
      <c r="F945" s="2" t="s">
        <v>15</v>
      </c>
      <c r="G945" s="2" t="s">
        <v>2604</v>
      </c>
      <c r="H945" s="2" t="s">
        <v>27</v>
      </c>
      <c r="I945" s="2" t="str">
        <f>IFERROR(__xludf.DUMMYFUNCTION("GOOGLETRANSLATE(C945,""fr"",""en"")"),"I am satisfied with the price and the protections and guarantees offered as well as assistance. Your insurance was strongly advised by a friend and I am happy with it. Thank you. Cordially")</f>
        <v>I am satisfied with the price and the protections and guarantees offered as well as assistance. Your insurance was strongly advised by a friend and I am happy with it. Thank you. Cordially</v>
      </c>
    </row>
    <row r="946" ht="15.75" customHeight="1">
      <c r="A946" s="2">
        <v>1.0</v>
      </c>
      <c r="B946" s="2" t="s">
        <v>2605</v>
      </c>
      <c r="C946" s="2" t="s">
        <v>2606</v>
      </c>
      <c r="D946" s="2" t="s">
        <v>13</v>
      </c>
      <c r="E946" s="2" t="s">
        <v>14</v>
      </c>
      <c r="F946" s="2" t="s">
        <v>15</v>
      </c>
      <c r="G946" s="2" t="s">
        <v>2607</v>
      </c>
      <c r="H946" s="2" t="s">
        <v>184</v>
      </c>
      <c r="I946" s="2" t="str">
        <f>IFERROR(__xludf.DUMMYFUNCTION("GOOGLETRANSLATE(C946,""fr"",""en"")"),"With this company, the name Filou is not usurped, this company completely degrades its guarantees. We had taken out a car contract by email then by phone for my wife's vehicle a 207. He explains the main lines on the contract you take out. The latter suff"&amp;"ered a fire, he does not reimburse us while on the contract it is stipulated fire, after many reminders, we finally have their general conditions and there great surprise, our car is not reimbursed because vandalism is not not supported. I asked them to p"&amp;"rove to myself that the fire is due to an act of vandalism as well as the expert elsewhere and no response from the two parties because the only thing that can prove is scientific expertise. We are not going to stop there and will bring the case to the co"&amp;"mpetent authorities. Insurer to avoid, go to see your local broker at least, he is competent ...")</f>
        <v>With this company, the name Filou is not usurped, this company completely degrades its guarantees. We had taken out a car contract by email then by phone for my wife's vehicle a 207. He explains the main lines on the contract you take out. The latter suffered a fire, he does not reimburse us while on the contract it is stipulated fire, after many reminders, we finally have their general conditions and there great surprise, our car is not reimbursed because vandalism is not not supported. I asked them to prove to myself that the fire is due to an act of vandalism as well as the expert elsewhere and no response from the two parties because the only thing that can prove is scientific expertise. We are not going to stop there and will bring the case to the competent authorities. Insurer to avoid, go to see your local broker at least, he is competent ...</v>
      </c>
    </row>
    <row r="947" ht="15.75" customHeight="1">
      <c r="A947" s="2">
        <v>1.0</v>
      </c>
      <c r="B947" s="2" t="s">
        <v>2608</v>
      </c>
      <c r="C947" s="2" t="s">
        <v>2609</v>
      </c>
      <c r="D947" s="2" t="s">
        <v>13</v>
      </c>
      <c r="E947" s="2" t="s">
        <v>14</v>
      </c>
      <c r="F947" s="2" t="s">
        <v>15</v>
      </c>
      <c r="G947" s="2" t="s">
        <v>2263</v>
      </c>
      <c r="H947" s="2" t="s">
        <v>504</v>
      </c>
      <c r="I947" s="2" t="str">
        <f>IFERROR(__xludf.DUMMYFUNCTION("GOOGLETRANSLATE(C947,""fr"",""en"")"),"Very bad experience with the Olivier Assurances !!! I will not recommend them! I was terminated overnight for a false pretext. A big commercial error.")</f>
        <v>Very bad experience with the Olivier Assurances !!! I will not recommend them! I was terminated overnight for a false pretext. A big commercial error.</v>
      </c>
    </row>
    <row r="948" ht="15.75" customHeight="1">
      <c r="A948" s="2">
        <v>5.0</v>
      </c>
      <c r="B948" s="2" t="s">
        <v>2610</v>
      </c>
      <c r="C948" s="2" t="s">
        <v>2611</v>
      </c>
      <c r="D948" s="2" t="s">
        <v>104</v>
      </c>
      <c r="E948" s="2" t="s">
        <v>31</v>
      </c>
      <c r="F948" s="2" t="s">
        <v>15</v>
      </c>
      <c r="G948" s="2" t="s">
        <v>2612</v>
      </c>
      <c r="H948" s="2" t="s">
        <v>149</v>
      </c>
      <c r="I948" s="2" t="str">
        <f>IFERROR(__xludf.DUMMYFUNCTION("GOOGLETRANSLATE(C948,""fr"",""en"")"),"Rapid refund
Reactivity in the event of a problem
Very good service adherent
Satisfactory reimbursement service and reactive and efficient telephone service")</f>
        <v>Rapid refund
Reactivity in the event of a problem
Very good service adherent
Satisfactory reimbursement service and reactive and efficient telephone service</v>
      </c>
    </row>
    <row r="949" ht="15.75" customHeight="1">
      <c r="A949" s="2">
        <v>5.0</v>
      </c>
      <c r="B949" s="2" t="s">
        <v>2613</v>
      </c>
      <c r="C949" s="2" t="s">
        <v>2614</v>
      </c>
      <c r="D949" s="2" t="s">
        <v>13</v>
      </c>
      <c r="E949" s="2" t="s">
        <v>14</v>
      </c>
      <c r="F949" s="2" t="s">
        <v>15</v>
      </c>
      <c r="G949" s="2" t="s">
        <v>1824</v>
      </c>
      <c r="H949" s="2" t="s">
        <v>85</v>
      </c>
      <c r="I949" s="2" t="str">
        <f>IFERROR(__xludf.DUMMYFUNCTION("GOOGLETRANSLATE(C949,""fr"",""en"")"),"Very satisfactory and economical very satisfactory service compared to conventional insurers. I will recommend the insurance olive tree without problem. It remains to be seen in the event of a claim.
")</f>
        <v>Very satisfactory and economical very satisfactory service compared to conventional insurers. I will recommend the insurance olive tree without problem. It remains to be seen in the event of a claim.
</v>
      </c>
    </row>
    <row r="950" ht="15.75" customHeight="1">
      <c r="A950" s="2">
        <v>4.0</v>
      </c>
      <c r="B950" s="2" t="s">
        <v>2615</v>
      </c>
      <c r="C950" s="2" t="s">
        <v>2616</v>
      </c>
      <c r="D950" s="2" t="s">
        <v>93</v>
      </c>
      <c r="E950" s="2" t="s">
        <v>14</v>
      </c>
      <c r="F950" s="2" t="s">
        <v>15</v>
      </c>
      <c r="G950" s="2" t="s">
        <v>2617</v>
      </c>
      <c r="H950" s="2" t="s">
        <v>90</v>
      </c>
      <c r="I950" s="2" t="str">
        <f>IFERROR(__xludf.DUMMYFUNCTION("GOOGLETRANSLATE(C950,""fr"",""en"")"),"Globality fast management in the event of an accident, report, expert and reimbursement ok even in an unconvilled garage.")</f>
        <v>Globality fast management in the event of an accident, report, expert and reimbursement ok even in an unconvilled garage.</v>
      </c>
    </row>
    <row r="951" ht="15.75" customHeight="1">
      <c r="A951" s="2">
        <v>5.0</v>
      </c>
      <c r="B951" s="2" t="s">
        <v>2618</v>
      </c>
      <c r="C951" s="2" t="s">
        <v>2619</v>
      </c>
      <c r="D951" s="2" t="s">
        <v>36</v>
      </c>
      <c r="E951" s="2" t="s">
        <v>14</v>
      </c>
      <c r="F951" s="2" t="s">
        <v>15</v>
      </c>
      <c r="G951" s="2" t="s">
        <v>170</v>
      </c>
      <c r="H951" s="2" t="s">
        <v>171</v>
      </c>
      <c r="I951" s="2" t="str">
        <f>IFERROR(__xludf.DUMMYFUNCTION("GOOGLETRANSLATE(C951,""fr"",""en"")"),"I am satisfied with the services. Very attractive price. Impeccable customer service. When is health insurance in your offers offered to the customer ???")</f>
        <v>I am satisfied with the services. Very attractive price. Impeccable customer service. When is health insurance in your offers offered to the customer ???</v>
      </c>
    </row>
    <row r="952" ht="15.75" customHeight="1">
      <c r="A952" s="2">
        <v>1.0</v>
      </c>
      <c r="B952" s="2" t="s">
        <v>2620</v>
      </c>
      <c r="C952" s="2" t="s">
        <v>2621</v>
      </c>
      <c r="D952" s="2" t="s">
        <v>430</v>
      </c>
      <c r="E952" s="2" t="s">
        <v>14</v>
      </c>
      <c r="F952" s="2" t="s">
        <v>15</v>
      </c>
      <c r="G952" s="2" t="s">
        <v>1400</v>
      </c>
      <c r="H952" s="2" t="s">
        <v>356</v>
      </c>
      <c r="I952" s="2" t="str">
        <f>IFERROR(__xludf.DUMMYFUNCTION("GOOGLETRANSLATE(C952,""fr"",""en"")"),"Another catastrophic experience with the Macif.
Today I received 14 mail under folds and identical from the Macif to tell me that the mandate was well put in place.
My subscription is 147 euros for all my contracts.
Following an error on their part the"&amp;"y presented a levy from my 265 euros account that I obviously rejected.
After having contacted them, I am indicated that following this rejection I will receive a letter asking me the annual subscription to pay. More than 1200 euros.
Yet I have contacte"&amp;"d them several times before this rejection to be sure that there will be no error on the amount that will be deducted in August ... obviously each call a different advisor and a different speech for ultimately Put myself in a difficult situation.
I reall"&amp;"y advise people not to take out contracts to the Macif which highlights human values ​​and Bla Bla Bla to differentiate themselves from competitors.
They are worse than the others, they are not attentive to their member and they make fun of us.
The last"&amp;" advisor I had on the phone took me high, he didn't say anything on the phone anymore, he was just waiting for me to put communication myself.
Following the same health crisis, they did not even bother to reimburse part of the contributions taken during "&amp;"the 3 months of confinement, no gesture in favor of their member is shameful with the money they brew on Our back.
In short Macif to banish I advise you.")</f>
        <v>Another catastrophic experience with the Macif.
Today I received 14 mail under folds and identical from the Macif to tell me that the mandate was well put in place.
My subscription is 147 euros for all my contracts.
Following an error on their part they presented a levy from my 265 euros account that I obviously rejected.
After having contacted them, I am indicated that following this rejection I will receive a letter asking me the annual subscription to pay. More than 1200 euros.
Yet I have contacted them several times before this rejection to be sure that there will be no error on the amount that will be deducted in August ... obviously each call a different advisor and a different speech for ultimately Put myself in a difficult situation.
I really advise people not to take out contracts to the Macif which highlights human values ​​and Bla Bla Bla to differentiate themselves from competitors.
They are worse than the others, they are not attentive to their member and they make fun of us.
The last advisor I had on the phone took me high, he didn't say anything on the phone anymore, he was just waiting for me to put communication myself.
Following the same health crisis, they did not even bother to reimburse part of the contributions taken during the 3 months of confinement, no gesture in favor of their member is shameful with the money they brew on Our back.
In short Macif to banish I advise you.</v>
      </c>
    </row>
    <row r="953" ht="15.75" customHeight="1">
      <c r="A953" s="2">
        <v>1.0</v>
      </c>
      <c r="B953" s="2" t="s">
        <v>2622</v>
      </c>
      <c r="C953" s="2" t="s">
        <v>2623</v>
      </c>
      <c r="D953" s="2" t="s">
        <v>36</v>
      </c>
      <c r="E953" s="2" t="s">
        <v>14</v>
      </c>
      <c r="F953" s="2" t="s">
        <v>15</v>
      </c>
      <c r="G953" s="2" t="s">
        <v>1027</v>
      </c>
      <c r="H953" s="2" t="s">
        <v>171</v>
      </c>
      <c r="I953" s="2" t="str">
        <f>IFERROR(__xludf.DUMMYFUNCTION("GOOGLETRANSLATE(C953,""fr"",""en"")"),"The service has dropped
I am sending me an email concerning an terminated insurance I no longer understand
I even think about the last contract with Direct Insurance in view of the lack of service
")</f>
        <v>The service has dropped
I am sending me an email concerning an terminated insurance I no longer understand
I even think about the last contract with Direct Insurance in view of the lack of service
</v>
      </c>
    </row>
    <row r="954" ht="15.75" customHeight="1">
      <c r="A954" s="2">
        <v>2.0</v>
      </c>
      <c r="B954" s="2" t="s">
        <v>2624</v>
      </c>
      <c r="C954" s="2" t="s">
        <v>2625</v>
      </c>
      <c r="D954" s="2" t="s">
        <v>304</v>
      </c>
      <c r="E954" s="2" t="s">
        <v>21</v>
      </c>
      <c r="F954" s="2" t="s">
        <v>15</v>
      </c>
      <c r="G954" s="2" t="s">
        <v>2626</v>
      </c>
      <c r="H954" s="2" t="s">
        <v>276</v>
      </c>
      <c r="I954" s="2" t="str">
        <f>IFERROR(__xludf.DUMMYFUNCTION("GOOGLETRANSLATE(C954,""fr"",""en"")"),"Mediocre customer service, unattractive internet portal ... All the steps are long and tedious.")</f>
        <v>Mediocre customer service, unattractive internet portal ... All the steps are long and tedious.</v>
      </c>
    </row>
    <row r="955" ht="15.75" customHeight="1">
      <c r="A955" s="2">
        <v>4.0</v>
      </c>
      <c r="B955" s="2" t="s">
        <v>2627</v>
      </c>
      <c r="C955" s="2" t="s">
        <v>2628</v>
      </c>
      <c r="D955" s="2" t="s">
        <v>430</v>
      </c>
      <c r="E955" s="2" t="s">
        <v>37</v>
      </c>
      <c r="F955" s="2" t="s">
        <v>15</v>
      </c>
      <c r="G955" s="2" t="s">
        <v>140</v>
      </c>
      <c r="H955" s="2" t="s">
        <v>73</v>
      </c>
      <c r="I955" s="2" t="str">
        <f>IFERROR(__xludf.DUMMYFUNCTION("GOOGLETRANSLATE(C955,""fr"",""en"")"),"First year of contract with this company. The accueuil is very warm and my interlocutresses proffessional and especially in listening to my request I advise Macif to all")</f>
        <v>First year of contract with this company. The accueuil is very warm and my interlocutresses proffessional and especially in listening to my request I advise Macif to all</v>
      </c>
    </row>
    <row r="956" ht="15.75" customHeight="1">
      <c r="A956" s="2">
        <v>3.0</v>
      </c>
      <c r="B956" s="2" t="s">
        <v>2629</v>
      </c>
      <c r="C956" s="2" t="s">
        <v>2630</v>
      </c>
      <c r="D956" s="2" t="s">
        <v>36</v>
      </c>
      <c r="E956" s="2" t="s">
        <v>14</v>
      </c>
      <c r="F956" s="2" t="s">
        <v>15</v>
      </c>
      <c r="G956" s="2" t="s">
        <v>2631</v>
      </c>
      <c r="H956" s="2" t="s">
        <v>73</v>
      </c>
      <c r="I956" s="2" t="str">
        <f>IFERROR(__xludf.DUMMYFUNCTION("GOOGLETRANSLATE(C956,""fr"",""en"")"),"I am satisfied with the rates and service is already customer at Direct Insurance
, the CITE is simple and well detailed. Easy to make quotes. Rapid")</f>
        <v>I am satisfied with the rates and service is already customer at Direct Insurance
, the CITE is simple and well detailed. Easy to make quotes. Rapid</v>
      </c>
    </row>
    <row r="957" ht="15.75" customHeight="1">
      <c r="A957" s="2">
        <v>2.0</v>
      </c>
      <c r="B957" s="2" t="s">
        <v>2632</v>
      </c>
      <c r="C957" s="2" t="s">
        <v>2633</v>
      </c>
      <c r="D957" s="2" t="s">
        <v>576</v>
      </c>
      <c r="E957" s="2" t="s">
        <v>14</v>
      </c>
      <c r="F957" s="2" t="s">
        <v>15</v>
      </c>
      <c r="G957" s="2" t="s">
        <v>2103</v>
      </c>
      <c r="H957" s="2" t="s">
        <v>387</v>
      </c>
      <c r="I957" s="2" t="str">
        <f>IFERROR(__xludf.DUMMYFUNCTION("GOOGLETRANSLATE(C957,""fr"",""en"")"),"Please note, do not have an accident with this company: example: 20 years without the slightest accident, bonus 50%, then in 2 years 2 broken ice and scratched paint. This charming company turned me to. We keep you as long as you have no ""accident"" even"&amp;" insignificant !!")</f>
        <v>Please note, do not have an accident with this company: example: 20 years without the slightest accident, bonus 50%, then in 2 years 2 broken ice and scratched paint. This charming company turned me to. We keep you as long as you have no "accident" even insignificant !!</v>
      </c>
    </row>
    <row r="958" ht="15.75" customHeight="1">
      <c r="A958" s="2">
        <v>5.0</v>
      </c>
      <c r="B958" s="2" t="s">
        <v>2634</v>
      </c>
      <c r="C958" s="2" t="s">
        <v>2635</v>
      </c>
      <c r="D958" s="2" t="s">
        <v>125</v>
      </c>
      <c r="E958" s="2" t="s">
        <v>14</v>
      </c>
      <c r="F958" s="2" t="s">
        <v>15</v>
      </c>
      <c r="G958" s="2" t="s">
        <v>1716</v>
      </c>
      <c r="H958" s="2" t="s">
        <v>33</v>
      </c>
      <c r="I958" s="2" t="str">
        <f>IFERROR(__xludf.DUMMYFUNCTION("GOOGLETRANSLATE(C958,""fr"",""en"")"),"I am satisfied with the service. This prevents us from having to make an appointment and pick up documents in the GMF agency. It is more practical and faster.")</f>
        <v>I am satisfied with the service. This prevents us from having to make an appointment and pick up documents in the GMF agency. It is more practical and faster.</v>
      </c>
    </row>
    <row r="959" ht="15.75" customHeight="1">
      <c r="A959" s="2">
        <v>1.0</v>
      </c>
      <c r="B959" s="2" t="s">
        <v>2636</v>
      </c>
      <c r="C959" s="2" t="s">
        <v>2637</v>
      </c>
      <c r="D959" s="2" t="s">
        <v>36</v>
      </c>
      <c r="E959" s="2" t="s">
        <v>14</v>
      </c>
      <c r="F959" s="2" t="s">
        <v>15</v>
      </c>
      <c r="G959" s="2" t="s">
        <v>2638</v>
      </c>
      <c r="H959" s="2" t="s">
        <v>73</v>
      </c>
      <c r="I959" s="2" t="str">
        <f>IFERROR(__xludf.DUMMYFUNCTION("GOOGLETRANSLATE(C959,""fr"",""en"")"),"Insurer to flee absolutely.
The prices may seem attractive as long as you do not need to solicit them but for the quality of the service rendered we should not even have to pay ...
Customer service is deplorable, unable to answer you properly and follow"&amp;" your file properly. Do not wait for any effort on their part to exercise the slightest approach. In addition, you will never have the same interlocutor and in the event of a request, you will always be answered that this is not possible.
Despite your in"&amp;"creased bonus, the price will also increase each year without reason
Deductibles are at an exorbitant level and are sufficient in most cases to pay the repairs")</f>
        <v>Insurer to flee absolutely.
The prices may seem attractive as long as you do not need to solicit them but for the quality of the service rendered we should not even have to pay ...
Customer service is deplorable, unable to answer you properly and follow your file properly. Do not wait for any effort on their part to exercise the slightest approach. In addition, you will never have the same interlocutor and in the event of a request, you will always be answered that this is not possible.
Despite your increased bonus, the price will also increase each year without reason
Deductibles are at an exorbitant level and are sufficient in most cases to pay the repairs</v>
      </c>
    </row>
    <row r="960" ht="15.75" customHeight="1">
      <c r="A960" s="2">
        <v>1.0</v>
      </c>
      <c r="B960" s="2" t="s">
        <v>2639</v>
      </c>
      <c r="C960" s="2" t="s">
        <v>2640</v>
      </c>
      <c r="D960" s="2" t="s">
        <v>264</v>
      </c>
      <c r="E960" s="2" t="s">
        <v>31</v>
      </c>
      <c r="F960" s="2" t="s">
        <v>15</v>
      </c>
      <c r="G960" s="2" t="s">
        <v>1138</v>
      </c>
      <c r="H960" s="2" t="s">
        <v>591</v>
      </c>
      <c r="I960" s="2" t="str">
        <f>IFERROR(__xludf.DUMMYFUNCTION("GOOGLETRANSLATE(C960,""fr"",""en"")"),"Despite my request for radiation made in good and due form it is impossible for me to obtain a certificate of radiation from Cégéma,
They took my feature from January and after 10 strokes I was able to obtain a letter indicating that they were going to r"&amp;"eimburse me in February.
")</f>
        <v>Despite my request for radiation made in good and due form it is impossible for me to obtain a certificate of radiation from Cégéma,
They took my feature from January and after 10 strokes I was able to obtain a letter indicating that they were going to reimburse me in February.
</v>
      </c>
    </row>
    <row r="961" ht="15.75" customHeight="1">
      <c r="A961" s="2">
        <v>3.0</v>
      </c>
      <c r="B961" s="2" t="s">
        <v>2641</v>
      </c>
      <c r="C961" s="2" t="s">
        <v>2642</v>
      </c>
      <c r="D961" s="2" t="s">
        <v>36</v>
      </c>
      <c r="E961" s="2" t="s">
        <v>14</v>
      </c>
      <c r="F961" s="2" t="s">
        <v>15</v>
      </c>
      <c r="G961" s="2" t="s">
        <v>2643</v>
      </c>
      <c r="H961" s="2" t="s">
        <v>306</v>
      </c>
      <c r="I961" s="2" t="str">
        <f>IFERROR(__xludf.DUMMYFUNCTION("GOOGLETRANSLATE(C961,""fr"",""en"")"),"The facts just the facts:
Faced with the successive increases in my contributions I expressed my very dissatisfaction (telephone call on April 29, 2020) with the following arguments:
Reminder for BMW:
- 2018/2018: basic contribution set at € 619.25
"&amp;"- 2018/2019: 699.76 € or 80,51 € increase (+11%)
- 2019/2020: 776.62 or € 76,86 increase (+9.9%)
- 2020/2021: 846.81 or € 70.19 increase (+ 8.3%)
This gives a total of € 227,56 increased from the outset (+26.8%).
Questions :
-	How do you explain that"&amp;" ? ::
The answer obtained: this would be due to a coefficient on the number of accidents in the department where I live ...
This explanation seems to me to be hazardous and far from the official statistics on the subject
Thank you to the person on the "&amp;"phone on April 29, which agreed to a commercial gesture of € 50 (we would not do less ..) for the BMW because of the health situation of our country.
For the rest that still have no reasons for this fact I leave it to everyone to judge.
Mail extract sen"&amp;"d to Direct Insurance
Personally since I chose another insurer and I saved just over 200 €.
")</f>
        <v>The facts just the facts:
Faced with the successive increases in my contributions I expressed my very dissatisfaction (telephone call on April 29, 2020) with the following arguments:
Reminder for BMW:
- 2018/2018: basic contribution set at € 619.25
- 2018/2019: 699.76 € or 80,51 € increase (+11%)
- 2019/2020: 776.62 or € 76,86 increase (+9.9%)
- 2020/2021: 846.81 or € 70.19 increase (+ 8.3%)
This gives a total of € 227,56 increased from the outset (+26.8%).
Questions :
-	How do you explain that ? ::
The answer obtained: this would be due to a coefficient on the number of accidents in the department where I live ...
This explanation seems to me to be hazardous and far from the official statistics on the subject
Thank you to the person on the phone on April 29, which agreed to a commercial gesture of € 50 (we would not do less ..) for the BMW because of the health situation of our country.
For the rest that still have no reasons for this fact I leave it to everyone to judge.
Mail extract send to Direct Insurance
Personally since I chose another insurer and I saved just over 200 €.
</v>
      </c>
    </row>
    <row r="962" ht="15.75" customHeight="1">
      <c r="A962" s="2">
        <v>1.0</v>
      </c>
      <c r="B962" s="2" t="s">
        <v>2644</v>
      </c>
      <c r="C962" s="2" t="s">
        <v>2645</v>
      </c>
      <c r="D962" s="2" t="s">
        <v>430</v>
      </c>
      <c r="E962" s="2" t="s">
        <v>51</v>
      </c>
      <c r="F962" s="2" t="s">
        <v>15</v>
      </c>
      <c r="G962" s="2" t="s">
        <v>2646</v>
      </c>
      <c r="H962" s="2" t="s">
        <v>306</v>
      </c>
      <c r="I962" s="2" t="str">
        <f>IFERROR(__xludf.DUMMYFUNCTION("GOOGLETRANSLATE(C962,""fr"",""en"")"),"Ensuring for several years at the Macif, I have just broken down with my scooter, and I had the good surprise that he could not help me out because I am less than 50km from Cmon Home ... of course the day or I took the insurance person does not offer me t"&amp;"he option or even an other proposal ... so I pay € 130 per month for nothing !! And I have to find a tranquium at my fresh propers ... Know that all of me will be changed in the coming days !!! I strongly advise against the Macif which is just a company t"&amp;"o fly your agent !!!!")</f>
        <v>Ensuring for several years at the Macif, I have just broken down with my scooter, and I had the good surprise that he could not help me out because I am less than 50km from Cmon Home ... of course the day or I took the insurance person does not offer me the option or even an other proposal ... so I pay € 130 per month for nothing !! And I have to find a tranquium at my fresh propers ... Know that all of me will be changed in the coming days !!! I strongly advise against the Macif which is just a company to fly your agent !!!!</v>
      </c>
    </row>
    <row r="963" ht="15.75" customHeight="1">
      <c r="A963" s="2">
        <v>4.0</v>
      </c>
      <c r="B963" s="2" t="s">
        <v>2647</v>
      </c>
      <c r="C963" s="2" t="s">
        <v>2648</v>
      </c>
      <c r="D963" s="2" t="s">
        <v>211</v>
      </c>
      <c r="E963" s="2" t="s">
        <v>31</v>
      </c>
      <c r="F963" s="2" t="s">
        <v>15</v>
      </c>
      <c r="G963" s="2" t="s">
        <v>630</v>
      </c>
      <c r="H963" s="2" t="s">
        <v>230</v>
      </c>
      <c r="I963" s="2" t="str">
        <f>IFERROR(__xludf.DUMMYFUNCTION("GOOGLETRANSLATE(C963,""fr"",""en"")"),"Very satisfied by Emeline, whose listening, availability, kindness and competence helped me well for the problem I encountered. She brought me clarification that turned out to be correct")</f>
        <v>Very satisfied by Emeline, whose listening, availability, kindness and competence helped me well for the problem I encountered. She brought me clarification that turned out to be correct</v>
      </c>
    </row>
    <row r="964" ht="15.75" customHeight="1">
      <c r="A964" s="2">
        <v>2.0</v>
      </c>
      <c r="B964" s="2" t="s">
        <v>2649</v>
      </c>
      <c r="C964" s="2" t="s">
        <v>2650</v>
      </c>
      <c r="D964" s="2" t="s">
        <v>36</v>
      </c>
      <c r="E964" s="2" t="s">
        <v>14</v>
      </c>
      <c r="F964" s="2" t="s">
        <v>15</v>
      </c>
      <c r="G964" s="2" t="s">
        <v>2651</v>
      </c>
      <c r="H964" s="2" t="s">
        <v>117</v>
      </c>
      <c r="I964" s="2" t="str">
        <f>IFERROR(__xludf.DUMMYFUNCTION("GOOGLETRANSLATE(C964,""fr"",""en"")"),"Loyalty does not pay for insurers, you have to
Changing each year because the following year is more expensive than some competitors who themselves were more expensive than DA.
If you don't need anything, everything is fine, otherwise .....
Fortunately"&amp;", I need nothing, 20 years without accidents, I take the cheapest prices, I country for nothing so and I don't expect anything ......
On the other hand, customer service in the Bled (Morocco) is deplorable, nullissime, they understand nothing but know ev"&amp;"erything better than the others, it's great ....
I promise, I will come back when the other is more expensive lol without expecting anything on that fucking my money in the air")</f>
        <v>Loyalty does not pay for insurers, you have to
Changing each year because the following year is more expensive than some competitors who themselves were more expensive than DA.
If you don't need anything, everything is fine, otherwise .....
Fortunately, I need nothing, 20 years without accidents, I take the cheapest prices, I country for nothing so and I don't expect anything ......
On the other hand, customer service in the Bled (Morocco) is deplorable, nullissime, they understand nothing but know everything better than the others, it's great ....
I promise, I will come back when the other is more expensive lol without expecting anything on that fucking my money in the air</v>
      </c>
    </row>
    <row r="965" ht="15.75" customHeight="1">
      <c r="A965" s="2">
        <v>2.0</v>
      </c>
      <c r="B965" s="2" t="s">
        <v>2652</v>
      </c>
      <c r="C965" s="2" t="s">
        <v>2653</v>
      </c>
      <c r="D965" s="2" t="s">
        <v>36</v>
      </c>
      <c r="E965" s="2" t="s">
        <v>14</v>
      </c>
      <c r="F965" s="2" t="s">
        <v>15</v>
      </c>
      <c r="G965" s="2" t="s">
        <v>1646</v>
      </c>
      <c r="H965" s="2" t="s">
        <v>167</v>
      </c>
      <c r="I965" s="2" t="str">
        <f>IFERROR(__xludf.DUMMYFUNCTION("GOOGLETRANSLATE(C965,""fr"",""en"")"),"Customer service is incompetent and hardly speaks French.")</f>
        <v>Customer service is incompetent and hardly speaks French.</v>
      </c>
    </row>
    <row r="966" ht="15.75" customHeight="1">
      <c r="A966" s="2">
        <v>4.0</v>
      </c>
      <c r="B966" s="2" t="s">
        <v>2654</v>
      </c>
      <c r="C966" s="2" t="s">
        <v>2655</v>
      </c>
      <c r="D966" s="2" t="s">
        <v>13</v>
      </c>
      <c r="E966" s="2" t="s">
        <v>14</v>
      </c>
      <c r="F966" s="2" t="s">
        <v>15</v>
      </c>
      <c r="G966" s="2" t="s">
        <v>415</v>
      </c>
      <c r="H966" s="2" t="s">
        <v>171</v>
      </c>
      <c r="I966" s="2" t="str">
        <f>IFERROR(__xludf.DUMMYFUNCTION("GOOGLETRANSLATE(C966,""fr"",""en"")"),"Satisfied with the service for the implementation of the contract, competitive prices, quality reception and speed of implementation. Hopefully the service will be there if necessary")</f>
        <v>Satisfied with the service for the implementation of the contract, competitive prices, quality reception and speed of implementation. Hopefully the service will be there if necessary</v>
      </c>
    </row>
    <row r="967" ht="15.75" customHeight="1">
      <c r="A967" s="2">
        <v>1.0</v>
      </c>
      <c r="B967" s="2" t="s">
        <v>2656</v>
      </c>
      <c r="C967" s="2" t="s">
        <v>2657</v>
      </c>
      <c r="D967" s="2" t="s">
        <v>30</v>
      </c>
      <c r="E967" s="2" t="s">
        <v>31</v>
      </c>
      <c r="F967" s="2" t="s">
        <v>15</v>
      </c>
      <c r="G967" s="2" t="s">
        <v>633</v>
      </c>
      <c r="H967" s="2" t="s">
        <v>178</v>
      </c>
      <c r="I967" s="2" t="str">
        <f>IFERROR(__xludf.DUMMYFUNCTION("GOOGLETRANSLATE(C967,""fr"",""en"")"),"I've been waiting for a reimbursement of the Mutual Mercer for over 1 month. They are unreachable and do not respond to any mail. I never had worse mutual. As soon as it comes to paying there is no one left.")</f>
        <v>I've been waiting for a reimbursement of the Mutual Mercer for over 1 month. They are unreachable and do not respond to any mail. I never had worse mutual. As soon as it comes to paying there is no one left.</v>
      </c>
    </row>
    <row r="968" ht="15.75" customHeight="1">
      <c r="A968" s="2">
        <v>5.0</v>
      </c>
      <c r="B968" s="2" t="s">
        <v>2658</v>
      </c>
      <c r="C968" s="2" t="s">
        <v>2659</v>
      </c>
      <c r="D968" s="2" t="s">
        <v>36</v>
      </c>
      <c r="E968" s="2" t="s">
        <v>14</v>
      </c>
      <c r="F968" s="2" t="s">
        <v>15</v>
      </c>
      <c r="G968" s="2" t="s">
        <v>219</v>
      </c>
      <c r="H968" s="2" t="s">
        <v>171</v>
      </c>
      <c r="I968" s="2" t="str">
        <f>IFERROR(__xludf.DUMMYFUNCTION("GOOGLETRANSLATE(C968,""fr"",""en"")"),"I am very satisfied with the servic and the capture of our car asurance, for the two cars today.
No sinestre for the moment, but it's better.")</f>
        <v>I am very satisfied with the servic and the capture of our car asurance, for the two cars today.
No sinestre for the moment, but it's better.</v>
      </c>
    </row>
    <row r="969" ht="15.75" customHeight="1">
      <c r="A969" s="2">
        <v>1.0</v>
      </c>
      <c r="B969" s="2" t="s">
        <v>2660</v>
      </c>
      <c r="C969" s="2" t="s">
        <v>2661</v>
      </c>
      <c r="D969" s="2" t="s">
        <v>285</v>
      </c>
      <c r="E969" s="2" t="s">
        <v>14</v>
      </c>
      <c r="F969" s="2" t="s">
        <v>15</v>
      </c>
      <c r="G969" s="2" t="s">
        <v>2662</v>
      </c>
      <c r="H969" s="2" t="s">
        <v>230</v>
      </c>
      <c r="I969" s="2" t="str">
        <f>IFERROR(__xludf.DUMMYFUNCTION("GOOGLETRANSLATE(C969,""fr"",""en"")"),"After having succumbed to the attractive offer I was able to realize that it is an absolutely unspeakable insurance in terms of competence, abuse, I wanted to terminate after my first impression, they was also billed at the termination fees to half of the"&amp;" annual cautization.
Customer service is deplorable, no return or person who advises you, assurance to flee")</f>
        <v>After having succumbed to the attractive offer I was able to realize that it is an absolutely unspeakable insurance in terms of competence, abuse, I wanted to terminate after my first impression, they was also billed at the termination fees to half of the annual cautization.
Customer service is deplorable, no return or person who advises you, assurance to flee</v>
      </c>
    </row>
    <row r="970" ht="15.75" customHeight="1">
      <c r="A970" s="2">
        <v>5.0</v>
      </c>
      <c r="B970" s="2" t="s">
        <v>2663</v>
      </c>
      <c r="C970" s="2" t="s">
        <v>2664</v>
      </c>
      <c r="D970" s="2" t="s">
        <v>76</v>
      </c>
      <c r="E970" s="2" t="s">
        <v>51</v>
      </c>
      <c r="F970" s="2" t="s">
        <v>15</v>
      </c>
      <c r="G970" s="2" t="s">
        <v>258</v>
      </c>
      <c r="H970" s="2" t="s">
        <v>43</v>
      </c>
      <c r="I970" s="2" t="str">
        <f>IFERROR(__xludf.DUMMYFUNCTION("GOOGLETRANSLATE(C970,""fr"",""en"")"),"COMPETITIVE PRICES
Facilitates to request a quote
Facilitates to ensure
FAST
EFFICIENT
Ensures at the moment
Vriament delighted d or my presence for 11 years")</f>
        <v>COMPETITIVE PRICES
Facilitates to request a quote
Facilitates to ensure
FAST
EFFICIENT
Ensures at the moment
Vriament delighted d or my presence for 11 years</v>
      </c>
    </row>
    <row r="971" ht="15.75" customHeight="1">
      <c r="A971" s="2">
        <v>4.0</v>
      </c>
      <c r="B971" s="2" t="s">
        <v>2665</v>
      </c>
      <c r="C971" s="2" t="s">
        <v>2666</v>
      </c>
      <c r="D971" s="2" t="s">
        <v>36</v>
      </c>
      <c r="E971" s="2" t="s">
        <v>14</v>
      </c>
      <c r="F971" s="2" t="s">
        <v>15</v>
      </c>
      <c r="G971" s="2" t="s">
        <v>749</v>
      </c>
      <c r="H971" s="2" t="s">
        <v>171</v>
      </c>
      <c r="I971" s="2" t="str">
        <f>IFERROR(__xludf.DUMMYFUNCTION("GOOGLETRANSLATE(C971,""fr"",""en"")"),"Fast, simple and intuitive. The most attractive price on the market but for better protection you have to take options. Now it remains to be seen if my subscription will not go up exaggerated every year without reason .....")</f>
        <v>Fast, simple and intuitive. The most attractive price on the market but for better protection you have to take options. Now it remains to be seen if my subscription will not go up exaggerated every year without reason .....</v>
      </c>
    </row>
    <row r="972" ht="15.75" customHeight="1">
      <c r="A972" s="2">
        <v>1.0</v>
      </c>
      <c r="B972" s="2" t="s">
        <v>2667</v>
      </c>
      <c r="C972" s="2" t="s">
        <v>2668</v>
      </c>
      <c r="D972" s="2" t="s">
        <v>304</v>
      </c>
      <c r="E972" s="2" t="s">
        <v>21</v>
      </c>
      <c r="F972" s="2" t="s">
        <v>15</v>
      </c>
      <c r="G972" s="2" t="s">
        <v>2669</v>
      </c>
      <c r="H972" s="2" t="s">
        <v>360</v>
      </c>
      <c r="I972" s="2" t="str">
        <f>IFERROR(__xludf.DUMMYFUNCTION("GOOGLETRANSLATE(C972,""fr"",""en"")"),"Cardif Ass Life apparently in liquidation ... taken up by BNP / Hello Bank ... All irresponsible letter Rec mail fax and mediator have been doing nothing for 6 months impossible to manage 80,000 euros more internet access ... Veritable nuisances for the S"&amp;"avings ... Cardif becomes deficit and referral to Hello Bank customer service, an Emilie Ta ... always unreachable and which never reminds me !!!")</f>
        <v>Cardif Ass Life apparently in liquidation ... taken up by BNP / Hello Bank ... All irresponsible letter Rec mail fax and mediator have been doing nothing for 6 months impossible to manage 80,000 euros more internet access ... Veritable nuisances for the Savings ... Cardif becomes deficit and referral to Hello Bank customer service, an Emilie Ta ... always unreachable and which never reminds me !!!</v>
      </c>
    </row>
    <row r="973" ht="15.75" customHeight="1">
      <c r="A973" s="2">
        <v>3.0</v>
      </c>
      <c r="B973" s="2" t="s">
        <v>2670</v>
      </c>
      <c r="C973" s="2" t="s">
        <v>2671</v>
      </c>
      <c r="D973" s="2" t="s">
        <v>211</v>
      </c>
      <c r="E973" s="2" t="s">
        <v>31</v>
      </c>
      <c r="F973" s="2" t="s">
        <v>15</v>
      </c>
      <c r="G973" s="2" t="s">
        <v>1324</v>
      </c>
      <c r="H973" s="2" t="s">
        <v>17</v>
      </c>
      <c r="I973" s="2" t="str">
        <f>IFERROR(__xludf.DUMMYFUNCTION("GOOGLETRANSLATE(C973,""fr"",""en"")"),"Very pleasant customer advisor who knew how to give me answers to the questions I had about monitoring my contract and solving the problems I encountered. Thank you for his professionalism and his attentive listening. It is pleasant to be understood and q"&amp;"uickly inform.")</f>
        <v>Very pleasant customer advisor who knew how to give me answers to the questions I had about monitoring my contract and solving the problems I encountered. Thank you for his professionalism and his attentive listening. It is pleasant to be understood and quickly inform.</v>
      </c>
    </row>
    <row r="974" ht="15.75" customHeight="1">
      <c r="A974" s="2">
        <v>1.0</v>
      </c>
      <c r="B974" s="2" t="s">
        <v>2672</v>
      </c>
      <c r="C974" s="2" t="s">
        <v>2673</v>
      </c>
      <c r="D974" s="2" t="s">
        <v>1075</v>
      </c>
      <c r="E974" s="2" t="s">
        <v>51</v>
      </c>
      <c r="F974" s="2" t="s">
        <v>15</v>
      </c>
      <c r="G974" s="2" t="s">
        <v>2674</v>
      </c>
      <c r="H974" s="2" t="s">
        <v>306</v>
      </c>
      <c r="I974" s="2" t="str">
        <f>IFERROR(__xludf.DUMMYFUNCTION("GOOGLETRANSLATE(C974,""fr"",""en"")"),"Unreachable and not only in this period of containment 6 months to process a file which I am not responsible
6 Me to run behind them to know the advancement of the file we hang up on you I was limited insulting the interlocutors do not hesitate to cut yo"&amp;"u off or cut short it is inadmissible to avoid")</f>
        <v>Unreachable and not only in this period of containment 6 months to process a file which I am not responsible
6 Me to run behind them to know the advancement of the file we hang up on you I was limited insulting the interlocutors do not hesitate to cut you off or cut short it is inadmissible to avoid</v>
      </c>
    </row>
    <row r="975" ht="15.75" customHeight="1">
      <c r="A975" s="2">
        <v>1.0</v>
      </c>
      <c r="B975" s="2" t="s">
        <v>2675</v>
      </c>
      <c r="C975" s="2" t="s">
        <v>2676</v>
      </c>
      <c r="D975" s="2" t="s">
        <v>842</v>
      </c>
      <c r="E975" s="2" t="s">
        <v>31</v>
      </c>
      <c r="F975" s="2" t="s">
        <v>15</v>
      </c>
      <c r="G975" s="2" t="s">
        <v>2677</v>
      </c>
      <c r="H975" s="2" t="s">
        <v>684</v>
      </c>
      <c r="I975" s="2" t="str">
        <f>IFERROR(__xludf.DUMMYFUNCTION("GOOGLETRANSLATE(C975,""fr"",""en"")"),"I sent 2 letters, 2 emails, called 3 times and I was hung up on the nose every time, I have never been answered and the only time I had advisers on the phone they very Poorly spoken to end up hanging up with the nose before the end of the conversation.")</f>
        <v>I sent 2 letters, 2 emails, called 3 times and I was hung up on the nose every time, I have never been answered and the only time I had advisers on the phone they very Poorly spoken to end up hanging up with the nose before the end of the conversation.</v>
      </c>
    </row>
    <row r="976" ht="15.75" customHeight="1">
      <c r="A976" s="2">
        <v>3.0</v>
      </c>
      <c r="B976" s="2" t="s">
        <v>2678</v>
      </c>
      <c r="C976" s="2" t="s">
        <v>2679</v>
      </c>
      <c r="D976" s="2" t="s">
        <v>20</v>
      </c>
      <c r="E976" s="2" t="s">
        <v>14</v>
      </c>
      <c r="F976" s="2" t="s">
        <v>15</v>
      </c>
      <c r="G976" s="2" t="s">
        <v>2680</v>
      </c>
      <c r="H976" s="2" t="s">
        <v>320</v>
      </c>
      <c r="I976" s="2" t="str">
        <f>IFERROR(__xludf.DUMMYFUNCTION("GOOGLETRANSLATE(C976,""fr"",""en"")"),"I leave Axa because of the price of their subscription but I want to share my satisfaction with the quality of service of this society. Indeed, I unfortunately had 2 claims and I was able to appreciate the speed of execution of AXA both in terms of repair"&amp;", on the online procedures, and at the telephone maintenance level. So I have nothing to complain about in terms of taking claims, repairs, reimbursement. I leave them with regret but it only is due to their price.")</f>
        <v>I leave Axa because of the price of their subscription but I want to share my satisfaction with the quality of service of this society. Indeed, I unfortunately had 2 claims and I was able to appreciate the speed of execution of AXA both in terms of repair, on the online procedures, and at the telephone maintenance level. So I have nothing to complain about in terms of taking claims, repairs, reimbursement. I leave them with regret but it only is due to their price.</v>
      </c>
    </row>
    <row r="977" ht="15.75" customHeight="1">
      <c r="A977" s="2">
        <v>3.0</v>
      </c>
      <c r="B977" s="2" t="s">
        <v>2681</v>
      </c>
      <c r="C977" s="2" t="s">
        <v>2682</v>
      </c>
      <c r="D977" s="2" t="s">
        <v>104</v>
      </c>
      <c r="E977" s="2" t="s">
        <v>121</v>
      </c>
      <c r="F977" s="2" t="s">
        <v>15</v>
      </c>
      <c r="G977" s="2" t="s">
        <v>613</v>
      </c>
      <c r="H977" s="2" t="s">
        <v>345</v>
      </c>
      <c r="I977" s="2" t="str">
        <f>IFERROR(__xludf.DUMMYFUNCTION("GOOGLETRANSLATE(C977,""fr"",""en"")"),"My mother has contributed all her life to dependence insurance and now that she needs it does not manage to perceive it due to the incompetence of this completely ignorant service and I don't care")</f>
        <v>My mother has contributed all her life to dependence insurance and now that she needs it does not manage to perceive it due to the incompetence of this completely ignorant service and I don't care</v>
      </c>
    </row>
    <row r="978" ht="15.75" customHeight="1">
      <c r="A978" s="2">
        <v>1.0</v>
      </c>
      <c r="B978" s="2" t="s">
        <v>2683</v>
      </c>
      <c r="C978" s="2" t="s">
        <v>2684</v>
      </c>
      <c r="D978" s="2" t="s">
        <v>20</v>
      </c>
      <c r="E978" s="2" t="s">
        <v>121</v>
      </c>
      <c r="F978" s="2" t="s">
        <v>15</v>
      </c>
      <c r="G978" s="2" t="s">
        <v>1584</v>
      </c>
      <c r="H978" s="2" t="s">
        <v>487</v>
      </c>
      <c r="I978" s="2" t="str">
        <f>IFERROR(__xludf.DUMMYFUNCTION("GOOGLETRANSLATE(C978,""fr"",""en"")"),"It is well known that insurers' obsession is the provident contracts and in particular in the event of a parent's death, children's educational annuities up to their 25 years. AXA wins the Cup for the incompetence of its annuity management service and for"&amp;" the client's contempt. Each year it is the same delays in the regulation of annuities when we have transmitted by mail in due course the supporting documents for schooling: papers lost systematically on their side, incoherent responses on the processing "&amp;"of the file - One week the file is supposedly treated, the following week the part was not received, it must be transmitted in an emergency by email and each time we add 10 days of delay for the payment .... if ""Know you can"" is the New AXA slogan, Cust"&amp;"omer side is ""Know they can't"" ... Do their job properly. For the boss of Axa this slogan ""perfectly symbolizes the ambition we have to make of Axa a partner able to help his customers reach their dreams."" For my part, my single parent dream is limite"&amp;"d to properly manage my constrained family budget ... and AXA does not help me.")</f>
        <v>It is well known that insurers' obsession is the provident contracts and in particular in the event of a parent's death, children's educational annuities up to their 25 years. AXA wins the Cup for the incompetence of its annuity management service and for the client's contempt. Each year it is the same delays in the regulation of annuities when we have transmitted by mail in due course the supporting documents for schooling: papers lost systematically on their side, incoherent responses on the processing of the file - One week the file is supposedly treated, the following week the part was not received, it must be transmitted in an emergency by email and each time we add 10 days of delay for the payment .... if "Know you can" is the New AXA slogan, Customer side is "Know they can't" ... Do their job properly. For the boss of Axa this slogan "perfectly symbolizes the ambition we have to make of Axa a partner able to help his customers reach their dreams." For my part, my single parent dream is limited to properly manage my constrained family budget ... and AXA does not help me.</v>
      </c>
    </row>
    <row r="979" ht="15.75" customHeight="1">
      <c r="A979" s="2">
        <v>5.0</v>
      </c>
      <c r="B979" s="2" t="s">
        <v>2685</v>
      </c>
      <c r="C979" s="2" t="s">
        <v>2686</v>
      </c>
      <c r="D979" s="2" t="s">
        <v>13</v>
      </c>
      <c r="E979" s="2" t="s">
        <v>14</v>
      </c>
      <c r="F979" s="2" t="s">
        <v>15</v>
      </c>
      <c r="G979" s="2" t="s">
        <v>658</v>
      </c>
      <c r="H979" s="2" t="s">
        <v>47</v>
      </c>
      <c r="I979" s="2" t="str">
        <f>IFERROR(__xludf.DUMMYFUNCTION("GOOGLETRANSLATE(C979,""fr"",""en"")"),"Customer service is excellent, the advisers are all very responsive, kind and good advice, well done and thank you for the quality of the reception!")</f>
        <v>Customer service is excellent, the advisers are all very responsive, kind and good advice, well done and thank you for the quality of the reception!</v>
      </c>
    </row>
    <row r="980" ht="15.75" customHeight="1">
      <c r="A980" s="2">
        <v>5.0</v>
      </c>
      <c r="B980" s="2" t="s">
        <v>2687</v>
      </c>
      <c r="C980" s="2" t="s">
        <v>2688</v>
      </c>
      <c r="D980" s="2" t="s">
        <v>36</v>
      </c>
      <c r="E980" s="2" t="s">
        <v>14</v>
      </c>
      <c r="F980" s="2" t="s">
        <v>15</v>
      </c>
      <c r="G980" s="2" t="s">
        <v>2689</v>
      </c>
      <c r="H980" s="2" t="s">
        <v>95</v>
      </c>
      <c r="I980" s="2" t="str">
        <f>IFERROR(__xludf.DUMMYFUNCTION("GOOGLETRANSLATE(C980,""fr"",""en"")"),"Perfect very fast and very simple I highly recommend direct insurance. Thank you for being so fast and courteous. Really eyes close. Thanks.")</f>
        <v>Perfect very fast and very simple I highly recommend direct insurance. Thank you for being so fast and courteous. Really eyes close. Thanks.</v>
      </c>
    </row>
    <row r="981" ht="15.75" customHeight="1">
      <c r="A981" s="2">
        <v>3.0</v>
      </c>
      <c r="B981" s="2" t="s">
        <v>2690</v>
      </c>
      <c r="C981" s="2" t="s">
        <v>2691</v>
      </c>
      <c r="D981" s="2" t="s">
        <v>36</v>
      </c>
      <c r="E981" s="2" t="s">
        <v>14</v>
      </c>
      <c r="F981" s="2" t="s">
        <v>15</v>
      </c>
      <c r="G981" s="2" t="s">
        <v>2129</v>
      </c>
      <c r="H981" s="2" t="s">
        <v>95</v>
      </c>
      <c r="I981" s="2" t="str">
        <f>IFERROR(__xludf.DUMMYFUNCTION("GOOGLETRANSLATE(C981,""fr"",""en"")")," Simple and quick. The site is welcoming and well thought out. It is easy to get a quote. I just hope that the contract that I will be offered will be in accordance with the quote")</f>
        <v> Simple and quick. The site is welcoming and well thought out. It is easy to get a quote. I just hope that the contract that I will be offered will be in accordance with the quote</v>
      </c>
    </row>
    <row r="982" ht="15.75" customHeight="1">
      <c r="A982" s="2">
        <v>1.0</v>
      </c>
      <c r="B982" s="2" t="s">
        <v>2692</v>
      </c>
      <c r="C982" s="2" t="s">
        <v>2693</v>
      </c>
      <c r="D982" s="2" t="s">
        <v>642</v>
      </c>
      <c r="E982" s="2" t="s">
        <v>31</v>
      </c>
      <c r="F982" s="2" t="s">
        <v>15</v>
      </c>
      <c r="G982" s="2" t="s">
        <v>145</v>
      </c>
      <c r="H982" s="2" t="s">
        <v>145</v>
      </c>
      <c r="I982" s="2" t="str">
        <f>IFERROR(__xludf.DUMMYFUNCTION("GOOGLETRANSLATE(C982,""fr"",""en"")"),"I have been a MGEN member for 23 years. Affected by cancer and in CLM since August 2020, I have been halfway up since 08/20/2021. I have been waiting since the additional income that MGEN should pay me. Despite multiple calls, contradictory opinion, reque"&amp;"sted papers, sent, asked, sent back ... Nothing!
To tell you that I am disgusted by this ""mutual"" would be a sweet and euphemism ...")</f>
        <v>I have been a MGEN member for 23 years. Affected by cancer and in CLM since August 2020, I have been halfway up since 08/20/2021. I have been waiting since the additional income that MGEN should pay me. Despite multiple calls, contradictory opinion, requested papers, sent, asked, sent back ... Nothing!
To tell you that I am disgusted by this "mutual" would be a sweet and euphemism ...</v>
      </c>
    </row>
    <row r="983" ht="15.75" customHeight="1">
      <c r="A983" s="2">
        <v>5.0</v>
      </c>
      <c r="B983" s="2" t="s">
        <v>2694</v>
      </c>
      <c r="C983" s="2" t="s">
        <v>2695</v>
      </c>
      <c r="D983" s="2" t="s">
        <v>36</v>
      </c>
      <c r="E983" s="2" t="s">
        <v>14</v>
      </c>
      <c r="F983" s="2" t="s">
        <v>15</v>
      </c>
      <c r="G983" s="2" t="s">
        <v>1612</v>
      </c>
      <c r="H983" s="2" t="s">
        <v>230</v>
      </c>
      <c r="I983" s="2" t="str">
        <f>IFERROR(__xludf.DUMMYFUNCTION("GOOGLETRANSLATE(C983,""fr"",""en"")"),"Already a customer in the past, I come back with joy because you had not been able to ensure my previous vehicle.
It was an electrical car and I have regreed that I couldn't continue with you")</f>
        <v>Already a customer in the past, I come back with joy because you had not been able to ensure my previous vehicle.
It was an electrical car and I have regreed that I couldn't continue with you</v>
      </c>
    </row>
    <row r="984" ht="15.75" customHeight="1">
      <c r="A984" s="2">
        <v>1.0</v>
      </c>
      <c r="B984" s="2" t="s">
        <v>2696</v>
      </c>
      <c r="C984" s="2" t="s">
        <v>2697</v>
      </c>
      <c r="D984" s="2" t="s">
        <v>13</v>
      </c>
      <c r="E984" s="2" t="s">
        <v>14</v>
      </c>
      <c r="F984" s="2" t="s">
        <v>15</v>
      </c>
      <c r="G984" s="2" t="s">
        <v>2698</v>
      </c>
      <c r="H984" s="2" t="s">
        <v>356</v>
      </c>
      <c r="I984" s="2" t="str">
        <f>IFERROR(__xludf.DUMMYFUNCTION("GOOGLETRANSLATE(C984,""fr"",""en"")"),"Insured with the olive tree, this insurer concealed the amount of the deductible which from zero euro rose to € 922
In addition, it is very difficult to reach them on the phone. He does not respond by email, or at least automatically, the deadlines are v"&amp;"ery long.
After 1 and a half years of insurance at Olivier I sold my vehicle on June 30, 2020 and today on August 14, 2020 he still did not reimburse me my subscription in Prorata. This insurer always discusses good apologies not to pay.
I strongly ad"&amp;"vise against this insurer!
It is better to go to insurers who have agencies or simply the Matmut.")</f>
        <v>Insured with the olive tree, this insurer concealed the amount of the deductible which from zero euro rose to € 922
In addition, it is very difficult to reach them on the phone. He does not respond by email, or at least automatically, the deadlines are very long.
After 1 and a half years of insurance at Olivier I sold my vehicle on June 30, 2020 and today on August 14, 2020 he still did not reimburse me my subscription in Prorata. This insurer always discusses good apologies not to pay.
I strongly advise against this insurer!
It is better to go to insurers who have agencies or simply the Matmut.</v>
      </c>
    </row>
    <row r="985" ht="15.75" customHeight="1">
      <c r="A985" s="2">
        <v>5.0</v>
      </c>
      <c r="B985" s="2" t="s">
        <v>2699</v>
      </c>
      <c r="C985" s="2" t="s">
        <v>2700</v>
      </c>
      <c r="D985" s="2" t="s">
        <v>36</v>
      </c>
      <c r="E985" s="2" t="s">
        <v>14</v>
      </c>
      <c r="F985" s="2" t="s">
        <v>15</v>
      </c>
      <c r="G985" s="2" t="s">
        <v>1351</v>
      </c>
      <c r="H985" s="2" t="s">
        <v>230</v>
      </c>
      <c r="I985" s="2" t="str">
        <f>IFERROR(__xludf.DUMMYFUNCTION("GOOGLETRANSLATE(C985,""fr"",""en"")"),"General satisfaction for my car insurance at Direct Insurance, competitive prices, satisfactory services, and always courteous and efficient telephone contact.")</f>
        <v>General satisfaction for my car insurance at Direct Insurance, competitive prices, satisfactory services, and always courteous and efficient telephone contact.</v>
      </c>
    </row>
    <row r="986" ht="15.75" customHeight="1">
      <c r="A986" s="2">
        <v>4.0</v>
      </c>
      <c r="B986" s="2" t="s">
        <v>2701</v>
      </c>
      <c r="C986" s="2" t="s">
        <v>2702</v>
      </c>
      <c r="D986" s="2" t="s">
        <v>211</v>
      </c>
      <c r="E986" s="2" t="s">
        <v>31</v>
      </c>
      <c r="F986" s="2" t="s">
        <v>15</v>
      </c>
      <c r="G986" s="2" t="s">
        <v>261</v>
      </c>
      <c r="H986" s="2" t="s">
        <v>27</v>
      </c>
      <c r="I986" s="2" t="str">
        <f>IFERROR(__xludf.DUMMYFUNCTION("GOOGLETRANSLATE(C986,""fr"",""en"")"),"hello j address this message to neoliane to congratulate them to have as a mutualist adviser reimbursement etc ... a young woman denommee emeline !! We have been lost because at home since 2015 we had mesavents with your services !! And arrived Emeline we"&amp;" allowed ourselves to ask her her first name because we were proud to have had him as an effective, available, reactive interlocutor with great professionalism that It is pleasant because if it had not been there we left you! Too much negligence !!! We re"&amp;"main at your disposal to mean them.
Sincere greetings. Monsieur and Madame Charlette")</f>
        <v>hello j address this message to neoliane to congratulate them to have as a mutualist adviser reimbursement etc ... a young woman denommee emeline !! We have been lost because at home since 2015 we had mesavents with your services !! And arrived Emeline we allowed ourselves to ask her her first name because we were proud to have had him as an effective, available, reactive interlocutor with great professionalism that It is pleasant because if it had not been there we left you! Too much negligence !!! We remain at your disposal to mean them.
Sincere greetings. Monsieur and Madame Charlette</v>
      </c>
    </row>
    <row r="987" ht="15.75" customHeight="1">
      <c r="A987" s="2">
        <v>4.0</v>
      </c>
      <c r="B987" s="2" t="s">
        <v>2703</v>
      </c>
      <c r="C987" s="2" t="s">
        <v>2704</v>
      </c>
      <c r="D987" s="2" t="s">
        <v>13</v>
      </c>
      <c r="E987" s="2" t="s">
        <v>14</v>
      </c>
      <c r="F987" s="2" t="s">
        <v>15</v>
      </c>
      <c r="G987" s="2" t="s">
        <v>2705</v>
      </c>
      <c r="H987" s="2" t="s">
        <v>33</v>
      </c>
      <c r="I987" s="2" t="str">
        <f>IFERROR(__xludf.DUMMYFUNCTION("GOOGLETRANSLATE(C987,""fr"",""en"")"),"Thank you for your satisfied services for being your customer I would send you to the Aven of potential customers to have insured protection at home")</f>
        <v>Thank you for your satisfied services for being your customer I would send you to the Aven of potential customers to have insured protection at home</v>
      </c>
    </row>
    <row r="988" ht="15.75" customHeight="1">
      <c r="A988" s="2">
        <v>3.0</v>
      </c>
      <c r="B988" s="2" t="s">
        <v>2706</v>
      </c>
      <c r="C988" s="2" t="s">
        <v>2707</v>
      </c>
      <c r="D988" s="2" t="s">
        <v>36</v>
      </c>
      <c r="E988" s="2" t="s">
        <v>14</v>
      </c>
      <c r="F988" s="2" t="s">
        <v>15</v>
      </c>
      <c r="G988" s="2" t="s">
        <v>2708</v>
      </c>
      <c r="H988" s="2" t="s">
        <v>95</v>
      </c>
      <c r="I988" s="2" t="str">
        <f>IFERROR(__xludf.DUMMYFUNCTION("GOOGLETRANSLATE(C988,""fr"",""en"")"),"Simple and quick service. lowly low price compared to competition for the same level of warranty service clients reachable quickly correct application")</f>
        <v>Simple and quick service. lowly low price compared to competition for the same level of warranty service clients reachable quickly correct application</v>
      </c>
    </row>
    <row r="989" ht="15.75" customHeight="1">
      <c r="A989" s="2">
        <v>1.0</v>
      </c>
      <c r="B989" s="2" t="s">
        <v>2709</v>
      </c>
      <c r="C989" s="2" t="s">
        <v>2710</v>
      </c>
      <c r="D989" s="2" t="s">
        <v>430</v>
      </c>
      <c r="E989" s="2" t="s">
        <v>37</v>
      </c>
      <c r="F989" s="2" t="s">
        <v>15</v>
      </c>
      <c r="G989" s="2" t="s">
        <v>2711</v>
      </c>
      <c r="H989" s="2" t="s">
        <v>880</v>
      </c>
      <c r="I989" s="2" t="str">
        <f>IFERROR(__xludf.DUMMYFUNCTION("GOOGLETRANSLATE(C989,""fr"",""en"")"),"Hello I am disappointed by the service and the contact after signing the contract")</f>
        <v>Hello I am disappointed by the service and the contact after signing the contract</v>
      </c>
    </row>
    <row r="990" ht="15.75" customHeight="1">
      <c r="A990" s="2">
        <v>2.0</v>
      </c>
      <c r="B990" s="2" t="s">
        <v>2712</v>
      </c>
      <c r="C990" s="2" t="s">
        <v>2713</v>
      </c>
      <c r="D990" s="2" t="s">
        <v>414</v>
      </c>
      <c r="E990" s="2" t="s">
        <v>37</v>
      </c>
      <c r="F990" s="2" t="s">
        <v>15</v>
      </c>
      <c r="G990" s="2" t="s">
        <v>2714</v>
      </c>
      <c r="H990" s="2" t="s">
        <v>178</v>
      </c>
      <c r="I990" s="2" t="str">
        <f>IFERROR(__xludf.DUMMYFUNCTION("GOOGLETRANSLATE(C990,""fr"",""en"")"),"MAIF was super insurance, but for some time since it has become unbearable! Impossible to have the same interlocutor (so we go back to the time to explain everything), mixture of sinister files, misunderstandings of emails (they do not know how to read), "&amp;"unless bad and very long deadlines ... and above all, we must do The job in their place, relaunching yourself the construction companies. I asked for an appointment in delegation, 2 weeks ago ... No one has contacted me since ... even if we have been reco"&amp;"nfined since, given the galley that I have lived for months, a phone call would have been relevant. In short, I now recommend this insurance.")</f>
        <v>MAIF was super insurance, but for some time since it has become unbearable! Impossible to have the same interlocutor (so we go back to the time to explain everything), mixture of sinister files, misunderstandings of emails (they do not know how to read), unless bad and very long deadlines ... and above all, we must do The job in their place, relaunching yourself the construction companies. I asked for an appointment in delegation, 2 weeks ago ... No one has contacted me since ... even if we have been reconfined since, given the galley that I have lived for months, a phone call would have been relevant. In short, I now recommend this insurance.</v>
      </c>
    </row>
    <row r="991" ht="15.75" customHeight="1">
      <c r="A991" s="2">
        <v>2.0</v>
      </c>
      <c r="B991" s="2" t="s">
        <v>2715</v>
      </c>
      <c r="C991" s="2" t="s">
        <v>2716</v>
      </c>
      <c r="D991" s="2" t="s">
        <v>13</v>
      </c>
      <c r="E991" s="2" t="s">
        <v>14</v>
      </c>
      <c r="F991" s="2" t="s">
        <v>15</v>
      </c>
      <c r="G991" s="2" t="s">
        <v>510</v>
      </c>
      <c r="H991" s="2" t="s">
        <v>27</v>
      </c>
      <c r="I991" s="2" t="str">
        <f>IFERROR(__xludf.DUMMYFUNCTION("GOOGLETRANSLATE(C991,""fr"",""en"")"),"Hello,
My file will soon reach its 5th month of processing by next week.
I am the victim of a road accident on May 2, 2021, declared not responsible by the expert and with an SUV type vehicle categorized as VEI 3 months after despite numerous reminder"&amp;"s on my part too.
They confirmed that they had received all the documents from the automotive expert on July 20 on the sale of my vehicle.
In addition, the expert said they were at the origin of the waiting period for the first two months because th"&amp;"ey did not give them an agreement only from Monday, July 5, in response to an email from the facts of the facts July 2nd.
Since May 2, I have collected several emails that have remained unanswered on their part despite the receipt accused and several r"&amp;"ecorded calls who were ultimately interrupted in an incomprehensible way. The whole of their telephone services have been bizarrely unreachable since the summer .
As a reminder, this is a disaster caused by a third party of which I am declared not resp"&amp;"onsible and which penalizes me until today in my daily pregnant woman with the complications that follow them.
To date they received all the documents to verify my file as a whole.
Until today, they have made partial compensation up to € 1391 (amoun"&amp;"t of the wreck) on the total sum of € 10,700.
It has been more than a month since the file is complete but still no sign of them.
I feel obliged to have to spread my dissatisfaction in the public square in order to hope for a return before perhaps h"&amp;"aving to start more serious steps.
If I have a advice to give to a person who hesitates to subscribe to them.
Do not flee, we recognize good insurance in its management.
Theirs is catastrophic, it is shameful non -professional and irrespectious")</f>
        <v>Hello,
My file will soon reach its 5th month of processing by next week.
I am the victim of a road accident on May 2, 2021, declared not responsible by the expert and with an SUV type vehicle categorized as VEI 3 months after despite numerous reminders on my part too.
They confirmed that they had received all the documents from the automotive expert on July 20 on the sale of my vehicle.
In addition, the expert said they were at the origin of the waiting period for the first two months because they did not give them an agreement only from Monday, July 5, in response to an email from the facts of the facts July 2nd.
Since May 2, I have collected several emails that have remained unanswered on their part despite the receipt accused and several recorded calls who were ultimately interrupted in an incomprehensible way. The whole of their telephone services have been bizarrely unreachable since the summer .
As a reminder, this is a disaster caused by a third party of which I am declared not responsible and which penalizes me until today in my daily pregnant woman with the complications that follow them.
To date they received all the documents to verify my file as a whole.
Until today, they have made partial compensation up to € 1391 (amount of the wreck) on the total sum of € 10,700.
It has been more than a month since the file is complete but still no sign of them.
I feel obliged to have to spread my dissatisfaction in the public square in order to hope for a return before perhaps having to start more serious steps.
If I have a advice to give to a person who hesitates to subscribe to them.
Do not flee, we recognize good insurance in its management.
Theirs is catastrophic, it is shameful non -professional and irrespectious</v>
      </c>
    </row>
    <row r="992" ht="15.75" customHeight="1">
      <c r="A992" s="2">
        <v>5.0</v>
      </c>
      <c r="B992" s="2" t="s">
        <v>2717</v>
      </c>
      <c r="C992" s="2" t="s">
        <v>2718</v>
      </c>
      <c r="D992" s="2" t="s">
        <v>13</v>
      </c>
      <c r="E992" s="2" t="s">
        <v>14</v>
      </c>
      <c r="F992" s="2" t="s">
        <v>15</v>
      </c>
      <c r="G992" s="2" t="s">
        <v>1351</v>
      </c>
      <c r="H992" s="2" t="s">
        <v>230</v>
      </c>
      <c r="I992" s="2" t="str">
        <f>IFERROR(__xludf.DUMMYFUNCTION("GOOGLETRANSLATE(C992,""fr"",""en"")"),"Nice serious and pleasant person on the phone. I certainly think of putting my other motorcycle and home contracts later at Olivier Assurance")</f>
        <v>Nice serious and pleasant person on the phone. I certainly think of putting my other motorcycle and home contracts later at Olivier Assurance</v>
      </c>
    </row>
    <row r="993" ht="15.75" customHeight="1">
      <c r="A993" s="2">
        <v>4.0</v>
      </c>
      <c r="B993" s="2" t="s">
        <v>2719</v>
      </c>
      <c r="C993" s="2" t="s">
        <v>2720</v>
      </c>
      <c r="D993" s="2" t="s">
        <v>88</v>
      </c>
      <c r="E993" s="2" t="s">
        <v>31</v>
      </c>
      <c r="F993" s="2" t="s">
        <v>15</v>
      </c>
      <c r="G993" s="2" t="s">
        <v>2721</v>
      </c>
      <c r="H993" s="2" t="s">
        <v>110</v>
      </c>
      <c r="I993" s="2" t="str">
        <f>IFERROR(__xludf.DUMMYFUNCTION("GOOGLETRANSLATE(C993,""fr"",""en"")"),"I have always been well recommended every time I had a person on the phone, especially yesterday with Allison. My request was processed in the moment and with kindness.")</f>
        <v>I have always been well recommended every time I had a person on the phone, especially yesterday with Allison. My request was processed in the moment and with kindness.</v>
      </c>
    </row>
    <row r="994" ht="15.75" customHeight="1">
      <c r="A994" s="2">
        <v>2.0</v>
      </c>
      <c r="B994" s="2" t="s">
        <v>2722</v>
      </c>
      <c r="C994" s="2" t="s">
        <v>2723</v>
      </c>
      <c r="D994" s="2" t="s">
        <v>76</v>
      </c>
      <c r="E994" s="2" t="s">
        <v>51</v>
      </c>
      <c r="F994" s="2" t="s">
        <v>15</v>
      </c>
      <c r="G994" s="2" t="s">
        <v>2724</v>
      </c>
      <c r="H994" s="2" t="s">
        <v>684</v>
      </c>
      <c r="I994" s="2" t="str">
        <f>IFERROR(__xludf.DUMMYFUNCTION("GOOGLETRANSLATE(C994,""fr"",""en"")"),"Total incompetence of the Assistance Sercice ...
That we have to attend to each step
Not damn to validate a telephone request on their software (under pretext that there are 2 software ... but it's not my problem ... must do a training guys)
Following "&amp;"an accident, my scooter stayed 5 days in Fourriere instead of 1 day and at my expense while the additional 4 days are their fault
All this because a person of AMV Assistance does not remind me as promised after his call to my Fourriere.
For reclamation,"&amp;" we run in service in service but nothing moves and we waste time and energy ...
While at the beginning the victim is me and insurance is them
In short: effective to reclaim your money much less to help you out if necessary ...
So what do we pay for "&amp;"??
")</f>
        <v>Total incompetence of the Assistance Sercice ...
That we have to attend to each step
Not damn to validate a telephone request on their software (under pretext that there are 2 software ... but it's not my problem ... must do a training guys)
Following an accident, my scooter stayed 5 days in Fourriere instead of 1 day and at my expense while the additional 4 days are their fault
All this because a person of AMV Assistance does not remind me as promised after his call to my Fourriere.
For reclamation, we run in service in service but nothing moves and we waste time and energy ...
While at the beginning the victim is me and insurance is them
In short: effective to reclaim your money much less to help you out if necessary ...
So what do we pay for ??
</v>
      </c>
    </row>
    <row r="995" ht="15.75" customHeight="1">
      <c r="A995" s="2">
        <v>4.0</v>
      </c>
      <c r="B995" s="2" t="s">
        <v>2725</v>
      </c>
      <c r="C995" s="2" t="s">
        <v>2726</v>
      </c>
      <c r="D995" s="2" t="s">
        <v>104</v>
      </c>
      <c r="E995" s="2" t="s">
        <v>31</v>
      </c>
      <c r="F995" s="2" t="s">
        <v>15</v>
      </c>
      <c r="G995" s="2" t="s">
        <v>2727</v>
      </c>
      <c r="H995" s="2" t="s">
        <v>149</v>
      </c>
      <c r="I995" s="2" t="str">
        <f>IFERROR(__xludf.DUMMYFUNCTION("GOOGLETRANSLATE(C995,""fr"",""en"")"),"Very satisfied by my online correspondent, who answered my questions on a problem of reimbursement of consultation of general practitioner and solved a gateway problem on the Ameli site, or I was blocked;")</f>
        <v>Very satisfied by my online correspondent, who answered my questions on a problem of reimbursement of consultation of general practitioner and solved a gateway problem on the Ameli site, or I was blocked;</v>
      </c>
    </row>
    <row r="996" ht="15.75" customHeight="1">
      <c r="A996" s="2">
        <v>1.0</v>
      </c>
      <c r="B996" s="2" t="s">
        <v>2728</v>
      </c>
      <c r="C996" s="2" t="s">
        <v>2729</v>
      </c>
      <c r="D996" s="2" t="s">
        <v>642</v>
      </c>
      <c r="E996" s="2" t="s">
        <v>31</v>
      </c>
      <c r="F996" s="2" t="s">
        <v>15</v>
      </c>
      <c r="G996" s="2" t="s">
        <v>1243</v>
      </c>
      <c r="H996" s="2" t="s">
        <v>85</v>
      </c>
      <c r="I996" s="2" t="str">
        <f>IFERROR(__xludf.DUMMYFUNCTION("GOOGLETRANSLATE(C996,""fr"",""en"")"),"I have terminated my mutual employer since 05/02/2021; 34.28 euros were taken 10/05/2021. I phone the MGEN every two weeks so that I am repaid this subscription and I am told whenever it is done. It is a shame to make fun of people as well.")</f>
        <v>I have terminated my mutual employer since 05/02/2021; 34.28 euros were taken 10/05/2021. I phone the MGEN every two weeks so that I am repaid this subscription and I am told whenever it is done. It is a shame to make fun of people as well.</v>
      </c>
    </row>
    <row r="997" ht="15.75" customHeight="1">
      <c r="A997" s="2">
        <v>2.0</v>
      </c>
      <c r="B997" s="2" t="s">
        <v>2730</v>
      </c>
      <c r="C997" s="2" t="s">
        <v>2731</v>
      </c>
      <c r="D997" s="2" t="s">
        <v>430</v>
      </c>
      <c r="E997" s="2" t="s">
        <v>51</v>
      </c>
      <c r="F997" s="2" t="s">
        <v>15</v>
      </c>
      <c r="G997" s="2" t="s">
        <v>2732</v>
      </c>
      <c r="H997" s="2" t="s">
        <v>160</v>
      </c>
      <c r="I997" s="2" t="str">
        <f>IFERROR(__xludf.DUMMYFUNCTION("GOOGLETRANSLATE(C997,""fr"",""en"")"),"First insurance or the advisor hangs up directly with the nose ... Wonderful!
They absolutely do not manage a file where I am supposed to be reimbursed! A real shame. Avoid at all costs. As soon as a disaster is there there is no one left.")</f>
        <v>First insurance or the advisor hangs up directly with the nose ... Wonderful!
They absolutely do not manage a file where I am supposed to be reimbursed! A real shame. Avoid at all costs. As soon as a disaster is there there is no one left.</v>
      </c>
    </row>
    <row r="998" ht="15.75" customHeight="1">
      <c r="A998" s="2">
        <v>4.0</v>
      </c>
      <c r="B998" s="2" t="s">
        <v>2733</v>
      </c>
      <c r="C998" s="2" t="s">
        <v>2734</v>
      </c>
      <c r="D998" s="2" t="s">
        <v>36</v>
      </c>
      <c r="E998" s="2" t="s">
        <v>14</v>
      </c>
      <c r="F998" s="2" t="s">
        <v>15</v>
      </c>
      <c r="G998" s="2" t="s">
        <v>1813</v>
      </c>
      <c r="H998" s="2" t="s">
        <v>47</v>
      </c>
      <c r="I998" s="2" t="str">
        <f>IFERROR(__xludf.DUMMYFUNCTION("GOOGLETRANSLATE(C998,""fr"",""en"")"),"Ok correct price / I had a non -responsible accident, Direct Insurance took care of the dispute very well. The only axis of improvement would be to have a dedicated advisor with a dedicated number! Otherwise")</f>
        <v>Ok correct price / I had a non -responsible accident, Direct Insurance took care of the dispute very well. The only axis of improvement would be to have a dedicated advisor with a dedicated number! Otherwise</v>
      </c>
    </row>
    <row r="999" ht="15.75" customHeight="1">
      <c r="A999" s="2">
        <v>1.0</v>
      </c>
      <c r="B999" s="2" t="s">
        <v>2735</v>
      </c>
      <c r="C999" s="2" t="s">
        <v>2736</v>
      </c>
      <c r="D999" s="2" t="s">
        <v>304</v>
      </c>
      <c r="E999" s="2" t="s">
        <v>200</v>
      </c>
      <c r="F999" s="2" t="s">
        <v>15</v>
      </c>
      <c r="G999" s="2" t="s">
        <v>2737</v>
      </c>
      <c r="H999" s="2" t="s">
        <v>90</v>
      </c>
      <c r="I999" s="2" t="str">
        <f>IFERROR(__xludf.DUMMYFUNCTION("GOOGLETRANSLATE(C999,""fr"",""en"")"),"In disability category 2 and having been dismissed for incapacity I declared my claim in January 2019 (I draw attention to the fact that I declared on the same date this claim to other competing insurance having taken out credits to D 'other organizations"&amp;").
We are April 14, 2019 and following many calls with an always different interlocutor I am still waiting for Cardif's response, (there is still a document that was not specified beforehand in the initial file) while the Competing insurance for other "&amp;"credits have already compensated me so as not to quote them EDA for Sofinco and Cofidis insurance.
If I receive a negative response from the cardif concerning my care for my disability, I will have to explain to me why 2 medical services of 2 competing"&amp;" insurances accepted management with treatment rapiditis of less than 3 months.
In view of the various comments of the other members I expect bad faith of Cardif.
I will not fail to give you information on the progress of my file to allow other memb"&amp;"ers to form their own opinion.")</f>
        <v>In disability category 2 and having been dismissed for incapacity I declared my claim in January 2019 (I draw attention to the fact that I declared on the same date this claim to other competing insurance having taken out credits to D 'other organizations).
We are April 14, 2019 and following many calls with an always different interlocutor I am still waiting for Cardif's response, (there is still a document that was not specified beforehand in the initial file) while the Competing insurance for other credits have already compensated me so as not to quote them EDA for Sofinco and Cofidis insurance.
If I receive a negative response from the cardif concerning my care for my disability, I will have to explain to me why 2 medical services of 2 competing insurances accepted management with treatment rapiditis of less than 3 months.
In view of the various comments of the other members I expect bad faith of Cardif.
I will not fail to give you information on the progress of my file to allow other members to form their own opinion.</v>
      </c>
    </row>
    <row r="1000" ht="15.75" customHeight="1">
      <c r="A1000" s="2">
        <v>1.0</v>
      </c>
      <c r="B1000" s="2" t="s">
        <v>2738</v>
      </c>
      <c r="C1000" s="2" t="s">
        <v>2739</v>
      </c>
      <c r="D1000" s="2" t="s">
        <v>36</v>
      </c>
      <c r="E1000" s="2" t="s">
        <v>14</v>
      </c>
      <c r="F1000" s="2" t="s">
        <v>15</v>
      </c>
      <c r="G1000" s="2" t="s">
        <v>2740</v>
      </c>
      <c r="H1000" s="2" t="s">
        <v>171</v>
      </c>
      <c r="I1000" s="2" t="str">
        <f>IFERROR(__xludf.DUMMYFUNCTION("GOOGLETRANSLATE(C1000,""fr"",""en"")"),"Direct Assurance Application: car photo does not work
Very long wait during a call for direct insurance after the concern in the event of a concern
Very long = 15 see 20 minutes of waiting even in periods of less crowd
Disappointed..
")</f>
        <v>Direct Assurance Application: car photo does not work
Very long wait during a call for direct insurance after the concern in the event of a concern
Very long = 15 see 20 minutes of waiting even in periods of less crowd
Disappointed..
</v>
      </c>
    </row>
    <row r="1001" ht="15.75" customHeight="1">
      <c r="A1001" s="2">
        <v>3.0</v>
      </c>
      <c r="B1001" s="2" t="s">
        <v>2741</v>
      </c>
      <c r="C1001" s="2" t="s">
        <v>2742</v>
      </c>
      <c r="D1001" s="2" t="s">
        <v>13</v>
      </c>
      <c r="E1001" s="2" t="s">
        <v>14</v>
      </c>
      <c r="F1001" s="2" t="s">
        <v>15</v>
      </c>
      <c r="G1001" s="2" t="s">
        <v>1300</v>
      </c>
      <c r="H1001" s="2" t="s">
        <v>171</v>
      </c>
      <c r="I1001" s="2" t="str">
        <f>IFERROR(__xludf.DUMMYFUNCTION("GOOGLETRANSLATE(C1001,""fr"",""en"")")," I have just subscribed to this Doc contract I would give my final opinion in 3 months but I appreciate the speed of your insurer service Olivier")</f>
        <v> I have just subscribed to this Doc contract I would give my final opinion in 3 months but I appreciate the speed of your insurer service Olivier</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2022-12-16T15:48:28Z</dcterms:created>
</cp:coreProperties>
</file>