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uXSYWXmWLBtoVmWL/WbxkD8N/Cg=="/>
    </ext>
  </extLst>
</workbook>
</file>

<file path=xl/sharedStrings.xml><?xml version="1.0" encoding="utf-8"?>
<sst xmlns="http://schemas.openxmlformats.org/spreadsheetml/2006/main" count="7011" uniqueCount="2721">
  <si>
    <t>note</t>
  </si>
  <si>
    <t>auteur</t>
  </si>
  <si>
    <t>avis</t>
  </si>
  <si>
    <t>assureur</t>
  </si>
  <si>
    <t>produit</t>
  </si>
  <si>
    <t>type</t>
  </si>
  <si>
    <t>date_publication</t>
  </si>
  <si>
    <t>date_exp</t>
  </si>
  <si>
    <t>avis_en</t>
  </si>
  <si>
    <t>avis_cor</t>
  </si>
  <si>
    <t>avis_cor_en</t>
  </si>
  <si>
    <t>acacia-69753</t>
  </si>
  <si>
    <t xml:space="preserve">Bonjour, j'ai été démarché au téléphone, la personne m'a dit que Néoliane était mandaté par la secu et la cpam pour la prise en charge des frais d'hospitalisations. Pas de chance je me fais opérer la semaine prochaine et je suis au courant que les frais sont prise en charge. Je prenais des notes de leur proposition et comme cela ne leur plaisais pas que je demande des détails, ils m'ont raccroché au nez. Vous n'êtes pas prés de me voir chez vous. Signé un assurer à la MACIF </t>
  </si>
  <si>
    <t>Néoliane Santé</t>
  </si>
  <si>
    <t>sante</t>
  </si>
  <si>
    <t>train</t>
  </si>
  <si>
    <t>29/12/2018</t>
  </si>
  <si>
    <t>01/12/2018</t>
  </si>
  <si>
    <t>gelas-m-119083</t>
  </si>
  <si>
    <t xml:space="preserve">Je suis satisfait du service et des tarifs proposés. Egalement très satisfait du bon accueil, de la rapidité et des conseils du conseiller au téléphone. Impeccable. </t>
  </si>
  <si>
    <t>L'olivier Assurance</t>
  </si>
  <si>
    <t>auto</t>
  </si>
  <si>
    <t>24/06/2021</t>
  </si>
  <si>
    <t>01/06/2021</t>
  </si>
  <si>
    <t>mathilde-112565</t>
  </si>
  <si>
    <t>on m a oblige a adherer a un pack en me disant que l assurance hospitalisation etait inclus  le traitement du dossier a mit 7 mois...  donc aucun remboursement rien ensuite j ai u ahderer a une mutuelle d entreprise obligatoire.... et la ils me reclament 260€ pour la futur année avec une adhesion a une assurance que je n'ai jamais demandé biensur la resililation ne suffit pas c'est un enfer .... depuis un an rien ne se resolve et au telephone ne comprenne pas  a quel point je suis demuni et me disent de faire moi meme les demarches c'est scandaleux!!!</t>
  </si>
  <si>
    <t>Harmonie Mutuelle</t>
  </si>
  <si>
    <t>04/05/2021</t>
  </si>
  <si>
    <t>01/05/2021</t>
  </si>
  <si>
    <t>mau56-81436</t>
  </si>
  <si>
    <t>Sociétaire MACIF depuis 1972 bonus à 50 et 4 contrats en hausse pour sponsoriser des hobbies aucune plus-value aux sociétaires. Qui attend un relevé d'information des contrats moult fois répéter depuis le 7 octobre, afin de permettre des investigations A ce jour aucune réponse ou réception de ces documents.</t>
  </si>
  <si>
    <t>MACIF</t>
  </si>
  <si>
    <t>02/12/2019</t>
  </si>
  <si>
    <t>01/12/2019</t>
  </si>
  <si>
    <t>ely-103247</t>
  </si>
  <si>
    <t>Je suis à la MAIF depuis plus 40 ans et en suis très très contente. Je ne dis pas qu'il n'y a pas qq problèmes parfois mais les conseillers ont à cœur de régler les problèmes au mieux !
BRAVO</t>
  </si>
  <si>
    <t>MAIF</t>
  </si>
  <si>
    <t>26/01/2021</t>
  </si>
  <si>
    <t>01/01/2021</t>
  </si>
  <si>
    <t>shana-t-105061</t>
  </si>
  <si>
    <t>Très satisfaite de Direct Assurance. 
Jamais eu de problème que ce soit pour régler un sinistre ou autres. 
Je recommande les yeux fermés. 
Je suis cliente depuis 3 ans.</t>
  </si>
  <si>
    <t>Direct Assurance</t>
  </si>
  <si>
    <t>01/03/2021</t>
  </si>
  <si>
    <t>zilfi-a-136878</t>
  </si>
  <si>
    <t xml:space="preserve">Je trouve ça très bien et très bien renseigné par rapport à d’autre mutuelle sur d’autre site. Merci de me dire comment je fait recevoir la carte de mutuelle </t>
  </si>
  <si>
    <t>APRIL</t>
  </si>
  <si>
    <t>10/10/2021</t>
  </si>
  <si>
    <t>01/10/2021</t>
  </si>
  <si>
    <t>lin-l-132067</t>
  </si>
  <si>
    <t>Beaucoup moins cher que mon assurance actuel (MMA) pour tous risques: presque le moitié prix. Intéressant. Je verrai le service. J'ai découvert ça dans showroomprivé.</t>
  </si>
  <si>
    <t>09/09/2021</t>
  </si>
  <si>
    <t>01/09/2021</t>
  </si>
  <si>
    <t>straus-j-111366</t>
  </si>
  <si>
    <t xml:space="preserve">Les prix me conviennent, et c'est super puisque je peux être assuré indépendamment en tant que jeune conducteur.                                               </t>
  </si>
  <si>
    <t>23/04/2021</t>
  </si>
  <si>
    <t>01/04/2021</t>
  </si>
  <si>
    <t>laurence-101471</t>
  </si>
  <si>
    <t>Très déçue par la relation client : sociétaire depuis 35 ans, j'ai reçu un jour un appel d'un conseiller qui m'a demandé de changer avec mon conjoint pour qu'il soit lui titulaire car fonction publique. Ce que nous avons fait sur les conseils car plus avantageux de quelques euros. Sauf que ce que conseiller ne nous a pas dit, c'est que du coup il a fait repartir le contrat à zéro, nous voilà nouveaux sociétaires.... avec toutes les carences induites. Malgré un courrier de réclamation, nous avons eu confirmation écrite que la carence était maintenue. 
Affligeant et franchement pas à la hauteur des annonces.</t>
  </si>
  <si>
    <t>habitation</t>
  </si>
  <si>
    <t>15/12/2020</t>
  </si>
  <si>
    <t>01/12/2020</t>
  </si>
  <si>
    <t>berrhan-114674</t>
  </si>
  <si>
    <t>Je rajoute mon insatisfaction aux désarrois de cette mutuelle , je dirais plutôt des mercenaires et des incapables. Nouvellement adhérente, devis dentaire envoyé le 25/03/2021, jusqu'à maintenant aucunes réponses malgré les relances. 
Forcement y'a une solution pour résilier et les dénoncer . Ça ne peut pas continuer comme ça  à prendre notre argent gratuitement et sans services .</t>
  </si>
  <si>
    <t>Mercer</t>
  </si>
  <si>
    <t>24/05/2021</t>
  </si>
  <si>
    <t>val95-59574</t>
  </si>
  <si>
    <t>A fuir. Aucun respect client - Radiation après 18 ans de fidélité. Quelle ne fut pas ma surprise aujourd'hui lorsque je me suis rendue à mn agence MAAF pour faire un devis auto pour la voiture que je souhaite acheter. Ils ne veulent pas m'assurer tout risque, me propose une assurance au tiers (et encore cela sera soumis à autorisation). Je suis cliente MAAF depuis 18 ans pour la voitures et quelques années pour mon pavillon. Je n'ai pas eu souvent d'accident au cours de cette période mais dernièrement depuis 2017, j'ai eu deux bris de glace non responsable, un accident non responsable et un accident responsable. Donc, si je résume, un seul accident responsable en 2015. Je vais être obligée de partir m'assurer ailleurs mais je les laisse pur la maison aussi. Sans compter que j'ai déjà été très mal accueillie les années passées. Ils sont désagréables et arrogants. Je restais pour les garanties et le bonus à vie. C'est dégoutant et je suis choquée de leur attitude mais je me console en sachant qu'il y a moins cher ailleurs.</t>
  </si>
  <si>
    <t>MAAF</t>
  </si>
  <si>
    <t>11/12/2017</t>
  </si>
  <si>
    <t>01/12/2017</t>
  </si>
  <si>
    <t>florence-p-130381</t>
  </si>
  <si>
    <t>Excellent rapport qualité-prix et accueil toujours aimable et professionnel des interlocuteurs. J'ai peu ou pas l'impression d'être "forcée" à prendre un service qui ne m'est pas utile. Le site est également facile d'utilisation. seul bémol : l'espace GMF de ma ville a été supprimé.</t>
  </si>
  <si>
    <t>GMF</t>
  </si>
  <si>
    <t>31/08/2021</t>
  </si>
  <si>
    <t>01/08/2021</t>
  </si>
  <si>
    <t>axhard-17374</t>
  </si>
  <si>
    <t>Après des années au sein de cette mutuelle, j'ai été particulièrement révolté par la prise en charge des personnes bénéficiant d'un 100%. en effet, cette situation réduit quasi à néant les remboursements de la mutuelle et, alors que d'autres mutuelles dans cette situation, propose de baisser le montant de la cotisation, Harmonie Mutuelle ne répond pas aux demandes sur ce point.
Ayant effectué une recherche pour ma situation et celles de personnes en situation d'invalidité, j'ai découvert une complémentaire santé; "l'AMBI" dont les prestations et services sont conçues pour les invalides. Ma cotisation mensuelle baisse de 35 euros/mois et les garanties offertes sont incroyables vis à vis de ce que j'ai connu en ayant le niveau de garantie optimum chez Harmonie mutuelle.</t>
  </si>
  <si>
    <t>23/11/2016</t>
  </si>
  <si>
    <t>01/11/2016</t>
  </si>
  <si>
    <t>audrey-m-133955</t>
  </si>
  <si>
    <t>prix satisfaisant, juste dommage que la première mensualité qui correspond à 2 mois de cotisations ne soit mentionnée qu'en fin de parcours.
Sinon rien à dire, tout le reste m'a l'air très correct.</t>
  </si>
  <si>
    <t>22/09/2021</t>
  </si>
  <si>
    <t>bernard-v-116996</t>
  </si>
  <si>
    <t>22euro de frais de dossier pour indiquer une autre adresse (déménagement) c'est cher payé, sinon site bien pratique même pas besoin de contacter conseiller.</t>
  </si>
  <si>
    <t>14/06/2021</t>
  </si>
  <si>
    <t>sousou-67316</t>
  </si>
  <si>
    <t>A FUIRE! MAIS ALORS SANS SE RETOURNER!
Je suis tomber a panne a 11h30. On m a ballader d une agence a une autre car pas de vehicule de petite categorie de disponible et l assistance ne voulait pas règler une gamme au dessus (sans compter le temps d attente taxi 1h30)..... breef je suis reparti avec un vehicule a 17h30 et une franchise à 1200euros après avoir attendu 3 taxis et m etre rendu dans 3 agences!!!! Véhicule gamme economique en plus (c est dans le contrat m a t on dit). J ai un 4×4 et je paie 150euros par mois!!!!!
C est la fois de trop je m en vais!!!!</t>
  </si>
  <si>
    <t>03/10/2018</t>
  </si>
  <si>
    <t>01/10/2018</t>
  </si>
  <si>
    <t>stp-58792</t>
  </si>
  <si>
    <t>Suite à la  souscription d'une mutuelle pour mon mari et mon fils chez Malakoff via le site de Santiane et un devis de mutuelle pour moi, nous nous sommes retrouvés sans l'avoir demandé avec un pack Mutuelle/IJH  chez MALAKOFF/EPSIL. Quelques semaine plus tard, le délai de 14 jours passé, nous avons constaté que ce contrat ne correspondait pas à ce que l'on avait demandé. Mon mari a réussi à faire résilier son contrat de mutuelle MALAKOFF, mon fils pas encore, moi qui n'avais rien demandé c'est fini aussi pour Malakoff. Par contre rien à faire avec EPSIL malgré les nombreux échanges téléphoniques, courriels et courriers. On a signé on garde ! Ce pack nous a été imposé sans que l'on en soit informé et on peut résilier Malakoff mais pas EPSIL. Je dis que nous avons été abusés. De plus les prélevements d'EPSIL, se faisaient sur mon compte alors que je n'étais pas cliente ! Au téléphone, jamais le même interlocuteur, et SANTIANE et EPSIL se renvoient la balle. Attention aux commerciaux, très forts pour vendre. Je ne contracterai plus quoi que ce soit par internet, il faut mieux avoir quelqu'un en face. Jamais reçu de contrats papier, que des mails. Un peu léger. A fuir</t>
  </si>
  <si>
    <t>Santiane</t>
  </si>
  <si>
    <t>16/11/2017</t>
  </si>
  <si>
    <t>01/11/2017</t>
  </si>
  <si>
    <t>adeline--115902</t>
  </si>
  <si>
    <t xml:space="preserve">Je suis assurée Maif depuis 2017. J'ai été cambriolé il y a 6 mois maintenant et le service sinistre fait traîner. Aucun retour à mes mails concernant le suivi de mon dossier..... Je suis stupéfaite et déçu d'avoir fait confiance a cette assurance. De plus, tandis que suite a mon cambriolage j'ai vendu mon véhicule puis racheté un. La Maif a refusé de m'assurer cette nouvelle voiture le jour même de la livraison du véhicule. Pourtant j'avais pris soin d'établir un devis 1 mois et demi avant et avais demandé au conseillé si ça ne poserai pas de problème. On m'a repondu, pas de soucis on est pas comme ça a la maif. Et pourtant. Je suis sincèrement déçu et choquer de leur manque d'intérêt pour leur assurée ! Toujours dans l'attente d'un retour et de mon indemnisation ! </t>
  </si>
  <si>
    <t>03/06/2021</t>
  </si>
  <si>
    <t>reguite-99422</t>
  </si>
  <si>
    <t xml:space="preserve">pire mutuelle de france du low-cost point barre, ne répond jamais aux e-mails, téléphone injoignable ou quand on arrives à les avoir de vous dit que faut patienter etc des incapables. a fuir </t>
  </si>
  <si>
    <t>30/10/2020</t>
  </si>
  <si>
    <t>01/10/2020</t>
  </si>
  <si>
    <t>laura-g-129298</t>
  </si>
  <si>
    <t xml:space="preserve">je ne suis pas satisfaite de l'augmentation de prix en l'espace d'un peu plus d'un mois (environ 100€) alors qu'une réduction de plus de 300€ m'avait été accordée un mois auparavant...
Je trouve cette façon de faire un peu trompeuse puisque j'étais très satisfaite au départ et qu'au final je suis très déçue. </t>
  </si>
  <si>
    <t>Zen'Up</t>
  </si>
  <si>
    <t>credit</t>
  </si>
  <si>
    <t>24/08/2021</t>
  </si>
  <si>
    <t>thisuser-65479</t>
  </si>
  <si>
    <t>Eh bien, pour un premier contact, c'en est un que je ne vais pas oublier…
Suite à un devis établi en ligne pour un véhicule dont j'ai besoin de réassurer (absence d'assurance de 2 ans et 3 mois), le service administratif (ou le service ouverture de compte) me rappele pour m'indiquer que mon bonus actuel de 0.50 (de 2 ans consécutifs), ne pourra être conservé sous prétexte que je dépasse 2 années sans assurance, devant ainsi repasser à 1.00.
D'une part cette clause n'est indiqué nulle part sur le contrat reçu, ni même sur leur site internet, et aucune personne n'était à même de me fournir un quelconque document relatant cette clause.
D'autre part, sur le Code des Assurances (Article A335-9-1), cette période n'est pas de 2 ans mais de 3 ans. Et c'est bien ce qui est en référence sur leur contrat : « Nombre de mois d'assurance effective sur les 36 derniers mois ».
Ensuite un assureur n'a pas le droit de modifier le bonus acquis, il peut néanmoins appliquer une surprime mais qui est elle aussi soumise à réglementations : « Cette surprime ne peut dépasser 100 % de la prime de référence. » (toujours Article A335-9-1).
Personnelement, je vais faire jouer ces réglementations ainsi que le droit relatif au Code des Assurances, juste tellement fatigué par ces entités qui essayent de tourner à leur avantage n'importe quelle situation !
Si cela ne suffit pas de leur indiquer le articles de Loi, une saisine du Bureau Central de Tarification sera entamée.
Sources :
· Code des Assurances : Article A335-9-1 : https://www.legifrance.gouv.fr/affichCodeArticle.do?idArticle=LEGIARTI000006788764</t>
  </si>
  <si>
    <t>Active Assurances</t>
  </si>
  <si>
    <t>13/07/2018</t>
  </si>
  <si>
    <t>01/07/2018</t>
  </si>
  <si>
    <t>deblick-s-137365</t>
  </si>
  <si>
    <t xml:space="preserve">je suis très satisfaite de l'olivier assurance, j'ai tout mes contrats chez vous ainsi que toute ma famille 
beaucoup de professionnalisme et de sympathie de la part du personnel l'olivier </t>
  </si>
  <si>
    <t>13/10/2021</t>
  </si>
  <si>
    <t>sarah-93193</t>
  </si>
  <si>
    <t>Assurance à fuir car en de sinistres ne travaille pas ! De plus espace personnel ils ont supprimé quand j'ai fait nouvelles réclamation et la plus de choix a part publié sur des journaux et des sites je ne comprends pas nous payant pour être couvertes en cas de problème et en cas de problème nous sommes menacé.</t>
  </si>
  <si>
    <t>Matmut</t>
  </si>
  <si>
    <t>06/07/2020</t>
  </si>
  <si>
    <t>01/07/2020</t>
  </si>
  <si>
    <t>justskippy-62824</t>
  </si>
  <si>
    <t>Que dire, parfait rapport qualité/prix
Personnel a l'écoute, agréable et trés pro.
desolé pour les point c est pour les 200 caractères.....................................................................................................................................</t>
  </si>
  <si>
    <t>AMV</t>
  </si>
  <si>
    <t>moto</t>
  </si>
  <si>
    <t>30/03/2018</t>
  </si>
  <si>
    <t>01/03/2018</t>
  </si>
  <si>
    <t>g6k-82216</t>
  </si>
  <si>
    <t>Plus de 2 ans pour etre rembourse des degats des eaux et encore, il n'ont pas voulu prendre en charge les degats sur le crepis extérieur pretextant que c'etait antérieur  a la rupture de canalisation. 
En ce qui concerne les factures qui m'ont été remboursees, j'ai du les envoyer à quatre reprise par recommande. Je cherche a changer de compagnie d'assurance...</t>
  </si>
  <si>
    <t>23/12/2019</t>
  </si>
  <si>
    <t>maria31-65233</t>
  </si>
  <si>
    <t xml:space="preserve">FUYEZ !!! Assurée en tout risque, accident ou je ne suis absoluement pas responsable, voilà 3 semaines mnt que ma voiture est au garage, aucune voiture de prêt bien entendu (alors que c’est prévu dans mon contrat) 
On se demande pourquoi on paie !!! 
Très difficile de pouvoir contacter qui que se soit et quand on arrive enfin à les avoir au telepjone , ils ne font aucun effort pour vous aider ou vous trouver des solutions ! PLUS JAMAIS ! Vite ce sinistre terminé et je change sans attendre d’assurances . </t>
  </si>
  <si>
    <t>04/07/2018</t>
  </si>
  <si>
    <t>arzelie-123383</t>
  </si>
  <si>
    <t>IMPOSSIBLE DE SE CONNECTER AVEC CELUI CI POUR CONNAITRE MES REMBOURSEMENTS
BIEN CONTENTE DE LES QUITTER A LA FIN DE L'ANNEE
JE NE RECOMMANDE PAS CETTE MUTUELLE 
SI J'AVAIS SU JE L'AURAI REFUSER A MON COURTIER</t>
  </si>
  <si>
    <t>14/07/2021</t>
  </si>
  <si>
    <t>01/07/2021</t>
  </si>
  <si>
    <t>a-k-59732</t>
  </si>
  <si>
    <t xml:space="preserve">J'ai demander un devis auto et  il se sont permis de m'envoyer 3 mois apres un echeancier et d'envoyer des relances par contre incapable de me fournir le contrat signer (que je n'est jamais signer). Pour réclamer de l'argent ils sont fort mais pour fournir les documents en preuve il n'y a plus personne. Obliger d'utiliser ma garantie service juridique pour pouvoir être tranquille </t>
  </si>
  <si>
    <t>18/12/2017</t>
  </si>
  <si>
    <t>abderazak-s-121351</t>
  </si>
  <si>
    <t>très satisfait de direct assurance très bon service et excellent accueil les collaborateurs sont très a l écoute et extrêmement réactif. ne changez rien restez comme ça vous êtes au top</t>
  </si>
  <si>
    <t>27/06/2021</t>
  </si>
  <si>
    <t>jof54-60135</t>
  </si>
  <si>
    <t>assureur qui n'en est pas un.</t>
  </si>
  <si>
    <t>03/01/2018</t>
  </si>
  <si>
    <t>01/01/2018</t>
  </si>
  <si>
    <t>virginie-r-133435</t>
  </si>
  <si>
    <t xml:space="preserve">Je suis satisfaite du prix avec les garantit. 
La demande d adhésion est facile et rapide.
Et il est très appréciable que vous fassiez la résiliation de l autre assureur </t>
  </si>
  <si>
    <t>18/09/2021</t>
  </si>
  <si>
    <t>mickael-aurelien-g-112688</t>
  </si>
  <si>
    <t xml:space="preserve">Je suis satisfait de votre service merci pour tous rapide eficasse le top merci de votre part cordialement merci beaucoup  jappressi ce service merci 
</t>
  </si>
  <si>
    <t>APRIL Moto</t>
  </si>
  <si>
    <t>05/05/2021</t>
  </si>
  <si>
    <t>gilles-f-128677</t>
  </si>
  <si>
    <t>Je n'ai pas de problème a priori.
Mais je n'ai pas fait de comparaison le prix avec d'autres assurances, je ne peux donc pas affirmer que vos prix sont meilleurs que ceux de la concurrence. Je suis GMF et satisfait. J'ai confiance, point barre.</t>
  </si>
  <si>
    <t>19/08/2021</t>
  </si>
  <si>
    <t>maud-112479</t>
  </si>
  <si>
    <t xml:space="preserve">Et si j'avais pu mettre 0 je l'aurais fais !!! 
Bon pour les tarifs Ok mais j'espère attirer l'attention de quelqu'un de compétent !!!
Dispositions particulières déjà envoyées par mail le 09 mars !
Attestation de conduite + permis UE recto verso déjà envoyé par mail le 09 mars !
Relevé d'information envoyé le 16 mars !
Mais à mon grand regret, je me suis trompée d'adresse en faisant simplement "Répondre" à l'adresse du courtier qui m'avait envoyé les documents à signer.
Du coup, visiblement, personne n'a reçu mes documents et à 10 jours de la fin du délai, je reçois une lettre recommandée me disant que je vais être résiliée sous 10 jours (soit le 08 mai). Aurait-il été trop compliqué pour le courtier qui à établi mon contrat de me faire un retour de mail pour me dire que ce n'était pas la bonne adresse ou envoyer mes documents ?
Pas de numéro de téléphone sur la lettre recommandée, pas d'internet chez moi (Zone blanche) et en arrêt maladie donc je ne peu prendre le dossier en main qu'aujourd'hui.
Depuis ce matin 11h, c'est la 3 ou 4ème fois que je téléphone et que je tombe sur les fameux opérateurs avec leur discours bien rodé et qui, dès qu'on sort des sentiers battus sont incapables de répondre à nos questions !!!
14h40... Mon problème n'est toujours pas réglé !
Et en plus, nous avons déjà un contrat chez eux mais au nom de mon mari avec un espace client par lequel je pourrais gérer tout ça mais il faut, tenez vous bien, "que je résilie le contrat qu'on veut me résilier" pour le mettre au nom de mon mari, sans quoi je suis obligée de recréer un espace client avec une adresse mail différente, sauf que... et bien sur le contrat de Monsieur et sur le mien c'est la même adresse mail donc l'informatique refuse toute manipulation car l'adresse mail est uniquement attribuée à Monsieur alors qu'au téléphone, personne ne m'a dit quoi que ce soit! Vous connaissez l'histoire du chien qui se mord la queue??? Il s'appelle APRIL
Donc  je viens de renvoyer un mail (à la bonne adresse) avec de nouveau les fameux documents et j'appelle tout de suite pour savoir si ils les ont reçu. Pas possible de répondre à ma question. Donc en bref, je suis à 5 jours de la résiliation de mon contrat et personne n'est capable de me dire si mon dossier est complet !
Inutile de vous dire que je suis très mécontente de votre gestion. 
Ce n'est pas très plaisant de recevoir une LR juste quelques jours avant la résiliation.
Imaginons que je sois dans l'incapacité de répondre sous 10 jours... En vacances ou hospitalisée par exemple?
Moi j'étais juste persuadée que vous aviez tous les documents... 
Sale boulot et aucunes considérations pour vos clients.
</t>
  </si>
  <si>
    <t>03/05/2021</t>
  </si>
  <si>
    <t>celmar-139400</t>
  </si>
  <si>
    <t xml:space="preserve">Bonjour, 
Mon mari est décédé en août. Il avait souscrit une assurance corail 3000.
Le crédit mutuel me dit que ce contrat ne peut être mis à mon nom et avec les mêmes conditions.
Qu’en est-il et quel texte régit ce problème.
Merci d.avance pour vos réponses.
</t>
  </si>
  <si>
    <t>Crédit Mutuel</t>
  </si>
  <si>
    <t>10/11/2021</t>
  </si>
  <si>
    <t>sarah-78537</t>
  </si>
  <si>
    <t xml:space="preserve">A fuir en urgence 
Ils ont baissé mon sur bonus pour un accident non responsable : bien étiqueté non responsable mais le sur bonus c'est comme ça madame... en fait vous restez bon conducteur si vous laissez la voiture dans le garage là vous n'avez pas eu de chance certe... </t>
  </si>
  <si>
    <t>Pacifica</t>
  </si>
  <si>
    <t>19/08/2019</t>
  </si>
  <si>
    <t>01/08/2019</t>
  </si>
  <si>
    <t>mireille-m-115322</t>
  </si>
  <si>
    <t xml:space="preserve">je suis satisfaite du produit et surtout de la rapidité de l'adhésion le tarif est correct en espérant qu'il n'augmente pas trop par la suite les conditions paraissent optimales
</t>
  </si>
  <si>
    <t>30/05/2021</t>
  </si>
  <si>
    <t>yanef-135979</t>
  </si>
  <si>
    <t>Service client disponible et efficace, téléconseillers courtois et professionnels.
Services santé adaptés, prix corrects, remboursements et prises en charges satisfaisants dès lors que l'on passe par les partenaires santé claire (dents et optique).</t>
  </si>
  <si>
    <t>MGP</t>
  </si>
  <si>
    <t>05/10/2021</t>
  </si>
  <si>
    <t>aurely77-67897</t>
  </si>
  <si>
    <t>Très bonne mutuelle 48 heures les retransmissions...
j'y suis depuis 2 ans rien à signaler service gestion à l'écoute à chaque demande. merci à vous.</t>
  </si>
  <si>
    <t>19/10/2018</t>
  </si>
  <si>
    <t>chaker-h-111318</t>
  </si>
  <si>
    <t>JE suis satisfait du service , les prix sont convenable c est pas chére je conseil ,formalité facile .
c est la premiére fois chez april voila
cordialement</t>
  </si>
  <si>
    <t>22/04/2021</t>
  </si>
  <si>
    <t>tanguy-v-132912</t>
  </si>
  <si>
    <t xml:space="preserve">dommage qu'il ne préviennent pas avant que l'on dois s'engager pour 3 mois
si non simple rapide et efficace
avoir si j'ai un problème comment la situation sera gérée 
</t>
  </si>
  <si>
    <t>15/09/2021</t>
  </si>
  <si>
    <t>gun-98280</t>
  </si>
  <si>
    <t>Il est évident que je vais faire un courrier à la direction, lors d'un décès d'un proche, il n'y a aucun accompagnement!! Ce qui est presque normal puisque les enregistrements sont réalisés 3 semaines après l'Etre cher!! Si il n'y avait pas eu Alexandre, Lucie et Leïla je ne serai pas rester à la MGP</t>
  </si>
  <si>
    <t>02/10/2020</t>
  </si>
  <si>
    <t>gregory-a-113630</t>
  </si>
  <si>
    <t>Depuis 2 ans mon bonus augmente mais les prix reste inchangé. 
Les prix augmente sans cesse direct assurance n'est plus intéressant, je cherche une nouvelle assurance</t>
  </si>
  <si>
    <t>13/05/2021</t>
  </si>
  <si>
    <t>sophie-f-132651</t>
  </si>
  <si>
    <t>JE SUIS SIMPLEMENT SATISFAITE, TOUJOURS AGREABLE, BONNE ECOUTE APRECIABLE. JE RECOMMANDE A 100%. LE PRIX RESTE TRES ABORDABLE ET LES CONSEILS DES AGENTS SONT TRES BIEN</t>
  </si>
  <si>
    <t>13/09/2021</t>
  </si>
  <si>
    <t>malvine-53549</t>
  </si>
  <si>
    <t xml:space="preserve">Mauvais dans tous les sens, tarifs, prestations et contacts. les conseillers changent en continu. le traitement des salariés est semble t-il aussi mauvais que celui de leurs adhérents </t>
  </si>
  <si>
    <t>Intériale</t>
  </si>
  <si>
    <t>prevoyance</t>
  </si>
  <si>
    <t>24/03/2017</t>
  </si>
  <si>
    <t>01/03/2017</t>
  </si>
  <si>
    <t>petit-g-112544</t>
  </si>
  <si>
    <t xml:space="preserve">Je suis satisfait de s cette assurance de voiture et je ferais une bonne pupliciter de votre assurance autour de moi
Condialement madame petit germaine
</t>
  </si>
  <si>
    <t>sylvie65-63131</t>
  </si>
  <si>
    <t xml:space="preserve">téléconseillère très bonne et appliquée pour donner les renseignements </t>
  </si>
  <si>
    <t>10/04/2018</t>
  </si>
  <si>
    <t>01/04/2018</t>
  </si>
  <si>
    <t>lefebvresyl01-80263</t>
  </si>
  <si>
    <t xml:space="preserve">Déception personne ne vous prévient des augmentations de prix
J'ai fait opérer ma chienne qui a 11ans et demi
Je viens d'apprendre que l'opération était remboursée à 40% 
Personne ne m'a prévenue qu'après 10 ans les remboursements passés de 80a 40 pour cent 
Attention méfiez vous 
J'avais un contrat à 23Euros environ par mois et je viens de découvrir sans m'en avertir que je payer 36Euros depuis qq temps 
Surveillez vos prélèvements surtout </t>
  </si>
  <si>
    <t>Assur O'Poil</t>
  </si>
  <si>
    <t>animaux</t>
  </si>
  <si>
    <t>21/10/2019</t>
  </si>
  <si>
    <t>01/10/2019</t>
  </si>
  <si>
    <t>sentosa007-62078</t>
  </si>
  <si>
    <t>serivce client lamentable notamment le service telephonique</t>
  </si>
  <si>
    <t>Allianz</t>
  </si>
  <si>
    <t>07/03/2018</t>
  </si>
  <si>
    <t>jakez56-123569</t>
  </si>
  <si>
    <t>Je désire percevoir mes avoirs d'assurance retraite et ai rempli toutes les conditions de leurs obtention. L'ensemble des pièces est expédié depuis début juin mais.. en depuis le début juillet il faut recommencer une première fois il leur manque l'avis d'imposition 2019 puis semaine suivante c'est l'avis d'imposition 2020 je crois qu'il font tout pour retarder le paiement c'est une pratique très courante chez eux. Je trouve inadmissible ce type de relations commerciales et j'espère que la caisse d'épargne va se détacher d'eux.</t>
  </si>
  <si>
    <t>CNP Assurances</t>
  </si>
  <si>
    <t>16/07/2021</t>
  </si>
  <si>
    <t>evrard-w-136746</t>
  </si>
  <si>
    <t xml:space="preserve">Tous les conseillers que j’ai eu au téléphone pour les 2 contrats auto que nous avons avec mon conjoint ont toujours été super gentils et professionnels ! Merci à eux </t>
  </si>
  <si>
    <t>09/10/2021</t>
  </si>
  <si>
    <t>gaelle-b-129077</t>
  </si>
  <si>
    <t>Je suis satisfaite depuis de nombreuses années d'AMV. Leur assistance est rapide et efficace en cas de problème. Les tarifs sont compétitifs. Je n'ai rien à leur reprocher.</t>
  </si>
  <si>
    <t>23/08/2021</t>
  </si>
  <si>
    <t>ortie320-76749</t>
  </si>
  <si>
    <t>le comparateur et moi  nous avons étudier mon dossier et nous avons nous  nos sommes  mis d accord sur des garanties qui me conviennent</t>
  </si>
  <si>
    <t>13/06/2019</t>
  </si>
  <si>
    <t>01/06/2019</t>
  </si>
  <si>
    <t>winona-91169</t>
  </si>
  <si>
    <t>Pour une vignette sur le pare-brise, c'est cher payé! 
Un service client qui a du mal à glisser une pièce jointe dans un mail.
Assurée depuis un an là bas, j'attends Toujours l'échéancier qui expliquerait pourquoi mes mensualités ont augmenté de 15€ en un claquement de doigt! 
Pas sérieux, du tout. Je suis offusquée de leur manque de respect.
Active assurance est une société bringuebalante qui joue sur le "on assure tout le monde"
Un devis en ligne qui n'est pas le même une fois en contact téléphonique, ils profitent que vous soyez un peu coincé pour vous imposer des clauses abusives que vous n'accepteriez pas si vous pouviez être assurés ailleurs.
Je m'en vais, je fuis! Maintenant on peut me reprendre chez une autre assurance! 
Fuyez !
Fuyez!</t>
  </si>
  <si>
    <t>17/06/2020</t>
  </si>
  <si>
    <t>01/06/2020</t>
  </si>
  <si>
    <t>xelle-63291</t>
  </si>
  <si>
    <t>Cliente depuis plusieurs années sans aucun souci, je ne parviens pas à résilier mon contrat d'assurance auto à cause de l'incompétence évidente des conseillers de l'agence du Cannet, pour ne pas la citer.
Courrier reçu par l'agence le 22 janvier et résiliation toujours pas effectuée mais je n'arrive pas à savoir pourquoi vu qu'ils ne sont pas fichus de m'appeler pour me le dire. Après 6 appels sans retour, je désespère de tomber sur une seule personne compétente qui saura faire son travail :( 
La GMF oui, mais franchement, fuyez cette agence !</t>
  </si>
  <si>
    <t>16/04/2018</t>
  </si>
  <si>
    <t>arthur-c-129782</t>
  </si>
  <si>
    <t>je suis satisfait du service, service client facile à joindre.  les prix sont corrects et les avis des clients semblent positifs.  Je pense que je recommanderais.</t>
  </si>
  <si>
    <t>27/08/2021</t>
  </si>
  <si>
    <t>soultan-100246</t>
  </si>
  <si>
    <t>Meilleur prix que je ne jamais trouvé et ils sont vraiment rapide.je conseil a toutes les niveaux comme les anciens conducteurs peuvent changer leurs assurés vers cette assurance</t>
  </si>
  <si>
    <t>18/11/2020</t>
  </si>
  <si>
    <t>01/11/2020</t>
  </si>
  <si>
    <t>abdennadher-g-115943</t>
  </si>
  <si>
    <t>je suis satisfais de la rapidité de bousculement d'un contrat au nom de mon épouse vers un contrat à mon nom pour la même voiture. Il reste qu'à résilier le contrat de mon épouse Amani MOUSSA</t>
  </si>
  <si>
    <t>04/06/2021</t>
  </si>
  <si>
    <t>lesueur-l-137939</t>
  </si>
  <si>
    <t>je suis satisfaite du service, les informations sont claires, c'est rapide et même pour revoir les documents par mails. Merci pour votre rapidité et votre réactivité</t>
  </si>
  <si>
    <t>21/10/2021</t>
  </si>
  <si>
    <t>kevinp-71250</t>
  </si>
  <si>
    <t>A éviter tous simplement. Vous n'avez pas souvent de retour par mail de leur part. Vous pouvez les appeler mais ils ne répondent pas à vos questions, ils vous demandent de refaire une demande par mail pour toute infirmations ou réclamations. ils sont très longs à vous rembourser lorsqu'un trop perçu a été effectué et n'hésite pas à récupérer de l'argent pour rien. Aucune diminution annuelle du tarif</t>
  </si>
  <si>
    <t>05/05/2020</t>
  </si>
  <si>
    <t>01/05/2020</t>
  </si>
  <si>
    <t>orally-107845</t>
  </si>
  <si>
    <t>Le service client est très agréable. Les réponses sont relativement rapides et efficaces.
Le tarif est un peu élevé mais la couverture santé est très bien.</t>
  </si>
  <si>
    <t>24/03/2021</t>
  </si>
  <si>
    <t>govindapillai-j-137660</t>
  </si>
  <si>
    <t>SERVICE RAPIDE EFFICACE ET CLAIR. LA CONSEILLERE A ETE TRES CLAIR AU TELEPHONE, ET LE véhicule a été assuré dans l'heure. Que demander de plus. Continuez comme ça.</t>
  </si>
  <si>
    <t>18/10/2021</t>
  </si>
  <si>
    <t>verdois-a-108433</t>
  </si>
  <si>
    <t xml:space="preserve">Le devis est facile sur le site. La souscription est tout aussi facile. L'envoie des pièces justificatives est très facile aussi tout comme la signature du contrat en ligne. 
Le prix est le moins cher du marché. Je paye maintenant deux fois moins cher ! </t>
  </si>
  <si>
    <t>29/03/2021</t>
  </si>
  <si>
    <t>vincent-55285</t>
  </si>
  <si>
    <t>Impossible d'obtenir un échéancier suite à une renégociation de prêt, même avec une demande envoyée en recommandé. Cela dure depuis des mois. Quand on appel les interlocuteurs sont charmants mais totalement inefficaces Je suis très mécontent!.</t>
  </si>
  <si>
    <t>Cardif</t>
  </si>
  <si>
    <t>11/06/2017</t>
  </si>
  <si>
    <t>01/06/2017</t>
  </si>
  <si>
    <t>justine-87537</t>
  </si>
  <si>
    <t xml:space="preserve">C'est inadmissible, je me suis fais volé mon vélo à mon domicile, dans un local commun, malgré tout mon vélo était cadenassé, Allianz ne veut pas me rembourser, alors que il m'ont dit à deux reprises que j'allais être remboursé, finalement non ça ne sera pas possible, il fait accorder ses violons ! Incroyable, je ne recommande pas du tout, je vais résilier mon contrat dès que possible ! </t>
  </si>
  <si>
    <t>24/02/2020</t>
  </si>
  <si>
    <t>01/02/2020</t>
  </si>
  <si>
    <t>christelle-m-124399</t>
  </si>
  <si>
    <t xml:space="preserve">satisfait assurance compétitif aucun probleme avec cette assurance. assurance pour un client, prix correct ayant plusieurs motos un transfer sera peut etre fait par la suite  </t>
  </si>
  <si>
    <t>23/07/2021</t>
  </si>
  <si>
    <t>juliiiie-92916</t>
  </si>
  <si>
    <t xml:space="preserve">Satisfaite de ce que l’ont me propose une fois acheter mon véhicule je me tournerai vers vous afin de souscrire
Merci de votre qualité prix 
Bonne soirée à l’équipe direct assurance </t>
  </si>
  <si>
    <t>ripol-108400</t>
  </si>
  <si>
    <t>2 semaines d’expérience pour me rendre compte de l'approche low cost et de leurs pratiques commerciales douteuses. Si vous souhaitez un service type plateforme telephonique low cost dans le cadre d'une relation client, peut être est ce pour vous. Certainement pas pour moi. Je retourne auprès de mon assurance d'origine.</t>
  </si>
  <si>
    <t>foultier-a-136805</t>
  </si>
  <si>
    <t xml:space="preserve">Très bien, satisfait des prix et bon service dès qu’il y a un problème ! Personne très gentille et aimable au téléphone, et personnel très réactif ! Prix imbattable </t>
  </si>
  <si>
    <t>fafa-71052</t>
  </si>
  <si>
    <t>A EVITER !! COMPAGNIE A FUIR. N'EN VEULENT QU'A VOTRE ARGENT.</t>
  </si>
  <si>
    <t>07/02/2019</t>
  </si>
  <si>
    <t>01/02/2019</t>
  </si>
  <si>
    <t>morad-b-116322</t>
  </si>
  <si>
    <t xml:space="preserve">Je suis satisfai du prix et du service proposé par direct assurance je regrette pas mon choix pour cette compagnie je la recommande vivement et espère avoir </t>
  </si>
  <si>
    <t>08/06/2021</t>
  </si>
  <si>
    <t>nathalie-d-108557</t>
  </si>
  <si>
    <t xml:space="preserve">parfait
service au top, site internet facile a suivre
aucun soucis , prix acceptable 
conseiller au téléphone agréable toujours a l'ecoute 
je recommande </t>
  </si>
  <si>
    <t>30/03/2021</t>
  </si>
  <si>
    <t>assure81-58087</t>
  </si>
  <si>
    <t xml:space="preserve">Une lunette en plastique arrière sur un cabriolet , avec une franchise tellement cher que j'ai préférer payer la totalité moi même. Et ensuite quelques années plus tard un pare brise. Avec une franchise très élevé , le gérant de pare brise étais choqué . Quand on a un problème le service clientèle   Et il est assez difficile de comprendre leur « dialecte ».   Heureusement qu'ils sont censés être français…  Plus de deux mois que ma voiture a été incendiées,  le service clientèle ne peut rien me dire, seul le gestionnaire, gestionnaire qui ne répond quasiment pas (deux fois en deux mois). Elle m'a demandé d'attendre mais je ne sais pas pourquoi ,  deux mois c'est long sans nouvelles et sans voiture… Il cherche juste à gagner du temps  et l'expert refuse de me donner son compte rendu.  Il se permet de mal me parler, parce que je ne peux pas leur dire quel kilométrage exact j'avais sur la voiture.  Comme si tous les matins je m'amusé à faire un check-up . </t>
  </si>
  <si>
    <t>15/10/2017</t>
  </si>
  <si>
    <t>01/10/2017</t>
  </si>
  <si>
    <t>juju77-59165</t>
  </si>
  <si>
    <t>Encore une fois ce sont les bon conducteur qui paye pour les autres. Je ne vois pas mon tarif en baisse depuis 16 ans déjà... c'est dommage car c'est quand mêmes une bonne assurance mais des clients comme moi cela ne les intéresse pas car je suis depuis  peut au chômage et je trouve que cela reviens chère ( on trouve pour les garanties 120 euro de moins. )</t>
  </si>
  <si>
    <t>27/11/2017</t>
  </si>
  <si>
    <t>laure-58494</t>
  </si>
  <si>
    <t>ATTENTION SWISSLIF NE SONT PAS DU TOUS …
ATTENTION SWISSLIF NE SONT PAS DU TOUS SERIEUX .
Bonjour mr ou md je suis dans l'impasse ce le père qui vous écrit mon fils étant dans l'incapacite de s'occupe de ces document est de lui meme je l'hébèrge chez moi .
Mon fils ce fait renverse par une voiture le 12/02/2016 il circulait en moto , hospitalise 1 mois a la timone hôpital marseille , puis 1 mois centre psyiatrique valvert a marseille ,niveaux physique ça va beaucoup mieux
mais psykologiquement il a recu un grave choc postraumatique il est depressif est devenue trés violent , il est suivie par un psykiatre .est il a très malade.
Mon fils avait une société dans le btp est a souscrit avec L'assureur Swisslif prévoyance une assurance perte de revenue est explotation 360 € par mois après 6 mois arrêt de travail regle en totalite par swisslif 6000 € mois .
Une expertise auprès de leur expert a eu lieux est le psykiatre a reconue notre patholigie est d'accord pour continué les arret de travail .
Swisslif arrète de payé en disant que ce pas avéré que l'accident de moto est la cause de pathologie est qu'il faut prouvé le contraire avec certificat medical .
Mon fils n'a jamais eu de problème de sante il n'a que 24 ans ,quoi faire pour me defendre merci de me répondre .
Conaissez vous une association ou un avocat qui peux me defendre
Mes salutations les plus distingués help je vous demande secour .
ATTENTION SWISSLIF NE SONT PAS DU TOUS SERIEUX .</t>
  </si>
  <si>
    <t>SwissLife</t>
  </si>
  <si>
    <t>30/10/2017</t>
  </si>
  <si>
    <t>voluntario-s-116881</t>
  </si>
  <si>
    <t>Je suis entièrement satisfait par votre excellence à tous niveaux ! Le personnel est parfaitement organisé... Merci beaucoup... cordialement stéphane voluntario.</t>
  </si>
  <si>
    <t>13/06/2021</t>
  </si>
  <si>
    <t>maxime-m-123501</t>
  </si>
  <si>
    <t xml:space="preserve">Parfait !! C'est la deuxième fois que je m'assure chez April, et je ne regrette absolument pas. Les tarifs sont plus que compétitifs.
                 </t>
  </si>
  <si>
    <t>15/07/2021</t>
  </si>
  <si>
    <t>romain91-77876</t>
  </si>
  <si>
    <t>Assuré depuis 3 ans chez eux, j'ai eu 2 accrochages non responsable et dont une réparation était à valeur de la voiture.
Ils ont fais le nécéssaire avec l'expert car je tenais à mon véhicule.
Le service client réponds rapidement et clairement, il n'y a aucune voix qui viendrait hors de France pour le moment. C'est appréciable.
En terme de tarif, j'ai eu malgré mon bonus une augmentation que j'ai pu faire réajuster après simple appel car d'après eux c'est calculé automatiquement suite à divers critères.
Je suis satisfait de cette assureur avec mes deux véhicules inscrit auprès d'eux et je vous la recommande d'expérience personnelle.
J'espère avoir une bonne surprise en recevant mon renouvellement en Aout.</t>
  </si>
  <si>
    <t>24/07/2019</t>
  </si>
  <si>
    <t>01/07/2019</t>
  </si>
  <si>
    <t>laurence-123053</t>
  </si>
  <si>
    <t>Cette mutuelle m'a fait contracter un contrat de prévoyance décès en supplément de mon contrat de base sans me l'expliquer.
J'ai entamé des procédures de résiliation car je suis passé à une nouvelle mutuelle d'entreprise obligatoire. Le contrat de base a bien été résilié mais pas le contrat de prévoyance (qu'ils ne m'ont jamais envoyé par ailleurs). 
J'ai du contacter leur service prévoyance plusieurs fois. J'ai réussi à les avoir au téléphone mi-juin, ils m'ont indiqué que j'avais jusqu'au 1er juillet pour résilier mon contrat de prévoyance en leur envoyant une lettre par accusé de réception. J'ai fait toutes les démarches qu'ils m'ont indiquées au téléphone. Trois semaines plus tard, je reçois un refus de résiliation en m'indiquant que la date limite de résiliation était le 1er juin et pas le 1er juillet. Maintenant, ils me disent que je ne pourrais résilier qu'à partir de Avril 2022, et bien sûr l'argent est toujours débité.
Je déplore le manque de conseils, sérieux et professionnalisme de leur part. Mutuelle à éviter.</t>
  </si>
  <si>
    <t>10/07/2021</t>
  </si>
  <si>
    <t>nello-110964</t>
  </si>
  <si>
    <t>mon avis concerne MGEN SOLUTIONS la mutuelle obligatoire entreprise des salariés de MGEN. Lamentable, depuis le 01/01/2021 Mgen SOLUTIONS est devenue Ma mutuelle. Donc depuis cette date une cotisation est toujours prélevée sur mon salaire pour payer la réorganisation, la refonte de cette mutuelle incompétente. Et oui depuis le 01/01/2021, j'attends qu'ils daignent enregistrer mon RIB pour le remboursement des prestations. Par conséquent, pas de RIB pas de mutuelle, plus accès aux soins. Je suis désespérée, je ne compte plus les appels et les récla sur l'espace adhérent : réponse "je transfère votre dossier" ; merci Mamutuelle.fr que je ne peux pas quitter</t>
  </si>
  <si>
    <t>Mgen</t>
  </si>
  <si>
    <t>19/04/2021</t>
  </si>
  <si>
    <t>lolotte52-95943</t>
  </si>
  <si>
    <t>J'ai été victime d'un inondation de mon garage en août 2019, la prise en charge a été rapide (intervention d'une société de nettoyage alors que j'étais en vacances, donc tout était propre à mon retour), le niveau de remboursement très satisfaisant puisque j'ai été remboursé à 70% de la valeur des objets abîmés immédiatement et les 30% restant dès que j'ai envoyé les factures justifiant que j'avais remplacé les objets.Je recommande.</t>
  </si>
  <si>
    <t>05/08/2020</t>
  </si>
  <si>
    <t>01/08/2020</t>
  </si>
  <si>
    <t>mecontent-olivier-assurance-99033</t>
  </si>
  <si>
    <t>Bonjour.
Très mécontent de cette assurance.
J'étais garé sur une place de parking et non dans la voiture.
Une voiture rentre dans ma voiture et la conductrice et son mari sortent de façon très agressive. Puis la femme tape son mari. La gendarmerie intervient et la conductrice positive à l'alcool donc emmenée directement à la gendarmerie et ne peut donc pas remplir sa partie du constat.J ai juste mis la plaque d'immatriculation comme indiqué par les gendarmes.
Voilà que l olivier assurance me dit qu' ils ne peuvent pas se prononcer sur la responsabilité, pourtant vigile du magasin présent et ok pour être témoin.
L assureur me dit que le fait que la personne soit positive à l alcool ne change en rien les responsabilités pour eux.
De plus je suis assuré tout risque et reçois un mail me disant le contraire.
Je leur téléphone et leur version change je suis bien tout risque.
Je prends cela évidemment pour une tentative pour que je paye tout.
Extrait mail du 16/10/2020:
En absence de ces éléments, nous ne pouvons mettre en place d'expertise en vue de vos réparations, car vous ne disposez pas de la garantie "Dommages tous accidents"
Extrait mail du 21/10/2020 , après réclamation:
Nous interviendrons donc au titre de votre garantie "dommages tous accidents" sous réserve des conclusions de l'expertise de votre véhicule pour prendre en charge le montant des réparations de votre véhicule
Cela en dit long sur le professionnalisme ou autre de l olivier assurance.
Autre extrait du mail du 21 :
Aussi, nous vous confirmons que l'état alcoolique du tiers ne remet
pas en cause la gestion de votre dossier...
Euh et sa responsabilité ....
Bref je déconseille vivement l olivier assurance pour assurer son véhicule.
Ps: de plus la personne au téléphone pas aimable à mon dernier coup de téléphone.
Ensuite ils me disent avoir contacté le vigile par mail mais celui ci me dément avoir été contacté, je rappelle donc l assurance qui me dit s être trompé dans l'adresse du mail et en renvoyer un autre. Encore une fois le professionnalisme ou autre laisse à désirer.
M.B . Sinistre 2020766397</t>
  </si>
  <si>
    <t>21/10/2020</t>
  </si>
  <si>
    <t>jeandu31-77580</t>
  </si>
  <si>
    <t>Service sinistres aux abonnés absents</t>
  </si>
  <si>
    <t>12/07/2019</t>
  </si>
  <si>
    <t>loulouu2-69598</t>
  </si>
  <si>
    <t>Fuyez! Ils ont oublié de rattacher ma fille, oublié d'envoyer ma carte. Ils me demandent 1 chèque tous les 3 mois alors que j'ai demandé un prélèvement mensuel. J'ai envoyé 2 autorisations de prélèvement ils m'en demandent 1 troisième.  Je n'ai jamais eu autant de problèmes avec 1 mutuelle. Je ne savais même pas qu'il était possible d'être si ennuyé par 1 mutuelle! La pire de toutes.</t>
  </si>
  <si>
    <t>20/12/2018</t>
  </si>
  <si>
    <t>veb-114249</t>
  </si>
  <si>
    <t xml:space="preserve">Assurance à éviter de toute urgence très mauvaise prise en charge et conseil du client, en tant que client vous n'avez pas les mêmes infos en agence et via conseiller téléphonique, une honte comment avoir confiance ça manque de professionnalisme et transpatence, passer votre chemin et allez voir la concurrence, moi j'avais 3 véhicule la bas, je ne veux plus jamais entendre parler de cette boutique </t>
  </si>
  <si>
    <t>19/05/2021</t>
  </si>
  <si>
    <t>destouches-j-123135</t>
  </si>
  <si>
    <t>Je suis satisfait des services.
Les contrats sont clairs et lisibles,
Les prix sont très attractifs et raisonnable,
Le service client est tres aimable et à l'ecoute.</t>
  </si>
  <si>
    <t>12/07/2021</t>
  </si>
  <si>
    <t>emiline-68186</t>
  </si>
  <si>
    <t>assurance qui n'assure pas du tout</t>
  </si>
  <si>
    <t>29/10/2018</t>
  </si>
  <si>
    <t>dubot-c-133698</t>
  </si>
  <si>
    <t>tres satisfaite pour une fois qu'une assurance fait son travail
le fait de faire assurance en sociéte tres compliqué
merci avous je passe en ligne pour simplifier
il ,y a quelques années j'ai assureé plusieurs scooter pour mes enfants tous ok la faire une assurance scooter et mettre en sociétee alors que financiérement plus allaise plus dur a souscrire</t>
  </si>
  <si>
    <t>20/09/2021</t>
  </si>
  <si>
    <t>merlet-57381</t>
  </si>
  <si>
    <t xml:space="preserve">INCOMPÉTENT TOUT SIMPLEMENT. Metlife continue de me prélever des mensualités alors que notre credit est remboursé depuis 10 mois. Ceci malgré nos incessante relance auprès de leurs services. </t>
  </si>
  <si>
    <t>MetLife</t>
  </si>
  <si>
    <t>15/09/2017</t>
  </si>
  <si>
    <t>01/09/2017</t>
  </si>
  <si>
    <t>jeanpierre42-78420</t>
  </si>
  <si>
    <t>Quand il n'y a pas d'accident, tout va bien.
Malheureusement,si vous avez eu 2 accidents bien qu'ayant un bonus à 0,9 après les 2 accidents, la MAAF vous invite à les quitter !!!
Précision : ces 2 accidents étaient en ville à basse vitesse et sans dommage corporel.
D'après les réparations : uniquement de la tôle de carrosserie.</t>
  </si>
  <si>
    <t>14/08/2019</t>
  </si>
  <si>
    <t>assurance-70989</t>
  </si>
  <si>
    <t>Pas de remboursement en cas de sinistre électrique avant que vous rachetez les articles neuf, il faut le faire avec quel argent ??</t>
  </si>
  <si>
    <t>05/02/2019</t>
  </si>
  <si>
    <t>rene-c-121940</t>
  </si>
  <si>
    <t>Pour le moment tout se passe trés bien (prix service accueil)Les prix sont corrects,je n'ai à ce pas eu de sinistre.On voit une assurance quant'on a besoin d'elle.</t>
  </si>
  <si>
    <t>marion-86008</t>
  </si>
  <si>
    <t>Panne, envois d'une dépanneuse, 5 jours après véhicule toujours pas livré en garage...puis finalement livré dans un garage "agréé "7 jours pour avoir un diagnostic, il n'accepte pas les chèques, aucune facilité de paiement et en plein centre ville...véhicule de prêt tout neuf ne permettant aucune activité dans le btp car 1000 euros de caution à avancer... Au final plus de 15 jour après véhicule pas réparable chez ce garagiste pas sympathique et pas commercial, 15 jours de salaire perdu, et aucune solution pour rapatrier sereinement mon véhicule à un garagiste sérieux.  NUL NUL NUL</t>
  </si>
  <si>
    <t>26/10/2021</t>
  </si>
  <si>
    <t>bms1502-65509</t>
  </si>
  <si>
    <t>service client impeccable et reactif</t>
  </si>
  <si>
    <t>16/07/2018</t>
  </si>
  <si>
    <t>romain-b-131187</t>
  </si>
  <si>
    <t>Simple rapide le top, sa change des assurance traditionnelle qui font payer un max pour ne pas avoir grand chose de mieux, à voir comment cela ce passe en cas de sinistre comment l’affaire se passera</t>
  </si>
  <si>
    <t>04/09/2021</t>
  </si>
  <si>
    <t>joel-s-132875</t>
  </si>
  <si>
    <t>Pour le moment je suis satisfait
On confirmera ou infirmera au fil du temps
Attendons de voir l'utilisation au fil du temps
On verra au premiers pépins</t>
  </si>
  <si>
    <t>dranerb009-69472</t>
  </si>
  <si>
    <t xml:space="preserve">En l'absence totale du moindre débours au cours de l'année 2018, Ociane, la branche complémentaire santé de la MATMUT applique 4,9 % d'augmentation au 1er janvier 2019 sur la garantie "jeune niveau 1"! Que demander de plus ? </t>
  </si>
  <si>
    <t>17/12/2018</t>
  </si>
  <si>
    <t>dede-85975</t>
  </si>
  <si>
    <t>A.Rde resiliation envoyé le 13/12/19  reponse d'annulation adhesion le 07/01/20 prelevementle11/0120 2 appels telpour remboursement tres rapide   toujours rien reçu le 16/01</t>
  </si>
  <si>
    <t>16/01/2020</t>
  </si>
  <si>
    <t>01/01/2020</t>
  </si>
  <si>
    <t>shasi-s-110837</t>
  </si>
  <si>
    <t>Je trouve les prix assez élever pour une personne assuré chez vous depuis longtemps, je pense chercher autre part, d'ailleurs j'avais le droit à un geste commercial de 50 euros, merci de le prendre en compte</t>
  </si>
  <si>
    <t>18/04/2021</t>
  </si>
  <si>
    <t>gabriel-f-133221</t>
  </si>
  <si>
    <t>Le site est très simple à utiliser. Les tarifs sont très attractifs. La navigation est intuitive. Il ne reste plus qu'a savoir le plus tard possible ce qui se passe en cas de problèmes.</t>
  </si>
  <si>
    <t>17/09/2021</t>
  </si>
  <si>
    <t>legrand-n-130899</t>
  </si>
  <si>
    <t xml:space="preserve">Prix très attractifs. Je recommande. Belle qualité de service. Une attention particulière. Une écoute active. De l'empathie. Un parrainage qui fait envie. </t>
  </si>
  <si>
    <t>02/09/2021</t>
  </si>
  <si>
    <t>mogliacci-m-114309</t>
  </si>
  <si>
    <t>Satisfaite de ma proposition tarifaire et des garanties. Les différents gestionnaire en ligne m'ont aidé et conseillé sur les différents choix à prendre</t>
  </si>
  <si>
    <t>sacco-f-110218</t>
  </si>
  <si>
    <t>très cher par que par internet vous me donnez un prix different qui par téléphone. j'ai était obligé à faire cette assurance pour pouvoir circuler avec la voiture</t>
  </si>
  <si>
    <t>13/04/2021</t>
  </si>
  <si>
    <t>jonathan-t-129991</t>
  </si>
  <si>
    <t xml:space="preserve">Je suis satisfait du service rapide et efficace prise en charge rapide merci pour votre rapidité à effectuer l’es contrat d’assurance dans votre compagnie d’assurance </t>
  </si>
  <si>
    <t>29/08/2021</t>
  </si>
  <si>
    <t>marjorie-f-128149</t>
  </si>
  <si>
    <t>Très bien. Les prix sont attractifs. Clientes depuis plusieurs années c est une très bonne assurance. J espère que ça ne changera pas. Je recommande direct assurance</t>
  </si>
  <si>
    <t>16/08/2021</t>
  </si>
  <si>
    <t>qualoubet--116965</t>
  </si>
  <si>
    <t xml:space="preserve">Nullissime,car impossible d’assurer un quad en temporaire. J’ai beaucoup de contrats chez AXA,et, pourtant impossible de m’assurer .donc devant cette impasse, je vais aller voir ailleurs, et, faire un audit complet de mes contrats d’assurance 
</t>
  </si>
  <si>
    <t>AXA</t>
  </si>
  <si>
    <t>duplantier-78157</t>
  </si>
  <si>
    <t xml:space="preserve">répond difficilement au tel., des heures d'attente au cumul. En cas de sinistre, on a un N° mais jamais la même personne et cette assurance se renvoie la balle avec l'expert + toujours pas l'ombre d'une d'indemnisation au bout de 3 mois !!! alors qu'on est obligé de faire des travaux. </t>
  </si>
  <si>
    <t>02/08/2019</t>
  </si>
  <si>
    <t>boiteux94-57593</t>
  </si>
  <si>
    <t>Assureur plus attaché à appâter les nouveaux clients que de récompenser les anciens clients (plus de 20ans)</t>
  </si>
  <si>
    <t>26/09/2017</t>
  </si>
  <si>
    <t>catherine-v-107875</t>
  </si>
  <si>
    <t>les gens que l on a au téléphone sont parfois compliqués à comprendre /ils ne comprennent pas tout du premier coup très souvent et en cas de litige ; on a envie de raccrocher tant ils  semblent  bornés.</t>
  </si>
  <si>
    <t>escouane-75234</t>
  </si>
  <si>
    <t>Service qui s occupe de gérer prise en charge accident totalement inefficient
Service protection juridique incompetent</t>
  </si>
  <si>
    <t>19/04/2019</t>
  </si>
  <si>
    <t>01/04/2019</t>
  </si>
  <si>
    <t>ambredouce-69033</t>
  </si>
  <si>
    <t xml:space="preserve">Harcellement téléphonique  
  répondant excédée  avez vous avez 2 animaux     oui 
Vous en avez un 3 ème 
  non
Bon au revoir
   INADMISSIBLE APRES DES DIZAINES D APPELS AUQUEL ON NE REPONDS PLUS  de peur de 
</t>
  </si>
  <si>
    <t>Eca Assurances</t>
  </si>
  <si>
    <t>30/11/2018</t>
  </si>
  <si>
    <t>01/11/2018</t>
  </si>
  <si>
    <t>etoile-64217</t>
  </si>
  <si>
    <t>Assurance très cher sans le service en face. Seul compte la rentabilité financière au détriment du client. Cela se ressent sur le personnel qui est désagréable et peu à l'écoute.</t>
  </si>
  <si>
    <t>26/05/2018</t>
  </si>
  <si>
    <t>01/05/2018</t>
  </si>
  <si>
    <t>claudyv30340-54215</t>
  </si>
  <si>
    <t xml:space="preserve"> Heureusement je n'ai pas besoin souvent de faire intervenir mon assurance voiture il y a une douzaine d'années après un accident avec dégâts importants sur la voiture j'ai pu reconnaître que c'est assurance me convenait parfaitement</t>
  </si>
  <si>
    <t>22/04/2017</t>
  </si>
  <si>
    <t>01/04/2017</t>
  </si>
  <si>
    <t>alain-d-105665</t>
  </si>
  <si>
    <t>Prix intéressants et site facile à consulter. Heureusement, je n'ai pas eu d'accidents avec mon véhicule ; mais j'espère qu'ils seront réactifs lorsque j'aurai besoin de leurs services !</t>
  </si>
  <si>
    <t>06/03/2021</t>
  </si>
  <si>
    <t>dhouhariou-a-127783</t>
  </si>
  <si>
    <t xml:space="preserve">Je suis satisfait de votre service, et je conseillerai autour de moi direct assurance..
Je suis très ravie  d être chez direct assurance . cordialement. </t>
  </si>
  <si>
    <t>12/08/2021</t>
  </si>
  <si>
    <t>trisophrene-63020</t>
  </si>
  <si>
    <t xml:space="preserve">J'ai écraser mes enfant avec mon camping car mais c'est cette mutuel qui à vraiment ruiner les fêtes </t>
  </si>
  <si>
    <t>06/04/2018</t>
  </si>
  <si>
    <t>radwan-115425</t>
  </si>
  <si>
    <t xml:space="preserve">Plusieurs problèmes avec le paiement je ne comprends pas pourquoi depuis le matin j'essaye de souscrire et votre site me mets impossible d'accès au paiment </t>
  </si>
  <si>
    <t>31/05/2021</t>
  </si>
  <si>
    <t>beaunois21-70658</t>
  </si>
  <si>
    <t xml:space="preserve">Je quitte la GMF avec un bonus , un ans après avoir quitté la GMF je demande un relève d informations ou j ai un malus alors que je suis plus client chez eux , ils sont incapable de me donner une explication a fuir comme assureurs . 
</t>
  </si>
  <si>
    <t>27/01/2019</t>
  </si>
  <si>
    <t>01/01/2019</t>
  </si>
  <si>
    <t>jeremy-p-123568</t>
  </si>
  <si>
    <t>Je suis satisfait du service et du prix. Démarche facile.. L'assurance à pleins d'options et couvre le motard en cas d'accident ou de problèmes avec la moto.</t>
  </si>
  <si>
    <t>christophe-f-105739</t>
  </si>
  <si>
    <t>Satisfait dans l'ensemble mais cela fait maintenant deux mois que l'on me réclame un justificatif sur une période, que je le fourni mais rien n'y change.</t>
  </si>
  <si>
    <t>07/03/2021</t>
  </si>
  <si>
    <t>douret-m-134424</t>
  </si>
  <si>
    <t>Enfin j’ai réussi à signer.
Je suis satisfait de votre service. Toujours bien informer et vous êtes joignable assez vite.
Je vous recommanderais a mon entourage.
Merci</t>
  </si>
  <si>
    <t>25/09/2021</t>
  </si>
  <si>
    <t>marian-v-112346</t>
  </si>
  <si>
    <t xml:space="preserve">Je suis très satisfait du service proposer ainsi que du prix très compétitif. Les conseillers était a l'écoute et très attentifs au remarques . Un grand merci </t>
  </si>
  <si>
    <t>mehdib-90427</t>
  </si>
  <si>
    <t>Je ne suis pas client mais je trouve très étonnant qu'on veuille m'obliger à souscrire à une assurance auto pour pouvoir m'accorder une assurance moto. Pour eux puisque je n'ai personne de ma famille qui est inscrit à la MACIF il n'ont pas à faire des efforts pour moi. J'ai demandé une lettre de refus. Mais bien évidemment pas de retour.</t>
  </si>
  <si>
    <t>11/06/2020</t>
  </si>
  <si>
    <t>7710-76372</t>
  </si>
  <si>
    <t>Sarah a  répondu très rapidement à ma demande ce jour . Soulagée.  Très appréciée pour son contact, pour sa compétence et sa rapidité essentielle ici.</t>
  </si>
  <si>
    <t>31/05/2019</t>
  </si>
  <si>
    <t>01/05/2019</t>
  </si>
  <si>
    <t>patrick-b-114811</t>
  </si>
  <si>
    <t xml:space="preserve">Simple et pratique. car j'ai pu demander facilement une attestation. Par contre, ce serait mieux d'améliorer la présentation du site (des couleurs, des options bien marquées....).
Les prix sont un peu chers.
</t>
  </si>
  <si>
    <t>25/05/2021</t>
  </si>
  <si>
    <t>ccuo-115445</t>
  </si>
  <si>
    <t xml:space="preserve">Je mets une étoile car je ne peux pas mettre 0 étoile...
5 ans de fidélité...pour RIEN ! Des centaines d'€ déboursés...pour rien. 
FUYEZ. Prenez celle de votre banque...peu importe. TOUT sauf la macif! Cette boîte ne devrait même pas exister
</t>
  </si>
  <si>
    <t>anne-d-121875</t>
  </si>
  <si>
    <t xml:space="preserve">Le conseiller en assurance a su nous guider et trouver le meilleur organisme couvrant nos besoins en assurance a un prix  nous convenant tout particulièrement </t>
  </si>
  <si>
    <t>30/06/2021</t>
  </si>
  <si>
    <t>giovanni-98174</t>
  </si>
  <si>
    <t>trés serieux tout est clair du début jusqu'à la fin.
Rapidité de vrai pro de l'assurance.
merci L'olivier assurance pour la disponibilité de vos conseillers de clientèle ,le prix trés correct .
Je suis trés satisfait .</t>
  </si>
  <si>
    <t>30/09/2020</t>
  </si>
  <si>
    <t>01/09/2020</t>
  </si>
  <si>
    <t>freddy-l-134726</t>
  </si>
  <si>
    <t>Je suis pour l'instant satisfait de la rapidité d'exécution du site et des prix proposés.
En espérant être satisfait si le moindre pépin m'arrive, cordialement.</t>
  </si>
  <si>
    <t>27/09/2021</t>
  </si>
  <si>
    <t>marcassin-57-49668</t>
  </si>
  <si>
    <t xml:space="preserve">Je suis cliente chez pacifica depuis 6 ans, pour l'assurance habitation, 2 assurances auto, 1 moto, assurance chasse et une complémentaire santé pour la famille. c'est la premiere fois que je declare un sinistre a mon assurance, j'avais besoin de faire remplacer le pare choc de ma voiture. Les réparations représentent 780euros et la moitié leur est remboursée par la franchise de 350euros, malgré cela, j'ai un malus de 20%!!  et en plus ils n'ont meme pas avancé le montant des réparations au garage, avec qui j'ai du négocier pour différer l'encaissement du chèque et ils sont difficiles a joindre par téléphone... </t>
  </si>
  <si>
    <t>28/11/2016</t>
  </si>
  <si>
    <t>sebastien-m-106967</t>
  </si>
  <si>
    <t xml:space="preserve">Les prix sont légèrement supérieurs à la concurrence. 
J'ai du mal à trouver réponse à mes interrogations. 
Je ne comprends pas les documents demandés
</t>
  </si>
  <si>
    <t>17/03/2021</t>
  </si>
  <si>
    <t>antico-50226</t>
  </si>
  <si>
    <t>j'y suis de puis plus 3o ans . j'ai eu un dégât  des  eaux octobre 2016 , le service client et le suivi du sinistre une catastrophe personne au bout du fil à l' agence personne pour vous écouter .l'expert pour réduire le cout il m'a proposer de passer un tuyau en apparent dans une douche à l'italienne .et c'est juste un exemple .</t>
  </si>
  <si>
    <t>13/12/2016</t>
  </si>
  <si>
    <t>01/12/2016</t>
  </si>
  <si>
    <t>neielam-77824</t>
  </si>
  <si>
    <t>Bonjour j'aimerais savoir si il y a une franchise avec la formule "chien+"?</t>
  </si>
  <si>
    <t>22/07/2019</t>
  </si>
  <si>
    <t>musicienne1904-49927</t>
  </si>
  <si>
    <t xml:space="preserve">ADHERENTE DEPUIS DE NOMBREUSES ANNEES, LA MGEN EST UNE MUTUELLE QUI CONSIDERE SES ADHERENTS ET EVOLUE SANS CESSE POUR REPONDRE A LEURS BESOINS. RARE MUTUELLE INTERPRO QUI INCLUT LA PREVOYANCE DANS SES OFFRES SANTE. </t>
  </si>
  <si>
    <t>05/12/2016</t>
  </si>
  <si>
    <t>jmt-113966</t>
  </si>
  <si>
    <t>Simple et rapide, satisfait.
Pourriez-vous m'envoyer un devis pour assurer une mobylette (Motobécane) comme pièce de collection.
Merci.
Bien cordialement.</t>
  </si>
  <si>
    <t>17/05/2021</t>
  </si>
  <si>
    <t>famille6-50295</t>
  </si>
  <si>
    <t>SINISTRE DEGAT DES EAUX DECLARE LE 21/03/2021.
AUCUN RETOUR AU 08/04/2021
ASSUREUR FANTÖME ???????
SERVICE CLIENT TOTALEMENT ABSENT SAUF POUR RECLAMER LA COTISATION</t>
  </si>
  <si>
    <t>08/04/2021</t>
  </si>
  <si>
    <t>belloun-126184</t>
  </si>
  <si>
    <t xml:space="preserve">Une hausse tarifaire exorbitante pour rajouter mon fils sur un contrat auto apres 3 ans de conduite accompagnee et 1 an de permis...
aucun sinistre depuis plus de 15 ans, 5 contrats detenus, voici la récompene de la GMF !! Et oui c est l esprit mutualiste GMF !!
Le seul conseil donné par le conseillé que j ai rencontrè devant mon mécontentement a été de continuer à faire des devis. Mais quel belle attitude !! 
 Devant un tel comportement : FUIR ABSOLUMENT  chose que je vais faire.  
</t>
  </si>
  <si>
    <t>03/08/2021</t>
  </si>
  <si>
    <t>lefuret-66700</t>
  </si>
  <si>
    <t xml:space="preserve">Fidel à la maaf depuis 15 ans 
un bon accueil des gens professionneles
un service client basé en France 
et de bon tarif et garantie
lors d'un sinistre mais meme eu un geste commercial sur la franchise </t>
  </si>
  <si>
    <t>07/09/2018</t>
  </si>
  <si>
    <t>01/09/2018</t>
  </si>
  <si>
    <t>tom-54927</t>
  </si>
  <si>
    <t>Énorme difficulté a percevoir les remboursement .devis perdu,arrogance de la par des conseillers de la plate forme de Créteil qui prennent les gents pour des ânes</t>
  </si>
  <si>
    <t>26/05/2017</t>
  </si>
  <si>
    <t>01/05/2017</t>
  </si>
  <si>
    <t>mathieu--201-89318</t>
  </si>
  <si>
    <t>Super écoute et super recherche qualité prix par mon conseiller Romu</t>
  </si>
  <si>
    <t>Assur Bon Plan</t>
  </si>
  <si>
    <t>02/05/2020</t>
  </si>
  <si>
    <t>renee51-64357</t>
  </si>
  <si>
    <t>professionnalisme, compétence, réactivité, efficacité, à l'écoute des besoins des clients, je recommande vivement cette assurance voiture, les contacts téléphoniques sont très agréables et rassurants.</t>
  </si>
  <si>
    <t>31/05/2018</t>
  </si>
  <si>
    <t>claire-96133</t>
  </si>
  <si>
    <t>Adhérente à Harmonie Mutuelle(sans "s" à la fin) depuis 2014, je dois me battre(je pèse mes mots!) pour me faire rembourser des peu de besoins qui sont les miens (lunettes faibles, dents) Je bénéficie du 100% auprès de la S. S. donc cette mutuelle n'a à intervenir ni pour les consultations médicales, ni pour les médicaments (pour lesquels je paie moi-même les vignettes autres que blanches (bleues et oranges qui ont d'ailleurs disparu)
Ma dernière réclamation concerne une couronne (prothèse dentaire) pour laquelle Harmonie M. en est à sa 3ème justification différente après avoir accusé mon dentiste de pratiquer des honoraires libres, ce qui n'est pas le cas!
Elle refuse de me rembourser le panier RAC0 (reste à charge 0) en incriminant maintenant mon contrat qui pourtant m'avait bel et bien été conseillé par leurs commerciaux!!! je résilie dès que possible, ce qui n'est guère possible avant la fin de cette année!! A fuir</t>
  </si>
  <si>
    <t>10/08/2020</t>
  </si>
  <si>
    <t>missratatine-96929</t>
  </si>
  <si>
    <t xml:space="preserve">Bonjour
Je suis à la MATMUT depuis 40 ans jamais eu de problème. J'ai eu un acte de dégradation volontaire avec délit de fuite. 
Je regarde sur le' site internet de la MATMUT le garage agréé pour expertise car impossible de joindre la MATMUT par téléphone ça nous met en attente puis ça coupe ou alors ça nous dit de rappeler plus tard.
Sur leur site internet MATMUT, je vois le garage agréé avec adresse et téléphone. Mon véhicule est remorqué là bas.
5 jours plus tard je reçois un appelle de la MATMUT qui me dit qu'elle ne sait pas où se trouve mon véhicule. Je lui dit le nom du garage et la ville et là elle me répond :
"Ce garage je ne le trouve pas, il n'est pas répertorié chez nous, pas agréé. Je ne trouve pas la ville, je suis de Normandie,  vous devez me donner le code postal" 
Comme je n'avais pas le code postal sur moi je lui dit de regarder sur leur site car toutes les coordonnées du garage y sont. 
Elle refuse me disant que c'est à moi de lui dire ! Et que si je ne lui donne pas le code postal elle ne fera rien pour moi. 
N'ayant pas la possibilité immédiate de lui donner le code postal, j'insiste pour qu'elle regarde sur le site de la MATMUT ou qu'elle regarde sur internet avec le nom de la ville ! Elle refuse et me dit que mon dossier ne sera pas traité si elle n'a pas le code postal et que de toute façon ce garage n'est pas agréé. 
Je vais pour donner le numéro du garage à la MATMUT elle me raccroche au nez car elle me trouve désagréable, à moi de me débrouiller puisque je ne lui donne pas le code postal elle ne fera rien et ne gèrera pas mon dossier qui restera dans l'état !
Le garage me confirme qu'il est bien agréé MATMUT.
N'ayant jamais eu le moindre problème avec ma voiture ou mon habitation, je ne me suis jamais rendu compte à quel point la MATMUT était d'une incompétence aussi rare à moins que ce ne soit cette femme qui ait un sacré poil de crin dans la main, car ne pas regarder sur le site MATMUT ou même taper le nom de la ville sur internet, ça me semble complètement ahurissant !
</t>
  </si>
  <si>
    <t>02/09/2020</t>
  </si>
  <si>
    <t>visdosin-a-109441</t>
  </si>
  <si>
    <t>Il y a une erreur sur mon nom, j'ai envoyé un mail au service client qui doit répondre en 7 jours mais pour le moment rien et cela fait 8 jours ouvrés. je suis déçue.
Par contre bonne avancée sur la rupture de mon ancien contrat.. probablement une question de priorité.</t>
  </si>
  <si>
    <t>07/04/2021</t>
  </si>
  <si>
    <t>jule-98532</t>
  </si>
  <si>
    <t>Sinistre du mois de mars 2019 à ce jour 9 octobre 2020 toujours pas solutionné et utilise tout ce qui est possible ne pas régler
Par contre très à cheval sur les cotisations</t>
  </si>
  <si>
    <t>09/10/2020</t>
  </si>
  <si>
    <t>hamza-t-107720</t>
  </si>
  <si>
    <t>Les prix me convient.
prestation raisonnable.
assurance recommandé par un amis.
Les prix me convient.
prestation raisonnable.
assurance recommandé par un amis.</t>
  </si>
  <si>
    <t>23/03/2021</t>
  </si>
  <si>
    <t>mdp-121381</t>
  </si>
  <si>
    <t>Zéro pointé. A fuir absolument.Allianz avec vous de A à P pour payer !!! Le reste on s'en fout..Nous sommes justes bon a çà. Incendie maison il y a 3 ans aucun appel, aucun courrier pour au moins savoir comment vous allez... Par contre, 8 jours de retard dans une cotisation courrier avec menace. Un comble !!!!</t>
  </si>
  <si>
    <t>28/06/2021</t>
  </si>
  <si>
    <t>soufflette-110211</t>
  </si>
  <si>
    <t xml:space="preserve">Communication catastrophique : j ai dû contacter cette assurance car je continue à être débité depuis deux mois alors que mon véhicule est vendu et que j ai envoyé tous les documents nécessaires à l arrêt de son assurance.
J ai dû les contacter une dizaine de fois par mail et téléphone en leur renvoyant la preuve de ma bonne foi mais malgré tout on me répond systématiquement le même texte appris par cœur.de plus,  Ce n est jamais là même personne.
Cette assurance me demande maintenant un accusé d enregistrement de la déclaration de vente de mon vehicule car la date vente est trop vieille pour eux ! Je me contacte au site ants pour en faire la demande, alors que je n ai pas à le faire, réponse entre 3 et 5 semaines d attente avant d avoir ce papier !.
De toute évidence, cette assurance est de mauvaise foi et cherche à ce que je lache l affaire ...
Je contacte donc un service consommateur </t>
  </si>
  <si>
    <t>de-suin-e-121423</t>
  </si>
  <si>
    <t>cette offre me parait avantageuse, on verra dans le temps. Nul ne sais si une offre l'est avant d'avoir pu en bénéficier. Nouveau client de direct assurance j'espere faire parti des personnes satisfaites</t>
  </si>
  <si>
    <t>26/07/2021</t>
  </si>
  <si>
    <t>schaefer-m-134791</t>
  </si>
  <si>
    <t>bonne communication,explications détaillées,les différentes options bien expliquées,agent sympa et a l'écoute, je recommanderais a mes amis si il ont des problèmes avec leur assureur actuel.</t>
  </si>
  <si>
    <t>28/09/2021</t>
  </si>
  <si>
    <t>jerome-g-106680</t>
  </si>
  <si>
    <t>je satisifait du service sur le site rapide performant simple esperons que les services correspondent et que cela soit aussi simple que l adhesion .....</t>
  </si>
  <si>
    <t>15/03/2021</t>
  </si>
  <si>
    <t>galion-54342</t>
  </si>
  <si>
    <t xml:space="preserve">A éviter, même à fuir au galop après un changement de véhicule assuré tous risques,augmentation du tarif pour
Un véhicule moins puissant et assure au tiers
Publicité mensongère....
</t>
  </si>
  <si>
    <t>27/04/2017</t>
  </si>
  <si>
    <t>celine-r-127039</t>
  </si>
  <si>
    <t>Je suis satisfaite du service rapide et efficace , bien qu'un prélèvement au mois aurait été mieux pour moi. Mais très bien dans l'ensemble. Merci bien.</t>
  </si>
  <si>
    <t>07/08/2021</t>
  </si>
  <si>
    <t>yahya94-69038</t>
  </si>
  <si>
    <t xml:space="preserve">Très bonne assurance. </t>
  </si>
  <si>
    <t>sonia-96722</t>
  </si>
  <si>
    <t>Jai souscrit un contrat TOUT Risque .
Je nai pas utilisé le service assistance et sinistre en 4 ans.
Jai  pris connaissance lors de mon sinistre le 23 juin d'une franchise de  726 €
L a reparation a pris plus de 2 mois remis a ma disposition le 27 08 2020. Il sagissait des 2 pneus avant amortisseur et parallélisme. 
Le tarif nest pas specialement economique...Direct assurance etant Low cost avec inscription sur internet..je paye plus cher qu'avec Axa qui est l'assistance de Direct Assurance.
Jai demandé une remise pour les 2 mois ou mon vehicule netait pas utilisable, qui na pas ete accorde 
Je ne recommande pas cette assurance.</t>
  </si>
  <si>
    <t>27/08/2020</t>
  </si>
  <si>
    <t>jekcrusher-128930</t>
  </si>
  <si>
    <t>L'assurance a augmenté sans raison au bout d'1 an. Les prix ne sont plus du tout compétitif. Je ne recommande pas du tout. Je vais changer d'assurance.</t>
  </si>
  <si>
    <t>21/08/2021</t>
  </si>
  <si>
    <t>amaroc-60686</t>
  </si>
  <si>
    <t>Accident de moto par une voiture qui me touche à l'arrière en février 2017 et sinistre encore en suspend... Bientôt 1 an. Il était pourtant clairement écrit sur le constat signé par les deux parties que la voiture était à l'arrêt et qu'elle a démarré à mon passage... La décision aurait du être simple. Envoi des conditions de réparation et surtout les détails pour la franchise rapide. Mais une fois que j'ai payé les 450e de franchise, aucun retour vers moi par la personne chargée du dossier. Nombreuses relances par téléphone/mail, sans jamais tomber systématiquement sur la personne concernée, et toujours la même réponse : "aucun retour de la partie adverse, nous les relançons". Facile à dire par mail ou au téléphone, on ne sait même pas qui est-ce qu'on a en face de nous. Je vais réfléchir aux options pour fuir cet assureur.</t>
  </si>
  <si>
    <t>21/01/2018</t>
  </si>
  <si>
    <t>philippe-c-115914</t>
  </si>
  <si>
    <t>Réponse directe et reactivité immédiate. Service très satisfaisant
La prise en charge de l'ensemble des démarches à faire est assuré par Direct Assurance, donc aucune tracasserie administrative</t>
  </si>
  <si>
    <t>al-64696</t>
  </si>
  <si>
    <t xml:space="preserve">Les assurreurs se permette de doubler les franchises a leurs guises sans aucunes explications pas et personnes ne peut vous donner une explications valable aucun suivie client cest veritablement une honte. </t>
  </si>
  <si>
    <t>12/06/2018</t>
  </si>
  <si>
    <t>01/06/2018</t>
  </si>
  <si>
    <t>sp-90176</t>
  </si>
  <si>
    <t>nous attendons depuis plus d'1 an pour régler un dégât des eaux. Ils font trainer pour la réparation c'est honteux</t>
  </si>
  <si>
    <t>03/06/2020</t>
  </si>
  <si>
    <t>chris-65032</t>
  </si>
  <si>
    <t>Après 29 ans de fidélité, je me fais "virer" de leur assurance car 3 sinistres en 2 ans.....Tant que l'on paie et que rien nous arrive, nous sommes des bons clients.....mais lorsque c'est à eux de payer, ce n'est plus la même histoire.....Très, très déçue !!!!</t>
  </si>
  <si>
    <t>25/06/2018</t>
  </si>
  <si>
    <t>leger-b-115294</t>
  </si>
  <si>
    <t>Je suis satisfait du service et de  la conseillère au téléphone pour le contrat simple et rapide, les tarifs me conviennent, je le recommanderai à des personnes de mon entourage, cordialement merci.</t>
  </si>
  <si>
    <t>29/05/2021</t>
  </si>
  <si>
    <t>helene-77264</t>
  </si>
  <si>
    <t>Rappel immédiat lors de ma recherche un soir à 21h. Le personnel est à l'écoute et nous contacte en cas de problème.</t>
  </si>
  <si>
    <t>02/07/2019</t>
  </si>
  <si>
    <t>angelina-52692</t>
  </si>
  <si>
    <t>très bien qualité prix mais traite parfois les clients comme des chiens on m a refuse d assurer un autre vehicule sans raison valable alors que je suis deja cliente tout ca parce que mon mari est artisan je vois pas le rapport .
on ma dit daller ailleur lol 
pas daccident bonne payeuse jai le permis la carte grise a mon nom vraiment pas compris cest decevant</t>
  </si>
  <si>
    <t>23/02/2017</t>
  </si>
  <si>
    <t>01/02/2017</t>
  </si>
  <si>
    <t>prezeau-d-130811</t>
  </si>
  <si>
    <t>je suis satisfait des services et de la gentillesse de la conseillère téléphonique qui a su répondre à toutes mes questions avec beaucoup de précision. je recommande vraiment cette compagnie d'assurance dont je vais m'empresser de parler autour de moi.</t>
  </si>
  <si>
    <t>mel-115352</t>
  </si>
  <si>
    <t xml:space="preserve">Je viens de découvrir ma radiation sans la moindre exication de leur part! 
Je suis à jour dans mes cotisations et à 2 ans de contrat!
Cela prend effet dès demain et je n'ai plus de mutuelle pour mes filles et moi alors que des rdv dentaires et ostéo sont prévus pour ce mois ci....
Affaire à suivre par ma protection juridique...
</t>
  </si>
  <si>
    <t>c4-grand-picasso-101677</t>
  </si>
  <si>
    <t>Fuyez vite! Vous allez perdre de l’argent et ne serez pas assuré. Je fais partir un courrier avec mon avocat pour demander le remboursement intégrale et engager des poursuites. Ils profitent des gens! 
Rejoignez moi si vous aussi vous avez eue une mauvaise expérience avec eux!!!</t>
  </si>
  <si>
    <t>21/12/2020</t>
  </si>
  <si>
    <t>aline-b-131273</t>
  </si>
  <si>
    <t xml:space="preserve">Les prix mériterai de baisser encore pour les bons voir très bons conducteurs. 
Les services sont parfaits. On accède facilement aux conseillés par téléphone. </t>
  </si>
  <si>
    <t>houmadi-d-116004</t>
  </si>
  <si>
    <t xml:space="preserve">Le pris est un peut cher pour un tiers confort, je suis jeune conductrice  et je dois payer presque 1000 € par ans ,c'est un amis qui ma conseiller l'olivier assurance </t>
  </si>
  <si>
    <t>martin-b-115560</t>
  </si>
  <si>
    <t>j'ai tout de même constaté une augmentation significative des cotisations pour la "tout risques" de mon véhicule, particulièrement étonnant si l'on considère que depuis "toujours" je conduis sans accident</t>
  </si>
  <si>
    <t>caro-64849</t>
  </si>
  <si>
    <t xml:space="preserve">HONTEUX !!!! pas de réponse aux mails ni au téléphone.
QUAND JE VAIS FAIRE OPPOSITION A MA BANQUE POUR LE PRELEVEMENT PEUT-ETRE JE SERAI CONTACTER LOL !!!!
</t>
  </si>
  <si>
    <t>Génération</t>
  </si>
  <si>
    <t>18/06/2018</t>
  </si>
  <si>
    <t>romain-m-129044</t>
  </si>
  <si>
    <t xml:space="preserve">Je suis Satisfait de la couverture de l assurance. Le tarif bien qu élevé au vu de mon bonus reste un des mieux placé du marché. J espère quand même ne jamais avoir de soucis. </t>
  </si>
  <si>
    <t>22/08/2021</t>
  </si>
  <si>
    <t>mumu-77427</t>
  </si>
  <si>
    <t>Une assurance à l'écoute, qui conseille et vous rassure. De bons professionnels ayant une réactivité hors norme et qui vous facilite la vie. Très compétents, ils connaissent parfaitement leur travail.</t>
  </si>
  <si>
    <t>08/07/2019</t>
  </si>
  <si>
    <t>maria-102850</t>
  </si>
  <si>
    <t>L'assureur militant !
Publicité TV forcenée oblige,  bien sûr, vous connaissez.
C'est la MAIF !
Alors, je corrige leur slogan:
L'assureur défaillant !
Vous connaissez ?
C'est la MAIF !
Incapable de respecter ses engagements contractuels, dès la moindre difficulté,
et une relation client  lamentable, je suis extrêmement déçue ! Fidèle cliente, je m'en vais!
Fuyez cet assureur !</t>
  </si>
  <si>
    <t>22/01/2021</t>
  </si>
  <si>
    <t>poc25-137762</t>
  </si>
  <si>
    <t xml:space="preserve">J'ai un arrêt maladie du mois de Mars.
J'attends un complément de salaire depuis le 18 Aout (date à laquelle mon employeur en a fait la demande)
Depuis, je suis baladée, certes avec beaucoup de compassion de la part de l'équipe du service client que j'ai pu avoir au téléphone...
Ce matin, suite à mon n-ième appel, on m'informe que mon dossier sera traité d'ici 2 semaines...
Sauf que début septembre, on m'annonçait 4 à 5 semaines, et qu'il y a 2 semaines, on me promettait une dizaine de jour...
On est pris en otage, et à part mettre des commentaires négatifs sur des forums, et ensuite se tourner vers la DGCCRF et l'ACPR, je ne vois pas bien ce qu'on peut faire de plus. 
L'équipe du service client "comprend bien mon problème", merci pour leur empathie !! 
Je poste ici mon premier commentaire, et je compte bien me tourner vers tous les forums. </t>
  </si>
  <si>
    <t>Ag2r La Mondiale</t>
  </si>
  <si>
    <t>19/10/2021</t>
  </si>
  <si>
    <t>idvfr-61535</t>
  </si>
  <si>
    <t>Ne respecte pas la loi Hamon, et ne rembourse pas le trop payer.. Qualité d'accueil quand il y a un problème déplorable.. Fuyez.. L'économie (qui n'en est pas une) de l'assurance ne vaut absolument pas le coup...</t>
  </si>
  <si>
    <t>18/02/2018</t>
  </si>
  <si>
    <t>01/02/2018</t>
  </si>
  <si>
    <t>oculi-f-110002</t>
  </si>
  <si>
    <t>Simple rapide et pratique , prix avantageux avec des options très abordable à conseiller au près des mes amis si l'occasion se présente et sans hésitations.</t>
  </si>
  <si>
    <t>11/04/2021</t>
  </si>
  <si>
    <t>tetdeneu-65159</t>
  </si>
  <si>
    <t>Pas satisfaite car c'est cher (vaut mieux pas etre en malus!), 2 depannages maxi par an (je me suis retrouvee coincée en panne sur une autoroute), veulent vendre des services inutiles</t>
  </si>
  <si>
    <t>29/06/2018</t>
  </si>
  <si>
    <t>michel-p-126915</t>
  </si>
  <si>
    <t xml:space="preserve">Moyennement satisfaite car je constate chaque année une augmentation de mes cotisations alors que nous n'avons jamais eu d'accident, donc Bonus au max!
</t>
  </si>
  <si>
    <t>06/08/2021</t>
  </si>
  <si>
    <t>geoffrey10-88440</t>
  </si>
  <si>
    <t xml:space="preserve">Assuré depuis 3 ans chez L’olivier Assurance. Ils attirent leurs clients avec des tarifs attractifs. Depuis, mon contrat d’assurance augmente chaque année entre 30 et 50€ sans aucune justification, mon quotient de malus lui baisse...
Je n’ai jamais eu besoin de faire appel à mon assurance depuis que je suis chez eux pour quelconque sinistre. </t>
  </si>
  <si>
    <t>22/03/2021</t>
  </si>
  <si>
    <t>djenni59-67968</t>
  </si>
  <si>
    <t xml:space="preserve">Nous vivons un cauchemard accident cause par un tiers x nos, rentrons, dans une autre voiture... Lundi nous sommes assuré, et le mardi nous sommes suspendu... Suite à une mise en demeure du mois, de juin qui a était payé.. Accident en novembre 2017..il prenne les frais de remorquage en compte malgré la soit disant suspension de contrat mais rien d'autre. Aujourd'hui on me réclame 2700 euro pour l'autre personne implique (je précise qu'elle n'avait pas, une égratignure) j'ai perdu ma voiture vécu des nuit d'enfer et aujourd'hui je me retrouve endetté merci axa mais, on, ne va pas se laisser faire aucune info ne savent même pas me dire où en est le dossier quand aux responsabilité des nuit blanche assurées avec axa fuye personne d'axa pour nous, aider... </t>
  </si>
  <si>
    <t>22/10/2018</t>
  </si>
  <si>
    <t>pp-105315</t>
  </si>
  <si>
    <t xml:space="preserve">Bonjour, 
J’appelle assistance. Ma batterie ne prends plus la charge. Il est en panne en montagne. Le véhicule démarre avec les pinces. On me demande sur place, ordre du patron  ... !  de régler  50 euro de dépassement (non prévu ) immédiatement, ce je n’ai pas été informée . Mon véhicule ne peut pas être remorqué à côté de chez le dépanneur. Il a démarré mais je retomberai en panne en prenant de l’essence.  Et ils ne pourront pas revenir. Je ne vais pas acheter non plus une batterie au dépanneur si c’est l’alternateur. J’ai l’assistance zero km plus panne.  La dernière fois on m’a remorqué pour une crevaison malveillante et plante sans transport par zéro degré au bord de la route. 
Quelles garanties ? Autrefois je n’avais jamais eu de problème avec la Maif . </t>
  </si>
  <si>
    <t>03/03/2021</t>
  </si>
  <si>
    <t>tom-b-130838</t>
  </si>
  <si>
    <t xml:space="preserve">Cette assurance est excellente avec un bon rapport qualité prix très facile a comprendre simple a l'usage et très pratique en ce qui concerne l'inscription de l'assurance </t>
  </si>
  <si>
    <t>clinoe-116124</t>
  </si>
  <si>
    <t xml:space="preserve">Bjr,  Un sinistre (attaque de mon chien par un autre) dans le cadre de la responsabilité civile, a fait l'objet d'une déclaration de ma part le jour même. le lendemain , réception de documents à remplir, fait immédiatement. Attestation de fin de soins scannée à relationclient le 29 mars. Depuis silence, malgré un mail de relance à Madame Faguette, un message sur le site Macif, un autre demandant à être rappelée pour avoir des informations.
La Macif ETAIT une bonne assurance, j'y suis depuis une trentaine d'année et les clients étaient bien traités en cas de sinistre. Depuis une dizaine d'année ça laisse à désirer, SAUF pour souscrire une assurance et prélever les échéances :). Il n'y a plus aucun esprit mutualiste à la MACIF.  On ne vous rappelle même pas !
Je viens de renvoyer un mail à cette dame en précisant mon mécontentement et  ma démarche ici.
Aurai-je une réponse ici ?
</t>
  </si>
  <si>
    <t>06/06/2021</t>
  </si>
  <si>
    <t>fleurdespyrenees-81635</t>
  </si>
  <si>
    <t>Je vis une vrai galère avec Intériale
 fonctionnaire territoriale depuis 25 ans je cotisais à intériale dans mon ancienne collectivité contrat de groupe
 j'ai changé d'employeur en novembre 2018 et mon nouvel employeur nous indiquait en février 2019 qu'il mettait fin à son contrat de groupe et que je devais donc trouver par moi-même une nouvelle prévoyance
 Je suis donc naturellement allée voir Intériale
 Après les avoir relancés à maintes reprises pour obtenir une devis contrat a été signé avec prise d'effet au 01 juillet 2019 date à laquelle je n'avais plus de prévoyance de groupe
 Malheureusement pour moi, et pour la 1ere fois de ma vie je suis en arrêt de travail depuis plus de 3 mois
 j'ai donc pris contact, et après avoir transmis tous les documents, et après avoir téléphoné à de nombreuses reprises en ayant à chaque fois des interlocuteurs différents qui ne donnent pas les mêmes infos j'ai reçu ce jour de Intériale un courrier de non recevoir voici ce qui est indiqué 
 j'accuse réception de votre demande d'indemnisation au titre des garanties maintien de salaire primes et indemnités pour les périodes du 26 10 au 15 11
 cependant, après étude de votre dossier je suis au regret de vous informer que je ne peux y apporter une réponse favorable pour le motif suivant  conformément au réglement mutualiste dans le cadre d'un congé de maladie ordinaire pour les nouveaux adhérents il est instauré une période de stage d'un an suivant leur inscription au titre du congé de maladie ordinaire concernant la garantie maintien de salaire et 6 mois concernant la garantie maintien des primes et indemnités aucun sinistre survenu pendant cette période ne sera garantie
Génial  je n'ai jamais été informée de cela
 je n'ai jamais reçu les conditions lorsqu'ils m'ont envoyé le devis et le contrat  Aucun des interlocuteurs en amont et en aval de mon arrêt ne m'en a parlé
J'ai un salaire de 1600 euros
2000 en novembre avec ma prime et 1600 en décembre
je subi une perte de 2000 euros avec 1000 euros de charges mensuelles 
 cette mutuelle manque de sérieux 
 je suis seule avec un enfant et n'ai personne pour m'aider financièrement
 en plus, ils augmentent mes cotisations de 25 pour cent passant de 40 euros mensuel à 52 euros en 6 mois 
je vais essayer de me rapprocher d'une association de défense des consommateurs</t>
  </si>
  <si>
    <t>05/12/2019</t>
  </si>
  <si>
    <t>alexandra-a-114613</t>
  </si>
  <si>
    <t>Je suis très satisfaite du service, bien accueilli et renseignée par téléphone. Les prix sont corrects, c'est pour cela que j'ai confié l'assurance de ma première maison et surtout que je n'habite plus le logement depuis plus d'un an environ.</t>
  </si>
  <si>
    <t>23/05/2021</t>
  </si>
  <si>
    <t>greg1704-53237</t>
  </si>
  <si>
    <t>franchement pour une assurance auto au tiers maxi pour mon cas, super,rien a dire!!!, très PRO,surtout ils m'ont super bien renseignés sur mon contrat d'assurance</t>
  </si>
  <si>
    <t>13/03/2017</t>
  </si>
  <si>
    <t>lilu1254-49427</t>
  </si>
  <si>
    <t>Je passe toujours par des courtiers pour mes assurances que ce soit pour l'auto, la santé, la maison etc pour ce qui est de la santé je suis donc passée par Santiane.fr suite à une de leur publicité que j'ai vu à la télé et pour être honnête ils ont beaucoup plus de services qu'un bon nombre d'autres courtiers !</t>
  </si>
  <si>
    <t>22/11/2016</t>
  </si>
  <si>
    <t>fv-127429</t>
  </si>
  <si>
    <t>Assurance archi nulle ! Je n'en peux plus ! Sinistre dégâts des eaux qui traîne en longueur depuis 1 an : 
MACIF sans réaction, nécessité de relancer plein de fois pour que ça bouge, expert Exxx (pas le droit de donner le nom dans la charte !) qui ne répond pas, puis expert Exxx qui répond après X relances de ma part et après beaucoup de temps ..., expert Exxx qui ne prend pas en compte tout ce qu'il y a à réparer, MACIF à relancer et on repart depuis le début. 
Assurance MACIF qui ne répond jamais aux mails envoyés via son site en ligne et très difficile à avoir au téléphone ! Franchement mon avis ? A fuir !!!!! PS : J'aimerais beaucoup qu'un responsable MACIF m'appelle afin que je lui raconte mon calvaire, j'ai précisé mon numéro de dossier pour ce faire  !</t>
  </si>
  <si>
    <t>10/08/2021</t>
  </si>
  <si>
    <t>phil13-123949</t>
  </si>
  <si>
    <t>Mutuelle fantôme a utiliser si l'on a besoin de rien. Ne répond pas au devis et demande de prise en charge et de plus injoignable par téléphone. Il n'y a qu'une solution attendre la fin du contrat, le courtier qui ma bien conseillé dans ce choix m'ayant déjà dit que rien d'autre et possible.
Donc note double 0 car rien ne va y compris le tarif puisqu'ils remboursent quand il veulent</t>
  </si>
  <si>
    <t>Cegema Assurances</t>
  </si>
  <si>
    <t>20/07/2021</t>
  </si>
  <si>
    <t>bison751-98640</t>
  </si>
  <si>
    <t>Assurance tous risques avec remboursement à neuf du véhicule : résultat 1675€ de remboursement pour un scooter volé dans les 3 mois, acheté 2200€.
Pas de prise en charge des accessoires ? 
Pas de prise en charge des frais dépannage et remorquage liés à l'accident lorsque mon scooter à été retrouvé ?
Plus de 3 mois pour être remboursée.
Pas de réponse aux mails envoyés.
MISERE.</t>
  </si>
  <si>
    <t>12/10/2020</t>
  </si>
  <si>
    <t>oasis-104255</t>
  </si>
  <si>
    <t>Impossible de les joindre pour avoir un conseiller. Se moque totalement des clients. J'ai contacter plusieurs fois mon ancien conseiller par mails et téléphone. Aucune réponse.Je vais retirer mon argent de cet assureur. Qui se moque de ses clients. Fort problème de relationnel. Une honte. 0+0= 0 Qui se moque de ses clients.</t>
  </si>
  <si>
    <t>Generali</t>
  </si>
  <si>
    <t>16/02/2021</t>
  </si>
  <si>
    <t>01/02/2021</t>
  </si>
  <si>
    <t>ludovic-67165</t>
  </si>
  <si>
    <t>L'assureur Rali est très a l'écoute qui répond rapidement, clairement et avec efficacité aux questions demandé.</t>
  </si>
  <si>
    <t>28/09/2018</t>
  </si>
  <si>
    <t>bastien-p-129146</t>
  </si>
  <si>
    <t>Service simple et efficace, facilité de rentrer les informations ainsi que la souscription 
Des prix qui sont aussi assez avantageux en espérant NE PAS AVOIR DE MAUVAISE SURPRISE SI J’AI UN PROBLÈME 
CORDIALEMENT</t>
  </si>
  <si>
    <t>gil1753-77684</t>
  </si>
  <si>
    <t>Ils n ont jamais résilié mon ancienne assurance, je me retrouve à payer 2 assurances et ne répondent même plus à mes mails</t>
  </si>
  <si>
    <t>Magnolia</t>
  </si>
  <si>
    <t>17/07/2019</t>
  </si>
  <si>
    <t>sebbarh-y-117522</t>
  </si>
  <si>
    <t>Je suis satisfait de mon parcours d'adhésion au sein de l'Olivier de l'assurance.
J'espère que mon choix et ma fidélité seront récompensés.
En vous remerciant</t>
  </si>
  <si>
    <t>18/06/2021</t>
  </si>
  <si>
    <t>catala-i-131018</t>
  </si>
  <si>
    <t>Les prix sont bas pour les jeunes conducteurs, avec peu de franchises et tout risques.
A voir dans le temps, imbattables sur les prix ces sur  ! 
bonne couuverture</t>
  </si>
  <si>
    <t>03/09/2021</t>
  </si>
  <si>
    <t>cmdi-62567</t>
  </si>
  <si>
    <t>les conseillers sont impolis, agressifs, on vous impose de changer vos données contractuelles selon leur convenance suite à une conversation téléphonique : ils font ce qu'ils veulent, ils abusent pour manipuler leurs clients!</t>
  </si>
  <si>
    <t>Eurofil</t>
  </si>
  <si>
    <t>22/03/2018</t>
  </si>
  <si>
    <t>badr31-69329</t>
  </si>
  <si>
    <t>Nickel ! Fluide super simple d'utilisation rapide tout se fait par Internet vous avez juste à prendre une photo de vos papiers et les envoyer directement depuis l'espace perso je recommande cette assurance elle est pas cher et sérieuse</t>
  </si>
  <si>
    <t>11/12/2018</t>
  </si>
  <si>
    <t>john-c-127236</t>
  </si>
  <si>
    <t>Site très simple d’utilisation, les prix sont intéressants. Je n’ai eu aucune difficulté à remplir le dossier pour avoir le devis d’assurance auto. Merci</t>
  </si>
  <si>
    <t>09/08/2021</t>
  </si>
  <si>
    <t>lakamri78-65991</t>
  </si>
  <si>
    <t>Bien entre 2010-2015
Je trouve qu'il y a un relâchement des équipes du call center
Très important j'ai voulu céder mon véhicule mais mon dossier sinistre bloqué m'a empêché de prendre une décision car blobloqué administrativement chez direct assurance.</t>
  </si>
  <si>
    <t>05/08/2018</t>
  </si>
  <si>
    <t>01/08/2018</t>
  </si>
  <si>
    <t>tonton89-56997</t>
  </si>
  <si>
    <t xml:space="preserve">Si vous voulez devoir gérer la procédure seul allez-y!
On a l'impression de devoir se débrouiller tout seul. Aucun suivi correct du dossier. On doit faire la liaison avec l'expert et l'entreprise chargée des travaux. Personne n'est informé correctement de l'avancement du dossier. Il faut sans cesse aller à la pêche aux informations. Sans compter les erreurs dans les consignes données, la dernière étant une exigence de paiement de franchise alors que nous ne sommes pas responsable et que le tiers est identifié et a reconnu sa responsabilité, que les constats ont été établis en bonne et due forme. </t>
  </si>
  <si>
    <t>31/08/2017</t>
  </si>
  <si>
    <t>01/08/2017</t>
  </si>
  <si>
    <t>boaz-90372</t>
  </si>
  <si>
    <t>mutuelle toujours présente à nos cotés. J'en suis tout à fait satisfait.</t>
  </si>
  <si>
    <t>09/06/2020</t>
  </si>
  <si>
    <t>pat-76328</t>
  </si>
  <si>
    <t>impeccable service communication ok 
dommage que le service telephonique soit si contraignant (deconection courrante quant on vous appelle apres c'est ok
je vous souhaine une bonne journee ..............</t>
  </si>
  <si>
    <t>29/05/2019</t>
  </si>
  <si>
    <t>soso3009-113587</t>
  </si>
  <si>
    <t xml:space="preserve">C est un catastrophe ces derniers temps chez Mercer. Plus de 2 à 4 mois pour rembourser. Aucune réponse aux mails.
je n en peux plus, j attends un remboursement implant dentaire depuis 2 mois, j en suis 5 relances. Idem sur des soins d'octobre rembourses en janvier.
Je ne sais pas ce qui se passe chez eux.
Et si nous appelons, les conseillers ne savent rien et sont incapables de répondre.
C est ma mutuelle d entreprise, j ai remonté aux partenaires sociaux.
A fuir absolument, il faut le faire savoir par les réseaux
</t>
  </si>
  <si>
    <t>morgane-b-126791</t>
  </si>
  <si>
    <t xml:space="preserve">Tres bien tres sastifesant je recommande
Devis rapide en ligne  conseiller as la disposition du client toujours agréable avec des reponse clair est nette est nous dirige tres bien lors des démarches </t>
  </si>
  <si>
    <t>teddy-b-122891</t>
  </si>
  <si>
    <t xml:space="preserve">Je ne conseille pas du tout Direct Assurance. Déjà qu'ils refusent de nous prendre en charge si on a un problème à moins de 50 km de son domicile. 
Pour cette année 2021, j'ai eu l'agréable surprise de voir ma cotisation augmenter de plus de 8%. Je n'ai pourtant eu aucun accident ou accrochage. En 2020 le nombre d'accidents est en baisse en France, merci le confinement ! 
Aucun élément tangible ne permet de justifier une telle augmentation, à par le bon vouloir de Direct Assurance. 
Aujourd'hui mon assurance me coûte plus cher que lors de ma souscription voilà de ça 5 ans. C'est le second avis que je mets car le premier m'a été refusé. Pour eux, la vérité ne doit pas se savoir. Faites attention si vous choisissez de souscrire, lisez bien les petites lignes minuscules... </t>
  </si>
  <si>
    <t>freymond2005-65199</t>
  </si>
  <si>
    <t>Du grand n'importe quoi, J'espère que les clients de COCOON ne se feront pas piéger et enverront RAPIDEMENT leur lettre de démission comme moi..</t>
  </si>
  <si>
    <t>02/07/2018</t>
  </si>
  <si>
    <t>vinorchan-94479</t>
  </si>
  <si>
    <t xml:space="preserve">Je suis satisfait, moin chere que tout les autres dommage que il n y a pas de mensualisation sinon c'est top 
Rapide et efficace tout ce passe sur l'application </t>
  </si>
  <si>
    <t>17/07/2020</t>
  </si>
  <si>
    <t>fantic305-64002</t>
  </si>
  <si>
    <t>Assurés depuis des années chez AMV ... je suis en train de faire l'expérience de leur manque de professionnalisme !! A déconseiller; l'assistance et les conseils d'un vrai assureur dans des situations litigieuses sont précieux</t>
  </si>
  <si>
    <t>14/05/2018</t>
  </si>
  <si>
    <t>charif-m-111400</t>
  </si>
  <si>
    <t xml:space="preserve">Prix en constante augmentation malgré l'ancienneté du véhicule, aucune informations de la part des conseillers a ce sujet.                            </t>
  </si>
  <si>
    <t>fg31100-86463</t>
  </si>
  <si>
    <t>Service client TOP, toujours très simple avec eux et sans surprises. Je les conseils vivement, les tarifs scooter sont incomparable avec mon autre assurance. Quoi dire de plus .................................</t>
  </si>
  <si>
    <t>29/01/2020</t>
  </si>
  <si>
    <t>massin-o-125286</t>
  </si>
  <si>
    <t xml:space="preserve">Je donnerai mon avis avec le temps sa fait que quelques mois.j’ai connu cette assurance par internet simple et rapide à voir l’évolution pour l’instant ses bien </t>
  </si>
  <si>
    <t>28/07/2021</t>
  </si>
  <si>
    <t>cyril-jade-50977</t>
  </si>
  <si>
    <t>Assureur présent en cas de sinistre (donc quand on en a besoin ) , sérieux ,réactifs et joignables , je ne suis pas prêt de changer.
De plus la MAIF ne prend pas ses assurés pour des pigeons et ils ne remettent pas en doute votre honnêteté en cas de sinistre , la confiance est là.</t>
  </si>
  <si>
    <t>12/01/2017</t>
  </si>
  <si>
    <t>01/01/2017</t>
  </si>
  <si>
    <t>cassandre-m-107972</t>
  </si>
  <si>
    <t>A l'écoute de la clientèle, très claires dans les réponses aux questions, prix plutôt raisonnable, et fan du concept "YouDrive"
Je recommande vivement Direct Assurance</t>
  </si>
  <si>
    <t>25/03/2021</t>
  </si>
  <si>
    <t>gege-96236</t>
  </si>
  <si>
    <t xml:space="preserve">pas de suivi dans le dossier mépris total des courriels incompétence totale avec réponses non argumentées et renvoi  en touche est la norme .prix exorbitant: service rendu 0 pointé. Perdre un client ne perturbe personne pourtant: 2250 euros annuel??? </t>
  </si>
  <si>
    <t>12/08/2020</t>
  </si>
  <si>
    <t>taousser-y-138016</t>
  </si>
  <si>
    <t>Je suis complètement non satisfait de cette assurance, c'est la pire assurance a mon gout je déconseille fortement, du vol a l'état pur car sous prétexte "jeune conducteur"</t>
  </si>
  <si>
    <t>22/10/2021</t>
  </si>
  <si>
    <t>vauriac-d-112138</t>
  </si>
  <si>
    <t>Bonjour,
Je suis satisfait du service ainsi que de l'écoute et l'aide apportée par les personnes du service client lorsque j'ai fait un devis.
Les prix sont relativement correctes chez vous d'où l'ajout du second véhicule familial.
J'espère que cela va perdurer avec le temps...
Cordialement,
David Vauriac.</t>
  </si>
  <si>
    <t>29/04/2021</t>
  </si>
  <si>
    <t>mamounette-67762</t>
  </si>
  <si>
    <t xml:space="preserve">Je suis satisfaite de cet assureur suite au changement de titulaire suite à décès, contrairement à mon assureur auto. Cela s'est fait en rien de temps avec un conseiller à mon écoute.  </t>
  </si>
  <si>
    <t>16/10/2018</t>
  </si>
  <si>
    <t>adrien-53532</t>
  </si>
  <si>
    <t>Bonjour,
Je cotise depuis maintenant 2ans à AG2R la Mondiale, prévoyance obligatoire de mon entreprise. Depuis la naissance de ma fille je cotise également pour elle. Cependant je n'ai reçu aucune carte pour elle ni preuve qu'elle est bien affiliée malgré les nombreuses demandes de mon service RH. Je commence à accumuler un certain nombre de remboursements, depuis 15mois qu'est née ma fille mais impossible de contacter qui que ce soit, c'est le désert. J'ai demandé à mon tour via le service en ligne mais je n'ai reçu jusque là qu'une réponse automatique.
Je déconseille vivement cette prévoyance. A BANNIR !!!</t>
  </si>
  <si>
    <t>23/03/2017</t>
  </si>
  <si>
    <t>laurentm-77010</t>
  </si>
  <si>
    <t>Suite accident corporel. 
Comme beaucoup d'assurance,  ils se foutent royalement de nous...
Temps d'indemnisation inadmissible et inacceptable. 
Bientôt 3 ans et toujours indemnisé à ce jour.
Le service indemnisation m'envoie un mail en me demandant de les rappeler que le matin...
Après de nombreux appels (le matin) toujours répondeur...
Une fois eu, personne peut aimable qui m'envoie pétre...
Je lui explique que j'appelle,  car un mail me demande de le faire....
Bref, tous pareil...
PAYEZ VOS COTISATIONS IMMÉDIATEMENT ET SANS ATTENDRE,  SINON, VOUS SUBIREZ LA COLÈRE DES DIEUX ASSUREURS...
Mais quand vous aurez besoin de nous....nous ne sommes que bon attendre, attendre, et toujours attendre...
C'est merveilleux....</t>
  </si>
  <si>
    <t>droopy58-58051</t>
  </si>
  <si>
    <t xml:space="preserve">Je vouais racheter mon assurance vie chez Swisslife J'ai déjà payé comme prime la somme de 17600.-CHF Pour Swisslife la valeur de rachat est de 9400.-CHF ce qui fait 8200.- de frais de tenue de compte et les risques d'assurance. Cela fait pour12 ans:  683.-CHF par années je trouve cela exorbitant un v... organisé. 
Alors il faut très très bien réfléchir avant de s'engager avec ces assurances.
Sur un simple compte j'aurais mieux été rémunéré.
Il ne faut pas tomber malade et ne plus pouvoir travailler, car si vous avez besoin de votre argent avant la fin du contrat on vous en prends la moité.
</t>
  </si>
  <si>
    <t>13/10/2017</t>
  </si>
  <si>
    <t>yohan-b-127100</t>
  </si>
  <si>
    <t>je suis satisfait du prix et des conditions d assurance pour  mon vehicule de depannage et ayant le permis depuis des années et n ayant jamais d accident meme au niveau professionnelle</t>
  </si>
  <si>
    <t>08/08/2021</t>
  </si>
  <si>
    <t>malek-a-106793</t>
  </si>
  <si>
    <t>Je satisfait du service et prix et la qualité d'écoute de la par de personne j'ai fait le contrat avec.
Sympa, cooperative et bon sens de travail et bien orienter le nouveau client.</t>
  </si>
  <si>
    <t>16/03/2021</t>
  </si>
  <si>
    <t>grllt-86647</t>
  </si>
  <si>
    <t xml:space="preserve">La pub : "véhicule de prêt, pas d'avance de frais en garage agréé" 
La réalité : J'ai choisi mon garage sans que l'on me contredise ou que l'on me donne une liste de garage ( je me suis débrouillé SEUL), donc aucun véhicule de prêt, j'ai avancé l'argent des réparations.
pour information, mon sinistre date de Juillet 2019 ( actuellement en Janvier 2020) j'ai du moi même faire les démarche pour obtenir les informations de l'assurance adverse pour faire avancer le dossier.
Gros amateurisme, je suis pas assureur mais je pense que je ferai bien mieux qu'eux. 
Cerise sur le gâteau, je ne suis pas responsable de mon accident MAIS le montant de mon assurance à quai même augmenté (malgré le bonus annuel).
</t>
  </si>
  <si>
    <t>03/02/2020</t>
  </si>
  <si>
    <t>kashani-saffar-n-122435</t>
  </si>
  <si>
    <t xml:space="preserve">Je suis très satisfaite du service téléphonique. L'agente était compétente, efficace et rapide. Le prix est très correct. J'espère que cela continuera dans l'avenir. </t>
  </si>
  <si>
    <t>05/07/2021</t>
  </si>
  <si>
    <t>chtimoure-63752</t>
  </si>
  <si>
    <t>Ayant eu une panne de voiture, j'ai eu droit à une voiture de prêt (heureusement vu le prix que je paie!) Une fois ma voiture réparée, je n'ai d'autre choix que de poser une demi-journée de congés auprès de mon employeur afin de pouvoir rendre la voiture de prêt même si dans mon contrat j'ai droit à la voiture de prêt encore 6jours!! Quant à l'accueil téléphonique reçu, autant l'automatiser, le résultat sera le même !!</t>
  </si>
  <si>
    <t>03/05/2018</t>
  </si>
  <si>
    <t>demarty-s-128851</t>
  </si>
  <si>
    <t>accueil téléphonique agréable et compétent. tarif très compétitif. je recommande vivement l'olivier assurance. Raide, efficace, professionnel, explicite.</t>
  </si>
  <si>
    <t>20/08/2021</t>
  </si>
  <si>
    <t>amelie-b-133783</t>
  </si>
  <si>
    <t>Pour l'instant pas de problème à voir sur le long terme.
J'espère ne pas avoir de mauvaises surprise choisir une assurance est toujours délicat quelques soit le vehicule</t>
  </si>
  <si>
    <t>21/09/2021</t>
  </si>
  <si>
    <t>nialaplus-60268</t>
  </si>
  <si>
    <t xml:space="preserve"> Incendie:Le groupama ne paye pas et fait trainer jusqu'au tribunal.
J'ai subi un incendie important par tiers identifié en mars 2016
Le Groupama contre l'expertise prétend à une régle proportionnele pour minorer l'indemnisation( l'assureur à visité les lieux quelques mois avant le sinistre).
Je conteste cette proposition,  mais toute tentative de  contact reste sans réponse. Ceci m'oblige à les assigner en justice  et leur permet de gagner du temps.
Depuis j'ai rencontré plusieurs personnes ayant eu des problémes de même nature avec eux .
Cette méthode semble être une politique assumé et systematique pour retarder les indemnisations ou tenter de les minorer  .</t>
  </si>
  <si>
    <t>Groupama</t>
  </si>
  <si>
    <t>08/01/2018</t>
  </si>
  <si>
    <t>gambera-f-126816</t>
  </si>
  <si>
    <t xml:space="preserve">Je suis satisfait du service, les prix sont corrects,le personnel est très accueillant, à l’écoute et sais répondre aux diverses questions posé lors de l’entretien téléphonique </t>
  </si>
  <si>
    <t>tarteur13-116741</t>
  </si>
  <si>
    <t xml:space="preserve">C est un assureur qu il faut fuir. Cette assurance ne devrait pas avoir d agrément.
Vous payez d abord et vous discutez ensuite et vous n avez plus la main.
Il s agit purement et simplement de pratiques commerciales abusives.
Je déconseille vivement </t>
  </si>
  <si>
    <t>11/06/2021</t>
  </si>
  <si>
    <t>benmtp13-86393</t>
  </si>
  <si>
    <t xml:space="preserve">Je suis très déçu par cette assurance , pour signer le contrat on nous harcèle toute la journée mais quand il s'agit de les joindre il n'y a plus personne , ne répond jamais aux mail quand on appelle on tombe sur une opératrice très agressive qui ne vous laisse pas peler et vous prend de haut et surtout qui ne répond absolument pas à vos questions elle se contente de lire son texte qu'on lui a fourni à sa formation !! Je suis très déçu et scandalisé ... pour une assurance qui s'occupe des animaux ils nous traitent moins bien qu' eux !!! Je déconseille ne faites pas la même erreur que moi </t>
  </si>
  <si>
    <t>27/01/2020</t>
  </si>
  <si>
    <t>retraite-89148</t>
  </si>
  <si>
    <t>Cela fait un mois que j'ai souscrit un contrat de santé mutuelle. A ce jour je n'ai toujours pas reçu ni mon contrat signe ni ma carte de tiers payant. Et au vue des avis postés sur le net je suis en plein doute sur le sérieux de cette mutuelle. Impossible de les joindre par téléphone et encore moins par mail n'ayant pas reçu mon contrat donc aucune informations. Cela fait une semaine que les choses durent. Si je n'ai pas de nouvelles rapidement je me demande si je ne vais poas faire opposition sur les paiements et faire appel a mon service juridique.,</t>
  </si>
  <si>
    <t>25/04/2020</t>
  </si>
  <si>
    <t>01/04/2020</t>
  </si>
  <si>
    <t>tiou41-79030</t>
  </si>
  <si>
    <t xml:space="preserve">bonjour alors ZEN'UP est juste un moyen de faire les dossiers part le net mais ceux qui gère son MNCAP et franchement son des nuls donc passer votre chemin </t>
  </si>
  <si>
    <t>07/09/2019</t>
  </si>
  <si>
    <t>01/09/2019</t>
  </si>
  <si>
    <t>florian54-57530</t>
  </si>
  <si>
    <t xml:space="preserve">Lorsqu'il faut payer la il n'y a pas de soucis mais lorsqu'il y a un sinistre c'est une tout autre histoire et j'en suis bien déçu... Une amie de mon fils a fais tomber son téléphone par terre et celui-ci est casiment inutilisable. Malgré plusieurs appels, le déplacement en agence rien y fait. L'opératrice au téléphone n'a pas bien compris l'origine du sinistre je la reprend elle me dis que c'est pareil, au final on me fais comprendre que nous sommes des menteurs et que "l'affaire" va passer devant des experts alors que cela s'est passé il y a plus de 2 mois... On m'a même dis que mon devis de réparation avait était "gonflé" et bah non désolé, si vous aviez des réparateurs agréés cette questions ne se poserai pas. Mais bon cela est toujours pareil je ne pourrais jamais le réparer, mon fils étant étudiant n'a pas les moyens de se racheter un neuf voir de payer la réparation. </t>
  </si>
  <si>
    <t>22/09/2017</t>
  </si>
  <si>
    <t>kalm-80661</t>
  </si>
  <si>
    <t>Aucun respect client ! Est-ce qu'ils ont comme stratégie de faire couler l'entreprise : du jamais vu ! C'est vraiment dommage. Plusieurs relances et personne ne bouge.
Je paie 1200 euros pour l'assurance de mon véhicule. J'ai déclaré un sinistre suite à la dégradation de mon véhicule par un camion dont les témoins avaient laissés le numéro de plaque alors qu'il était garé. Cela fait 17 jours et rien n'a été fait : depuis que le dépanneur a remorqué le véhicule le 18 octobre puis l'a déposé le 22 chez un carrossier agréé, rien n'a été fait. Si ce n'est l'avoir rayé encore d'avantage chez le dépanneur ou dans le garage du carrossier. Quand j'avais appelé le service Sinistres le 19102019, l'homme à qui j'avais parlé n'avait rien à faire de mon problème : '' je ne sais pas où se trouve votre véhicule, moi il me faut un numéro de dossier. Contactez l'assistance puis rappelez-nous''. Il m'a parlé presque en morse, des mots entrecoupés de quelqu'un qui a passé une nuit blanche ; qui est vraiment épuisé et qui n'avait absolument pas envie de parler. Avant de raccrocher, je me suis excusé à deux reprises à ce né-fatigué, pour l'avoir dérangé. J'espère qu'ils vont garder les enregistrements téléphoniques. Ce n'est qu'à mon second appel qu'une dame m'a rassuré sur le lieu où se trouvait le véhicule et a fixé un rdv avec l'expert pour le 22 octobre. Aucun expert ne passe le 22. Je suis parti à l'agence Allianz à deux reprises. J'ai écrit à maintes reprises. J'ai envoyé les photos. Le 25 octobre j'ai informé par écrit le service Sinistres et L'agence Allianz que si rien n'est fait j'allais les mettre en demeure. Ils ont répondu que l'expertise photo ne suffit pas et que je serai contacté par l'expert. J'ai attendu 5 jours et comme rien n'a été fait, le 30 j'ai envoyé une lettre recommandée de mise en demeure avec copie par emails. Croyez-moi, ça ne les a toujours pas fait bouger. 17 jours sans véhicule, même pas un rdv avec l'expert ; et en plus on me fait payer la franchise.
Sur le site français, Allianz se targue et se nargue d'être la 1ère marque d'assurance dans le monde : mais qu'est-ce que ça peut nous faire si vous êtes 0 zéro en France ! Peut-on prescrire une assurance chez Allianz en Allemagne, Suisse ou USA pour que ça marche aussi pour nous !</t>
  </si>
  <si>
    <t>04/11/2019</t>
  </si>
  <si>
    <t>01/11/2019</t>
  </si>
  <si>
    <t>ore-94692</t>
  </si>
  <si>
    <t xml:space="preserve">Votre métier c'est assureur ? Quand on paye il n'y a pas de soucis mais quand on a un problème il n'y a plus personne, nous sommes vraiment pas content après vous, vous nous avez mis dans la merde avec un enfant de 3 ans et demi qui a le bras dans le sac a 900km de chez nous, vous nous avez envoyé en Suisse (1h30 de route) pour une voiture de location que vous n'avez pas réservé. Et comme votre incompétence dépasse le summum vous nous avez fait poireauter 4 heures de plus ( il faut bien qu'on prennent une pause) la blague franchement !! 
PS: pas besoin de virer mes commentaires, je le ferai jusqu'à ce que j'ai un commercial compétent au téléphone afin de nous faire rembourser </t>
  </si>
  <si>
    <t>20/07/2020</t>
  </si>
  <si>
    <t>ptibisou-33100</t>
  </si>
  <si>
    <t>Bonjours,
après avoir eu mon véhicule vandalisé est irréparable mon assurance GMF chez qui nous avons 2 contrats auto 1 habitations et 1 multirisque ,
nous a pris en charge seulement pour 8 jour le véhicule de remplacement, aujourd'hui 18 jour de location sont à mes frais à hauteur de 480 euro ,je trouve absolument scandaleux venant de la part de cette enseigne de la marnière de traiter ses clients les plus fidèles . car je travaille donc je d autre choix que de payer à mes frais 
Aujourd'hui je ne peut plus prolonger car j'ai déjà laisser une bonne partie de mon salaire vraiment merci 
À éviter vraiment car je trouve merquin d agir de la sortes ..</t>
  </si>
  <si>
    <t>23/09/2017</t>
  </si>
  <si>
    <t>spimpolo-l-115640</t>
  </si>
  <si>
    <t xml:space="preserve">Les prix me conviennent .
Service client au téléphone très aimable,rapidité et compréhension au top.
Attente maintenant de ma carte définitive.
Cordialement 
</t>
  </si>
  <si>
    <t>02/06/2021</t>
  </si>
  <si>
    <t>jose-d-131484</t>
  </si>
  <si>
    <t>je suis satisfait du tarif choisi et de la rapidite d execution pour souscrire l assurance comparee a d autres propositions plus cheres et plus lentes</t>
  </si>
  <si>
    <t>06/09/2021</t>
  </si>
  <si>
    <t>mamie-78113</t>
  </si>
  <si>
    <t>tres statisfaite de ma mutuelle ou je suis depuis 2019</t>
  </si>
  <si>
    <t>sonia-j--99142</t>
  </si>
  <si>
    <t>Adhérente à SANTIANE depuis Septembre 2020, avec 2 contrats un mutuelle et un prévoyance, c'est une vrai catastrophe, je n'ai jamais vécu un telle prise en charge proche de 0 !
Les appels sont mis en attente pour au moins 45 mn avant de pouvoir poser la moindre question, le retard de traitement des dossiers EXCEPTIONNEL, et la disponibilité des conseillers INEXISTANTE et la pertinence des réponses C'EST DU GRAND N'IMPORTE QUOI  !!! Je vous déconseille d'envisager une souscription !</t>
  </si>
  <si>
    <t>23/10/2020</t>
  </si>
  <si>
    <t>titouan-93088</t>
  </si>
  <si>
    <t>Je suis satisfait du questionnaire et des prix. Direct Assurance  a beaucoup d'avantages pour un jeune conducteur comme moi. Je le recommanderais à mes proches sans problèmes</t>
  </si>
  <si>
    <t>02/07/2020</t>
  </si>
  <si>
    <t>tessybaddy-93350</t>
  </si>
  <si>
    <t xml:space="preserve">l'option connectée me plaît, les tarifs semblent plus intéressants qu'ailleurs et plus flexibles également. les franchises sont toutefois un peu plus élevées qu'ailleurs </t>
  </si>
  <si>
    <t>07/07/2020</t>
  </si>
  <si>
    <t>anne-94624</t>
  </si>
  <si>
    <t xml:space="preserve">Je regrette de ne pas pouvoir voir le contenu des garanties notamment Bros de glace (franchisé ou pas)
Obliger de renseigner plein de pages et de recevoir le devis pour lire cette condition essentielle </t>
  </si>
  <si>
    <t>jibou-111794</t>
  </si>
  <si>
    <t>maison fissurée, déclaration catastrophe naturelle en bonne et due forme, expert de l'assureur envoyé sur place. résultat refus de l'expert pour la prise en charge des travaux au motif: fondations mal faites ?! question: comment évoquer un tel motif sur un visuel extérieur et une étude de sol sans avoir vu les dites fondations ? 
je précise que l'expert avait laisser entendre une probable cause des fissures par la sécheresse. pour conclure cet assureur se vante d'être proche de ses "adhérents" lors de problèmes et ce qu'il propose est un contre-expertise, à mes frais bien sur avec bataille d'experts devant le tribunal ... en résumé la mutualisation n'est pas un gage de proximité</t>
  </si>
  <si>
    <t>27/04/2021</t>
  </si>
  <si>
    <t>regis-c-108376</t>
  </si>
  <si>
    <t>les prix sont cher je roule très peu .Je fais à peine 5000 Kms par ans je trouve les tarifs cher pour les kilomètres fait dans une année je pense que vous pouvez faire un peu d'effort pour vos tarifs merci mes salutation</t>
  </si>
  <si>
    <t>sabanosse-m-129224</t>
  </si>
  <si>
    <t xml:space="preserve">Très satisfaite du service , de très bon conseils! Je recommande l’Olivier assurances poire ses tarifs plus qu’abordable et là gentillesse des conseillers! </t>
  </si>
  <si>
    <t>rs232-129323</t>
  </si>
  <si>
    <t>top, bien , on verra au premier pepin pour confirmer. par contre, nous obliger à mettre une avis c'est loin d'être top. si j'ai signé, c'est qu'il me semble que j'adhère au service</t>
  </si>
  <si>
    <t>eric--b-127117</t>
  </si>
  <si>
    <t>je suis satisfait de ce service qui est simple et précis . les tarifs sont avantageux. 
De plus, dès le devis finalisé, après réglement par CB notre véhicule est aussitot assuré.</t>
  </si>
  <si>
    <t>berrerdhoche-s-108679</t>
  </si>
  <si>
    <t>C'est une assurance très compétitive
Réponse très rapide et envoi de la carte d'assurance en quelques minutes
Je recommande cette assurance les yeux fermés</t>
  </si>
  <si>
    <t>31/03/2021</t>
  </si>
  <si>
    <t>nelson-g-107983</t>
  </si>
  <si>
    <t xml:space="preserve">Hotline très sympathique et réactive. La personne était bien à l'écoute de mes besoins, et à fait son possible pour répondre à ma demande, malheureusement de manière négative. </t>
  </si>
  <si>
    <t>tom-89810</t>
  </si>
  <si>
    <t>Bonjour, plus de 2 mois après le vol de mon véhicule , toujours pas d'INDEMNISATION .  IMPOSSIBLE d'avoir un même interlocuteur à la MACIF (qui est en télétravail....difficilement joignable ...)  ma cotisation est toujours prélevée ....Je n ai plus de voiture pour aller travailler. ça fait 2 mois que j 'envoi : mails , appels , recommandés ....Un dossier aussi gros que l'annuaire téléphonique ***TROP C EST TROP   ***Quand j'ai souscrit à LA MACIF , j'imaginais qualité de service , professionnalisme .... *** Enorme déception *****</t>
  </si>
  <si>
    <t>21/05/2020</t>
  </si>
  <si>
    <t>michel-p-111835</t>
  </si>
  <si>
    <t xml:space="preserve"> Entretien téléphonique pour avoir de l'aide pratiquement impossible, trop d'attente . Déclaration en ligne oui mais pourquoi faire compliqué quand on peut faire simple pour un accident sans gravité.
 </t>
  </si>
  <si>
    <t>steve-99306</t>
  </si>
  <si>
    <t>prix et satisfaction reactivitee en cas de sinistre interlocuteur tres fiable par contre trop de papiers demandee et des factures que l on ne garde pas toujours</t>
  </si>
  <si>
    <t>27/10/2020</t>
  </si>
  <si>
    <t>chaille-65613</t>
  </si>
  <si>
    <t>Emprunt fait en janvier 2016 avec assurance incapacité temporaire de travail.
Mars 2018 demandé de prise en charge car arrêt de travail longue durée pour intervention sur poignet
Juillet 2018 notification de refus de prise en charge car je prend levothyrox pour thyroïde depuis 10 ans ..mais ils n ont jamais demandé aucun questionnaire de santé...</t>
  </si>
  <si>
    <t>19/07/2018</t>
  </si>
  <si>
    <t>jerry-95189</t>
  </si>
  <si>
    <t>cela fait plus de deux mois que j'ai changé de voiture et que je n'ai toujours pas reçu mon contrat , afin que je sache au moins comment je suis assuré(par contre j'ai reçu au moins 8 attestations d'assurance),j'ai l'impression que je parle dans le vide. tout cela en passant par l'agence des Andelys 27.</t>
  </si>
  <si>
    <t>25/07/2020</t>
  </si>
  <si>
    <t>menard-g-109676</t>
  </si>
  <si>
    <t>Je suis très satisfaite, la prise en charge à été rapide, j'ai eu une réponse à toutes les questions posées. Les prix sont très abordables.
Services agréable. Rapide et efficace</t>
  </si>
  <si>
    <t>a-98981</t>
  </si>
  <si>
    <t>A fuir ! Attrayant avec des prix au top  mais dès que vous avez un souci de voiture vous le payez très cher !!!! Le conseiller dédié vrai....mais contenu mails erronés et surtout pas en adéquation avec la réalisation des délais et réparation chez le garagiste.
Bref suis retourné chez mon ancien assureur. Souscription plus chère mais prise en charge et remboursement réel.</t>
  </si>
  <si>
    <t>20/10/2020</t>
  </si>
  <si>
    <t>florence-m-131701</t>
  </si>
  <si>
    <t>Bonjour
Les tarifs sont très attractifs.
Le site internet est facile d'utilisation.
Je suis très satisfaite de vos services. J'espère que cela continuera.
Cordialement</t>
  </si>
  <si>
    <t>07/09/2021</t>
  </si>
  <si>
    <t>vert-79608</t>
  </si>
  <si>
    <t>Mauvais. L'assistance est mauvaise. Pour l'aide aux personnes et pour l'assistance Technique. Sous couvert de mutualisme, on cherche à défendre des tutelles sur les personnes. Il n'y a aucun respect des handicapés.</t>
  </si>
  <si>
    <t>30/09/2019</t>
  </si>
  <si>
    <t>uthayakumar-n-122335</t>
  </si>
  <si>
    <t>L'inscription est pratique, facile et rapide. Le prix est un peu élevé par rapport à la concurrence. Mais il y a plus de choix en therme de police, et niveau d'assurance.</t>
  </si>
  <si>
    <t>04/07/2021</t>
  </si>
  <si>
    <t>isabelle-g-131522</t>
  </si>
  <si>
    <t>Je suis satisfaite du tarif. Bon contact téléphonique. Très satisfait de ma souscription, tarifs vraiment compétitifs, conseillés réactifs par téléphone</t>
  </si>
  <si>
    <t>didier-99997</t>
  </si>
  <si>
    <t xml:space="preserve">1 moto 600 cm3 1 scooter 125 cm3 + 2 voitures en tous risques Twingo 2012 et C3 2017
Tous dorment en parking. Sur la C3 Bris de la vitre près de rétro, vol du capot, phares, calandre, parechocs, batterie...
Même en tous risque l'assurance ne veut rien prendre en charge. Ces pièces pourtant essentielles au bon fonctionnement du véhicule sont considérés par la Mutuelle des Motards comme des accessoires.
Si ce litige n'est pas résolu je ferai surement une procédure judiciaire
Vraiment scandaleux
"Je ne suis pas satisfait de mon assurance auto. Je suis chez Mutuelle des motards depuis 2 ans." </t>
  </si>
  <si>
    <t>Mutuelle des Motards</t>
  </si>
  <si>
    <t>11/11/2020</t>
  </si>
  <si>
    <t>batista-c-115397</t>
  </si>
  <si>
    <t>Je suis ravi du prix qui m’a été proposé, très abordable. Je souhaiterai assurer un autre véhicule de marque Citroën C Crosser, modèle 2009 et acheter il y a une semaine. Pour la fiat, je garde l’assurance.</t>
  </si>
  <si>
    <t>sarah-a-115018</t>
  </si>
  <si>
    <t xml:space="preserve">ZEN UP propose un service rapide, facile pas cher et tout en ligne.
Il est appréciable de ne pas avoir à faire de dossier papier avec des échanges par voie postale.
</t>
  </si>
  <si>
    <t>27/05/2021</t>
  </si>
  <si>
    <t>dim955-86184</t>
  </si>
  <si>
    <t>Très très mauvaise expérience!!!
Mutuelle à fuir! 
A la suite d'une repose de contention d'orthodontie on m'avait annoncé être pris en charge totalement, puis après intervention on m'annonce un remboursement dans un an car le soin n'est soit disant pas terminé. Faux le soin est terminé, cest une intervention faite en une seule fois et qui dure entre 10 et 15 ans.
Mon adhésion est ouverte jusqu'à fin janvier et maintenant on m'annonce même un remboursement au prorata soit 2mois sur 340euros.
Les choses annoncées ne sont pas respectées
A déconseiller fortement
Pour ma part le dossier n'est pas clôturé..</t>
  </si>
  <si>
    <t>22/01/2020</t>
  </si>
  <si>
    <t>hu-94494</t>
  </si>
  <si>
    <t xml:space="preserve">Assuré depuis plus de deux ans chez direct assurance je viens de remarquer que le tarif a pas changer depuis le début du contrat sans avoir de sinistre (voir augmenter avec le changement d'adresse) j'ai donc refait un devis en ligne en rentrant les mêmes informations, il est passé avec 500 euros de moins...  </t>
  </si>
  <si>
    <t>18/07/2020</t>
  </si>
  <si>
    <t>alinette-51225</t>
  </si>
  <si>
    <t>Néoliane me couvre depuis deux ans maintenant et étant très pres de mes remboursements je suis contente d'être remboursée très rapidement car c'est tout se qua j'attends de ma complémentaire avec le montant de ma cotisation mensuelle.</t>
  </si>
  <si>
    <t>el-had-m-121347</t>
  </si>
  <si>
    <t>Je suis satisfait au service de direct assurance,
simple et rapide, service client toujours a l'écoute de ses client
question tarif c'est au juste tarif ,pas d'offre de fidélité</t>
  </si>
  <si>
    <t>lico--134119</t>
  </si>
  <si>
    <t xml:space="preserve">Mon voisin déverse ses eaux usés dans ma cave l immeuble est fissuré et les fondations sont touchées.
Leur expert dit que je ne suis pas assuré pour ça !!?!!
Je dois me débrouiller seul face a l assurance adverse.
Pacifica … à fuir </t>
  </si>
  <si>
    <t>23/09/2021</t>
  </si>
  <si>
    <t>antonio-e-138111</t>
  </si>
  <si>
    <t>Les prix ne me conviennent pas mais il faut assurer les véhicules donc pas le choix...De plus, les procédures pour obtenir les papiers sont longues. Il faudrait améliorer le service.</t>
  </si>
  <si>
    <t>23/10/2021</t>
  </si>
  <si>
    <t>francoisvi-103658</t>
  </si>
  <si>
    <t xml:space="preserve">Je veux faire part de mon profond mécontentement de la Matmut, au niveau de l'assistance rien à redire mais la Matmut c'est autre chose.
Mon véhicule a été sinistré le 18/12/2020(départ de fumée du compartiment moteur, sans aucune flamme car vite maitrisé par les pompiers),la Matmut décide de le transférer chez un épaviste sans que l'expert ne l'ai vu et puisse donner son avis. L'expert se déplace donc jusque chez l'épaviste et conclu à la réparabilité de la voiture.
La voiture est transférée dans un garage pour y être réparée (le 18/01/2021).  Comme par hasard le montant des travaux ne dépassent pas le montant de la franchise !!.Le garage qui devait réparer la voiture refuse de le faire.J’appelle la Matmut (avec beaucoup de mal à les avoir) pour transférer la voiture vers un autre garage, mais la personne au téléphone me dit qu'il faut appeler l'assistance pour qu'ils s'en charge , j'appelle l'assistance qui me dit que c'est l'assurance qu'il faut appeler !! et ainsi de suite depuis 15 jours.
Bref nous sommes le 4/02/2021 et la voiture n'est toujours pas réparée car je pense que en fait les frais de remise en état dépasseront un peu le montant de la franchise et la Matmut ne tiens pas à mettre la main à la poche, pourtant je suis un bon client, je n'ai jamais eu de sinistre depuis que je suis à chez eux (2011) et les cotisations ont bien étés encaissées .
Tout ça pour dire que je suis très déçu de cette assurance.    </t>
  </si>
  <si>
    <t>04/02/2021</t>
  </si>
  <si>
    <t>betsy-80487</t>
  </si>
  <si>
    <t xml:space="preserve">tres mécontent de cette assurance,sous prétexte que le médecin du travail qui prolonge mon arret dit que je suis en capacité de conduire mais encore trop juste pour les tâches de marche,chargement et déchargement du camion ne pouvant mème pas mettre de chaussure de sécurité cette assurance me coupe les remboursements   </t>
  </si>
  <si>
    <t>Afi Esca</t>
  </si>
  <si>
    <t>28/10/2019</t>
  </si>
  <si>
    <t>fatallah95-85568</t>
  </si>
  <si>
    <t xml:space="preserve">Je suis chez vous depuis des années et je n'ai aucun avantage client. Pas de réduction sur les grosses cotisations..  je me suis rendu à l'agence de Argenteuil pour être très mal reçue. Incapable de faire le moindre effort pour essayer de me conserver. </t>
  </si>
  <si>
    <t>06/01/2020</t>
  </si>
  <si>
    <t>sihem30-86526</t>
  </si>
  <si>
    <t xml:space="preserve">Dégât des eaux dans ma résidence principale ( sinistre en cours ) la gestion de mon dossier est une catastrophe ! 170 euros de remboursés sans que jamais on ne me demande les dommages précisément . Estimation faite au hasard , téléopératrice mal polie ! 
11 ans que je suis à la matmut c'est une honte . 
Je vais résilier mon contrat dès aujourd'hui . </t>
  </si>
  <si>
    <t>30/01/2020</t>
  </si>
  <si>
    <t>judit-c-117643</t>
  </si>
  <si>
    <t xml:space="preserve">Je suis satisfaite de cette assurance super prix pour les jeunes conducteurs et un suivis au top, toujours à l’écoute et très bon services clientèle. </t>
  </si>
  <si>
    <t>20/06/2021</t>
  </si>
  <si>
    <t>ln-alicia-55829</t>
  </si>
  <si>
    <t xml:space="preserve">J'ai cette mutuelle d'entreprise depuis mon arrivé, nous étions chez Ag2r Reunica maintenant Ag2r (même groupe) et cela est toujours catastrophique.
Depuis maintenant 4 semaines, j'attends mes remboursements d'orthodontie adulte (qui ne sont pas pris en charges par la sécurité sociale).
On me balade en me disant qu'il manque des dates, je renvoie la facture, ensuite ne peut être pris en compte car elle est a cheval entre deux contrats (malgré un appel le matin avant d'envoyer ma facture par email à vos service pour le prorata de cette facture).
une semaine après rebelote facture refusé carrément.
Depuis le début de la semaine je me retrouve avec trois interlocuteurs différent du centre de gestion qui sont incapable d'accordé leur violon sur leur réponse.
On fini par me dire qu'il faut un décompte de la sécurité sociale (difficile pour une facture sur lequel il est annoté non remboursé par le S.S) et également un non remboursement de Reunica (vous avez les bordereaux de résiliation en votre possession), comme tout mouton je renvoi le bordereau de résiliation de mon entreprise et la encore email du centre de gestion.
On est censé me rappelé depuis lundi, si je n'ai pas le service en ligne d'ici vendredi 07 juillet 2017, j'enverrai un courrier recommandé à la répressions des fraudes, pour non respect du contrat.
Car faire durer le délai de remboursement sur des dossiers est inacceptable, dès qu'il s'agit de sortir de l'argent, le moindre prétexte est bon pour faire durer les remboursements.
</t>
  </si>
  <si>
    <t>05/07/2017</t>
  </si>
  <si>
    <t>01/07/2017</t>
  </si>
  <si>
    <t>dhikra-o-107613</t>
  </si>
  <si>
    <t>je suis satisfait du service de souscription. tout s'est passé rapidement. et l'interface est simple et pratique d'utilisation. 
Mon époux est plutôt satisfait du service</t>
  </si>
  <si>
    <t>sonia-t-137986</t>
  </si>
  <si>
    <t>je suis satisfaite du service de la rapidité de la qualité et des renseignements que j'ai pu obtenir trés contente de la qualité téléphonique professionnel</t>
  </si>
  <si>
    <t>gaetan-t-131561</t>
  </si>
  <si>
    <t>Pour mon adhésion comme nouveau client, site bien expliqué et facile d utilisation. A voir dans le temps et en cas de sinistre .
Niveau tarifs, très attractifs,  regrette juste le remboursement de la valeur du casque (250€).</t>
  </si>
  <si>
    <t>tialmart-97172</t>
  </si>
  <si>
    <t>un dossier commencé en mai pas de demande complète mais par documents.et ce .... jusqu’en juillet !mi aout complet dossier en validation paiement sous 8 jours 8septembre pas de nouvelle malgré l'obligation de versement !Chez allianz on aime faire durer les dossiers.
Un assureur à éviter.</t>
  </si>
  <si>
    <t>vie</t>
  </si>
  <si>
    <t>08/09/2020</t>
  </si>
  <si>
    <t>bobo-138083</t>
  </si>
  <si>
    <t>Je suis satisfait du service.
Les prix sont assez raisonnable .
Le dossier est facile à remplir. 
Juste à voir si l'attestation d'assurance arrive vite sur ma boite mail</t>
  </si>
  <si>
    <t>helene-77524</t>
  </si>
  <si>
    <t>Nous attendons depuis le 18 décembre dernier que la MAAF s'occupe d'un dégât des eaux important. Depuis ce temps, nous ne pouvons plus utiliser la seule salle de bain de l'appartement. L'expert ne fout rien du tout - il promet de téléphoner mais ne le fait pas, ne répond pas aux questions par courrier électronique, ne nous communique pas le bilan des réunions, et est maintenant " parti en vacances pour un mois ". Nous avons dû payer nous-mêmes les réparations car on ne pouvait plus attendre. Je suis absolument dégoûtée par l'incompétence et la mauvaise foi dont fait preuve la MAAF et ses 'experts'.</t>
  </si>
  <si>
    <t>10/07/2019</t>
  </si>
  <si>
    <t>cecile3163-94470</t>
  </si>
  <si>
    <t xml:space="preserve">Satisfaite du prix. Je vais lire le devis en details afin de me décider. Demande de devis rapide. Efficacité du site très bonne. Le site est bien fait. </t>
  </si>
  <si>
    <t>la-na--110935</t>
  </si>
  <si>
    <t xml:space="preserve">Depuis la fusion avec notre assurance allsecur nous rencontrons que des problèmes avec Allianz
Des heures durant à attendre qu’un conseillé vous prend en charge
Un service client qui (rien a faire des clients) 
Des mises en demeures sans savoir pourquoi sachant que il n’ont jamais présenté un Mondat sepa ni à ma banque ni me le demander ( a savoir que lors de changement IBAN il faut avertir le client)
Des conseillers qui se passe la faute entre eux. 
Aucun suivi de la réclamation je ne comprends pas 
Un seul et unique conseil ne vous engagez pas j’imagine si vous rencontrez un problème sur la route ça peut durer des mois 
</t>
  </si>
  <si>
    <t>barbier-m-123703</t>
  </si>
  <si>
    <t>Je suis satisfait du service, le prix est raisonnable pour jeune conducteur et le contrat est rapidement mis en place. Je recommanderai  cette assurance</t>
  </si>
  <si>
    <t>17/07/2021</t>
  </si>
  <si>
    <t>nepost-p-138054</t>
  </si>
  <si>
    <t xml:space="preserve">Je recommande volontier à un ami ! Pour une souscription par internet nous arrivons à les joindre facilement afin d'avoir une correspondance vocale et c'est cela dont j'ai besoin. </t>
  </si>
  <si>
    <t>zz-61391</t>
  </si>
  <si>
    <t>AG2R pratique une politique de non paiement en prétextant des dossiers incomplets et ou un délai de traitement interne de 8 à 10 semaines</t>
  </si>
  <si>
    <t>13/02/2018</t>
  </si>
  <si>
    <t>lalis-57531</t>
  </si>
  <si>
    <t>accueil telephonique desagreable et incompetant.</t>
  </si>
  <si>
    <t>mahieu-t-132193</t>
  </si>
  <si>
    <t xml:space="preserve">Je suis satisfait des prestations proposées,  réactivité,  professionnalisme des interlocuteurs.  A confirmer lors d'un sinistre si prestations annoncées obtenues </t>
  </si>
  <si>
    <t>10/09/2021</t>
  </si>
  <si>
    <t>arnaud-56309</t>
  </si>
  <si>
    <t>Quand je lis tous les commentaire je suis inquiet au sujet de ma résiliation suite a la vente de mon scooter. Perso je ne peut juger de l’efficacité d'April moto n'ayant pas eu de sinistre. Mais je me souvient de ma souscription qui m'avais beaucoup énervé... En effet, il a fallu que je pique verbalement par écrit pour recevoir ma carte verte... Du coup, attendant le remboursement de mes cotisation trop perçu depuis le 15/03/2017 après abattement du prorata du mois engagé ainsi que les 20e forfaitaire dû a la résiliation au cours de la première année, je me demande quand serai-je remboursé... et SURTOUT SI JE LE SERAI ! 
April-moto m'écris que je serait remboursé dans les 40jours ... 40 JOURS ! c'est énorme comme délais, de plus je ne le vois pas stipulé dans mon contrat ce fameux délai... !? Je vais donc me penchez dessus voir avec le service juridique (indépendant d’April moto à savoir ma banque) pour exiger la somme dû, ( oui selon la loi, sans délai contractuel, les sommes dû son exigible n'importe quand !  Comme tout le monde, je n'aime pas voir mon argent dans la poche d'un autre, surtout à nôtre époque !
Sinon à pars cela, aucun soucis avec eux.</t>
  </si>
  <si>
    <t>26/07/2017</t>
  </si>
  <si>
    <t>omar-e-131602</t>
  </si>
  <si>
    <t xml:space="preserve">Je suis tres satisfait par vos services, les prestations sont tres satisfaisantes. l'accueil est au top.Ne changez rien, restez comme ça.
n'augmentez pas vos tarifs
merci
</t>
  </si>
  <si>
    <t>bader-eddine-s-111799</t>
  </si>
  <si>
    <t>je suis satisfait de vos prestations qui ne sont excessifs, le prix me conviens mais je préfère payer à crédit par mois, ça nous les finances à la fin du mois</t>
  </si>
  <si>
    <t>collignon-j-128215</t>
  </si>
  <si>
    <t>Je suis satisfait.
Les tarifs et services proposés restent corrects même si ça reste toujours trop cher pour un véhicule qui parcours moins de 5000Km par an.</t>
  </si>
  <si>
    <t>bigbazar23-68456</t>
  </si>
  <si>
    <t>A fuir, des délais interminables pour les indemnisations en cas d'incapacité de travail, la MGEFI fait appel à la MPF prévoyance qui dépend de CNP assurances. Aucune communication, difficultés à obtenir des renseignements, lenteur.</t>
  </si>
  <si>
    <t>08/11/2018</t>
  </si>
  <si>
    <t>vidon-l-121317</t>
  </si>
  <si>
    <t>nous sommes ravis, trés bon positionnement prix, service client réactif et pertinent.
nous songeons à basculer tous nos contrats chez vous.
Facilité administrative</t>
  </si>
  <si>
    <t>26/06/2021</t>
  </si>
  <si>
    <t>alain-l-116632</t>
  </si>
  <si>
    <t xml:space="preserve">vraiment très surpris agréablement et satisfait des propositions qui m'ont été faites et pour l'instant ne regrette pas mon adhésion à direct assurance </t>
  </si>
  <si>
    <t>10/06/2021</t>
  </si>
  <si>
    <t>sk-76107</t>
  </si>
  <si>
    <t xml:space="preserve">Fuyez!!! Ils envoient des experts qui refusent systématiquement d indemniser. L expert a carrément pris a part l expert de la partie adverse quand celui ci a proposé des solutions. Il a soutenu la partie adverse comme s'il venait defendre leur dossier. </t>
  </si>
  <si>
    <t>21/05/2019</t>
  </si>
  <si>
    <t>jerome-l-105377</t>
  </si>
  <si>
    <t>Je suis satisfait du service. je regrette de payer autant ayant 4 vehicule assuré par Direct Assurance. On ne m a jamais proposé de revoir ma tarification annuelle, donc j en visage de faire une etude à la concurrence.</t>
  </si>
  <si>
    <t>vellone--f-127994</t>
  </si>
  <si>
    <t>Je suis satisfait du servis et le prix et abordable  à voir part la suite comment sa va ce passer en espérant que tout ce passera pour le mieux !!!!!!</t>
  </si>
  <si>
    <t>14/08/2021</t>
  </si>
  <si>
    <t>larry13-100206</t>
  </si>
  <si>
    <t xml:space="preserve">Bonjour, je suis en accident de travail depuis le 25 novembre 2019.Nous avons eu du mal à mettre en place le paiement de notre prêt immobilier. Le premier versement a été effectué le 24 juillet. Puis il demande pièces justificatives sur pièce justificatives mais qu une fois qu on les appelle pour savoir où en est le dossier et après avoir envoyé ces fameux documents 3 semaines auparavant. L exemple en est aujourd'hui même 30 minutes après l appel on reçoit un mail disant qu il manque encore des justificatifs et que ça sera traité que dans 4 semaines.... Je me suis déplacé voir un de leur médecin conseil qui a confirmé ce que dise les médecins, chirurgiens et kinésithérapeutes que je suis allé voir. Mais rien y fait.  En 15 ans de souscription nous les avons jamais sollicité. Leur lenteur administrative leur permette de pas payer en temps et en heure l assurance que nous avons souscrit. Par contre si vous ne payez pas leurs échéances......
À bon entendeur... </t>
  </si>
  <si>
    <t>17/11/2020</t>
  </si>
  <si>
    <t>gg26-137433</t>
  </si>
  <si>
    <t>Dans mon cas AMV propose des couvertures assurances qui correspond à mes besoins pour un tarif très concurrentiel. Je conseil à  tous les possesseurs de moto de demander un devis.</t>
  </si>
  <si>
    <t>14/10/2021</t>
  </si>
  <si>
    <t>ljo-52477</t>
  </si>
  <si>
    <t>Assureur à éviter absolument: Incompétent et vous résilie sans aucune raison sans possibilité de lui faire rectifier ses erreurs injustes. Avec Allianz vous entrez dans un monde UBUESQUE! A fuir de toute urgence!</t>
  </si>
  <si>
    <t>06/09/2017</t>
  </si>
  <si>
    <t>nicole-m-122117</t>
  </si>
  <si>
    <t>ras tous les problèmes sont toujours traités au mieux .L'accueil est toujours chaleureux et efficace .Les informations sont bien diffusées.Le site internet est très bien fait et accessible.</t>
  </si>
  <si>
    <t>02/07/2021</t>
  </si>
  <si>
    <t>grandfred-65202</t>
  </si>
  <si>
    <t>Catastrophique !! procédurier mais ne sait pas respecter ses engagements ! A Eviter au maximum. Fuyez ALLIANZ !!!!!!
J'ai voulu changer d'assurance habitation mais cela a pris 6 mois après des tonnes de documents et des mises en demeure et je ne suis toujours pas rembourse des frais medicaux. Je vais maintenant etre oblige d'envoyer des RAR avant de saisir mon avocat. Rendez vous compte !</t>
  </si>
  <si>
    <t>rejosyl-139604</t>
  </si>
  <si>
    <t xml:space="preserve">GMF s'engage, c'est trop drôle !!! Un conseil : chercher un autre assureur !
Sans incriminer l'agence de Villeurbanne, dont la conseillère Mme C....m'a toujours bien renseignée, je relate rapidement le sinistre dont j'ai été victime. Ma voisine a déclaré (preuve avec photos à l'appui à son assurance la MAIF), un accident car 2 pics en fer provenant de sa terrasse ont glissés et transpercés mon store bane situé en contrebas. Réponses de l'expert TEXA et de la GMF " les dommages
sont consécutifs à la vétusté du store." donc indemnisation : 0
Les pics auraient-ils été, par magie, attiré chez moi ? Mystère ? 
Je veux bien être nommée experte en assurance pour tirer des conclusions aussi "saugrenues". Changez vite d'assureur, vous trouverez sûrement plus compétent chez la concurrence. </t>
  </si>
  <si>
    <t>14/11/2021</t>
  </si>
  <si>
    <t>bruno-manuel-s-128867</t>
  </si>
  <si>
    <t xml:space="preserve">Je suis satisfait de cet offre. Je recommande. Prix très abordable.
Très rapide et facile à réaliser le contrat. 
Direct assurance est une bonne assurance auto </t>
  </si>
  <si>
    <t>fab-79276</t>
  </si>
  <si>
    <t xml:space="preserve">Manque de professionnalisme. </t>
  </si>
  <si>
    <t>18/09/2019</t>
  </si>
  <si>
    <t>joho-109100</t>
  </si>
  <si>
    <t>La macif a des prix superieurs d environ 20 % par rapport a ses concurrents ( matmut par exemple )  leur service est deplorable je les ai quittés car trop mauvaisc</t>
  </si>
  <si>
    <t>03/04/2021</t>
  </si>
  <si>
    <t>dubourt64-102174</t>
  </si>
  <si>
    <t>Assurance qui est très rapide pour sucer le poignon des assurés mais qui est très lente pour résoudre les sinistre et qui est en fait le reflet de la lenteur administrative française. Pour mon sinistre le mail de validation du devis par l'expert a mis une semaine pour arriver à l'artisant (j'ai pu vérifier au prés de l'artisant). Je pense qu'ils en sont restés au stade du pigeon voyageur pour le moyen de transmission.
C'est une assurance que je déconseille</t>
  </si>
  <si>
    <t>05/01/2021</t>
  </si>
  <si>
    <t>emilie-c-127093</t>
  </si>
  <si>
    <t>Très satisfaite de la rapidité à être assurée et du prix. Je recommande vivement et pense avoir choisi l’assurance idéale pour mon scooter. Merci à l’équipe d’april moto.</t>
  </si>
  <si>
    <t>labruyere-64029</t>
  </si>
  <si>
    <t>Assureur à proscrire...
En cas de sinistre, pas d'interlocuteur dédié pour le suivi de dossier au sein du service de dommages aux biens, vous vous devez de rappeler votre historique à chaque contact. Correspondance via courriers recommandés ouverts des semaines après envoi (faute de réponse préalable par courriel). Expertises sous traitées à des experts débordés et injoignables, avec de longs délais avant rendez-vous.
En bref, un vrai calvaire pour l'assuré en cas de sinistre.</t>
  </si>
  <si>
    <t>15/05/2018</t>
  </si>
  <si>
    <t>holveck-d-129845</t>
  </si>
  <si>
    <t xml:space="preserve">Superbe accueil et merci à toute l équipe de tout ces renseignements instructifs et merci encore pour votre temps de réaction et je vous recommanderais à bientôt amicalement mr holveck.. </t>
  </si>
  <si>
    <t>lydie-136161</t>
  </si>
  <si>
    <t>Bonjour, il s'avère que cette mutuelle est chère comparée au privé avec des prestations équivalentes.
Je suis satisfaite d'avoir toujours un interlocuteur pour m'aider dans mes démarches.
Notre carte mutuelle est mal faîte il faudrait la revoir surtout au niveau du numéro adhérent qui est mal signifié.
cordialement</t>
  </si>
  <si>
    <t>06/10/2021</t>
  </si>
  <si>
    <t>nathan-t-125275</t>
  </si>
  <si>
    <t xml:space="preserve">Ça peut aller, mais niveau prix j'espère que cela vas baiser avec le temps.
Sinon asser rapide de s'assurer. En espérant que tous se passe pour le mieux avec eux </t>
  </si>
  <si>
    <t>lilas1932-63146</t>
  </si>
  <si>
    <t xml:space="preserve">Ma mère étant décédée en décembre 2018 elle possédait une assurance vie depuis 1998 mon frère et moi avons demandé le versement en janvier 2018 et avons remis les derniers documents du notaire en avril 2018 nous venons de toucher l'argent début aout après beaucoup de réclamation aucun détail du versement et nous sommes aperçus prélèvement  de 480 euros  soit 960 euros de frais car axa a ouvert 2 comptes assurance vie le 23 mai 2018 réinvestissement nous n avons rien signé nous voulions l'argent de notre mère soit 7 032 euros par part nets de prélèvements sociaux et fiscaux donc nous avons touché 13562 euros par part </t>
  </si>
  <si>
    <t>06/08/2018</t>
  </si>
  <si>
    <t>jess-52304</t>
  </si>
  <si>
    <t>Attention !  danger  ! privilégie la cible des  personnes âgées</t>
  </si>
  <si>
    <t>10/02/2017</t>
  </si>
  <si>
    <t>paak-88726</t>
  </si>
  <si>
    <t xml:space="preserve">Je suis chez Génération depuis 2014 et leur service est totalement dépourvu de qualité !
1 j ai dû moi même indiquer l acte à saisir pour me faire rembourser de mon keratokone en 2015 qui est bien remboursé...
2 je reçois aujourd'hui un refus de paiement car je suis en chevauchement... Mais mes pauvres amis je suis chez vous depuis 2014 et vous n êtes jamais revenu me demander un document depuis et la par magie on peut pas me rembourser... J ai du mal a croire en vos compétences
Pour synthétiser ne passer pas par Génération car ils seront là que lorsque vous n aurez pas besoin d eux...
 Ou alors je suis peut être en liste noire qui sait... Un peu d humour ne fera pas de mal ! </t>
  </si>
  <si>
    <t>06/04/2020</t>
  </si>
  <si>
    <t>marco-77284</t>
  </si>
  <si>
    <t>certainement une des meilleures assurances auto en france,pris en charge lors de problèmes au top,j'ai fait appel a leurs services lors d'une panne a 600km de chez moi 1/2 pour être dépanné et reconduit a l'hôtel pour une nuit puis prêt de véhicule pendant 10 jours, demande de protection juridique suite a malfaçon du garagiste,il ont fait appel a un avocat qui m'a donné des conseils et m'a défendu.résultat mon véhicule récupéré sans frais.</t>
  </si>
  <si>
    <t>mimipinson-64015</t>
  </si>
  <si>
    <t>Traitement d'un problème de sécurisation baie vitrée après un cambriolage</t>
  </si>
  <si>
    <t>chris-129680</t>
  </si>
  <si>
    <t xml:space="preserve">Conseillère très disponible et sympathique. Elle a pris le temps de m expliquetr es démarches à faire en ligne avec patience pour l'ouverture de mon compte personnel et m a guidé pour effectuer ma demande de remboursement. 
Je suis très  satisfaite de cet entretien. 
Cordialement. 
Christelle GRIFFON. </t>
  </si>
  <si>
    <t>26/08/2021</t>
  </si>
  <si>
    <t>ptiteclo06-90292</t>
  </si>
  <si>
    <t>Déçue car je paie 400e de plus qu un nouveau client... et pas de réponse quand je demande la raison.
J ai commencé à 600e la 1ere année et maintenant 1200e !!!</t>
  </si>
  <si>
    <t>07/06/2020</t>
  </si>
  <si>
    <t>sam23-78823</t>
  </si>
  <si>
    <t xml:space="preserve">Payer une assurance auto tout risque pendant 5 ans et se rendre compte que les garanties sont complètement pourries (ma faute) pour vous donner un exemple, même un bris de glace ma été facture avec une franchise de 20 euros alors que je paye 92 euros par mois pour une pauvre petite twingo de 2006 !! Bref ce sont les pires assureurs ya beaucoup de chose à raconter mais évitez cette assurance à tout prix ! </t>
  </si>
  <si>
    <t>30/08/2019</t>
  </si>
  <si>
    <t>wolfie-111060</t>
  </si>
  <si>
    <t xml:space="preserve">Augmentation de 34 % des cotisations sans être prévenu, ne respectent pas les délais  d'envoi des échéanciers de 30 jours mini (quand ils les envoie). Cette année envoi des échéancier par mail le 31 décembre pour une fin de contrat à la même date.
les conseillers reportent la responsabilité sur le gestionnaire.. "nous ne gérons que les cotisations"
6 semaines de délais pour répondre à des questions simples (et ne répond que une fois que les échéances de cotisation ne sont plus honorés), suspend les droits mutuelles pendant ce temps et pas de rétroaction dans le temps. Si vous ne faîtes pas un suivi de vos remboursement en attentes, vous ne verrez pas qu'ils ne remboursent pas, et bien sur, ils ne préviennent pas que des remboursements sont en attentes.
Promettent des remboursement en moins d'une semaine, quand la liaison n'est pas annulée sans raison avec la CPAM....
Seul point positif, moins cher qu'ailleurs, c'est sur mais y'a que ça de bon.
Bref.... les clients ne sont que des porte-feuilles. A fuir
</t>
  </si>
  <si>
    <t>20/04/2021</t>
  </si>
  <si>
    <t>linker-v-137933</t>
  </si>
  <si>
    <t xml:space="preserve">je suis satisfait du service, les prix sont abordables, je recommande l’olivier à ces proches, le service client est toujours disponible, assurance agréable </t>
  </si>
  <si>
    <t>marchammy013-67335</t>
  </si>
  <si>
    <t>Je me suis récemment inscrit chez l'olivier assurances, et j'ai été agréablement surpris. Un des mes amis me l'a recommandé, alors que ça faisait plus de 8 ans que j'étais chez mon ancien assureur. Niveau prix, c'est clairement ce qui m'a fait basculé. Souscription rapide et conseiller sympa, c'est appréciable !</t>
  </si>
  <si>
    <t>04/10/2018</t>
  </si>
  <si>
    <t>chefdeville-m-133226</t>
  </si>
  <si>
    <t>Je sui satisfait de vos services merci de m'accueillir dans votre assurance très service et très rapide veuillez agréé mes sincères salutations merci a votre équipe</t>
  </si>
  <si>
    <t>marie-catherine-b-130030</t>
  </si>
  <si>
    <t>Pratique et facile. Documents clairs. Toutefois le conseiller au téléphone ne savait pas qu’avant la souscription les conditions générales devaient être fournies</t>
  </si>
  <si>
    <t>annick-59261</t>
  </si>
  <si>
    <t>La Maif n'est plus ce qu'elle était (des interlocuteurs et des indemnisations sans soucis !)</t>
  </si>
  <si>
    <t>30/11/2017</t>
  </si>
  <si>
    <t>pat-130374</t>
  </si>
  <si>
    <t>Bonjour, très satisfait de la prestation de Widad qui a correctement effectuée le changement de mail que j'ai demandé. Merci beaucoup ! Je suis tout nouveau auprès de cette assurance et attend de voir pour donner un avis autre. En effet, il faut se prononcer par rapport aux remboursements de soins par exemple. Pour le moment ras.</t>
  </si>
  <si>
    <t>igorswie-53565</t>
  </si>
  <si>
    <t>Service client nul. Pas possible d'afficher le formulaire de contact sous Firefox ou edge. Au téléphone  demande non traitée. Rapport qual/prix très moyen</t>
  </si>
  <si>
    <t>reichard-g-136893</t>
  </si>
  <si>
    <t>Je suis satisfait du contrat les prix me conviennent et la procédure pour s assurer est simple et efficace. Le fait de pouvoir le faire sur internet sans se déplacer est appréciable.</t>
  </si>
  <si>
    <t>jacques-b-116308</t>
  </si>
  <si>
    <t>TRES MECONTENT : VOUS RESILIEZ SANS M'AVERTIR ALORS QUE C'EST LE SERVICE DES CARTES GRISES QUI EST EN RETARD D'UNE JOURNEE PAR RAPPORT A VOTRE DELAI !! IL ETAIT PREVU AU TEL AVEC VOUS QU'A UN OU DEUX JOURS PRES VOUS AURIEZ PU ATTENDRE QUE JE RECOIVE LA CARTE GRISE, ce qui est fait le 08 juin</t>
  </si>
  <si>
    <t>glf-86283</t>
  </si>
  <si>
    <t>Extrêmement déçu par le service client qui m'a demandé d'envoyer des papier et qui n'a pas respecté ce qu'il avait annoncé . Il devait me faire un relbursment par RIB ils l'ont fait par cheque,a ver beaucoup de retard et ce sont trompé de souscripteur</t>
  </si>
  <si>
    <t>24/01/2020</t>
  </si>
  <si>
    <t>jeanchristophe-53469</t>
  </si>
  <si>
    <t xml:space="preserve">l'assureur manipule le client pour augmenter petit à petit son tarif les clauses ne sont pas claires , le contrat imprécis porte à confusion et au final l'assureur avance des règles personnelles qui justifient une augmentation de prix qui pour moi a été de 40% . Il vous font accepter avant de vous envoyer le contrat si bien que vous ne pouvez plus rien faire. </t>
  </si>
  <si>
    <t>22/03/2017</t>
  </si>
  <si>
    <t>mickael-d-122065</t>
  </si>
  <si>
    <t>Je suis ravis du service très rapide efficace et vraiment pas chère je le recommande vivement a mes amis et au autre client et future client qui souhaite souscrire</t>
  </si>
  <si>
    <t>lulu0207--139462</t>
  </si>
  <si>
    <t>J'ai envoyé une facture de remboursement par mail le 11 octobre 2021, à ce jour 12 novembre 2021 toujours pas de remboursement,  j'ai appelé trois fois et chaque fois on me dit que le remboursement est parti...mais toujours rien à ce jour vendredi 13 novembre 2021!!!</t>
  </si>
  <si>
    <t>12/11/2021</t>
  </si>
  <si>
    <t>01/11/2021</t>
  </si>
  <si>
    <t>ortizguy-53437</t>
  </si>
  <si>
    <t>assurance a fuir tres vite</t>
  </si>
  <si>
    <t>21/03/2017</t>
  </si>
  <si>
    <t>dan-98200</t>
  </si>
  <si>
    <t>Je suis toujours très satisfait de la MGP depuis mon adhésion en 1976.
Niveau contact, très satisfaisant,bien qu'ayant changé de résidence depuis peu et ayant quitté Marseille, il n'y a pas de bureau de la MGP à proximité de Mulhouse. Toutefois le contact avec les conseillers MGP est facile et j'ai affaire à du personnel compétent qui prend le temps de me répondre avec compétence.
Le seul bémol que je peux émettre concerne le niveau des cotisations qui ne prend pas en assez en compte la prise en charge à 100% des cotisants.</t>
  </si>
  <si>
    <t>ge-98333</t>
  </si>
  <si>
    <t>Je suis motard , depuis 34 ans jamais un sinistre ni vol,ni rien du tout , après une suspension de permis,le couperet est immédiat chez AMV, résiliation et inscription au fichier des résiliés, aucune discussion....nullllllll</t>
  </si>
  <si>
    <t>05/10/2020</t>
  </si>
  <si>
    <t>piki-100041</t>
  </si>
  <si>
    <t>Cette assurance est à éviter absolument!
Il est impossible de les contacter directement il faut transmettre toutes vos requêtes à votre conseiller LCL qui semble-t-il ne peut communiquer avec CACI que par mail. Malgré les LRAR, CACI ne respecte pas les délais imposés par La Loi Hamon de 10 jours pour répondre à vos requêtes de substitution. Ils font exprès de ne vous répondre qu'une fois votre date d'anniversaire prêt passée pour vous proposer une décote sur votre assurance actuelle. Dans mon cas il me proposait -50% sur les cotisations de mon assurance prêt si je renvoyais leur offre accompagnée d'un mandat de prélèvement qui ne se trouvait pas dans leur courrier. J'ai non seulement répondu dans les temps, avertit mon conseiller LCL que ce mandat était manquant, mais j'ai également refait une LRAR pour demander ce mandat... 3 mois se sont passées et toujours zéro réponse de la part de CACI.
Une société de consommateur vient d'envoyer LCL devant les tribunaux pour ces pratiques démultipliées.
Je déconseille fortement cette assurance emprunteur et souhaite bon courage à toutes les victimes dans mon cas!</t>
  </si>
  <si>
    <t>LCL</t>
  </si>
  <si>
    <t>12/11/2020</t>
  </si>
  <si>
    <t>patrick-t-105677</t>
  </si>
  <si>
    <t>je suis satisfait du service  tarifs corrects  amabilité des conseillers interface simple et pratique étant nouveau client direct assurance  j'attends de voir à l'usage !!!!!</t>
  </si>
  <si>
    <t>mike20260-76495</t>
  </si>
  <si>
    <t>Je vais essayer de me montrer mesurer, car tout ne peut être la faute d'AMV. Si on s'assure à minima (au tiers basique, moto de plus de 10 ans), il faut s'attendre à avoir les garanties qui vont avec...
Chez eux depuis 17 ans (3 véhicules familiaux), bon père de famille respectant les règles de la société (vous savez, ceux qui payent leurs impôts, leurs assurances, roulent avec un permis, ne picolent pas ni ne se drogue, respectent le code de la route, laissent leur place à un vieux ou une dame dans le bus, traversent sur les clous, ont un minimum de sens civique, tout ça, tout ça...) je n'ai jamais eu aucun sinistre et possède depuis plus de 5 ans 50%de bonus.
Bref, accident de moto il y a un mois avec un jeune conducteur grillant le stop. Evitement d'urgence, cascade, urgences, bobos multiples et moto épave.
Le constat est fait le lendemain, envoyé sous 48h avec la foultitude de paperasse qui va avec (20 pages !), passage de l'expert la semaine suivante, contact avec Icare pour l'enlèvement de la machine...mais toujours rien en ce qui concerne la détermination stricte des responsabilités ou le délais d'indemnisation. Le pire, c'est d'apprendre que la partie adverse n'a même pas encore ouvert de dossier...visiblement, le conducteur B n'a pas donné le constat ou son agent attend de voir si ça réagi du côté de l'accidenté... On est pas tous goupillés pareil visiblement.
Pour le pilote/assuré, la sanction est immédiate...devra t-il attendre la chute des feuilles automnales pour se voir rembourser ?
Merci quand même à la bienveillance et à la patience de l'équipe du service indemnisation...mais pour le principal concerné, ces délais sont angoissants. Faut-il se dire que "tant que tout va bien, on peut compter sur son assurance"...et qu'à la première aspérité, les choses se compliquent ?
Merci de démentir tout cela...car je n'aimerai pas devoir aller voir ailleurs.</t>
  </si>
  <si>
    <t>05/06/2019</t>
  </si>
  <si>
    <t>wozniak-s-133223</t>
  </si>
  <si>
    <t>satisfaite du service, rapport qualité prix
je recommande cette assurance. Peut être fidéliser les clients en faisant un tarif dégressif au fur et à mesure des années d'ancienneté.</t>
  </si>
  <si>
    <t>brigitte-79222</t>
  </si>
  <si>
    <t>A la GMF depuis 48 ans, et n'ayant eu que peu de soucis, tout va bien mais là depuis quelque temps cela reste fort à désirer : 
le dernier : un sinistre sur un bâtiment de mon domicile par une voiture roulant vite, le 2 septembre dernier, à 18 h, signalé le 03/029 à 9h, aucun document demandé alors que je pouvais les adresser par internet aussitôt même photos. Je devais être rappelée dans les 48 h..
 Le 11/09 je téléphone pour savoir où cela en est : un courrier m'aurait été adressé le 04/09 (non reçu le 11 et daté du 06/09 !) reçu le 12/09.. On me demande (enfin !) le constat, le devis des travaux. que je m'empresse d'envoyer aussitôt par internet. On me dit dans 3 jours ce sera bon. J'appelle ce matin 16/09: personne méprisante, ne se présentant pas, qui me dit qu'un courrier à l'assureur sera fait pour lui demander son accord (???) quand ? vous serez traitée par ordre d'arrivée. Et l'assureur a quel délai ? 30 jours. Je lui rappelle que la maison est en vente et que c'est urgent, d'autant que l'entrepreneur devra intervenir 3 fois car le batiment est en terre et chaux.. C'est comme si je parlais à un mur ! J'ai raccroché. Assurée à la GMF depuis 1971 !</t>
  </si>
  <si>
    <t>16/09/2019</t>
  </si>
  <si>
    <t>hula-62462</t>
  </si>
  <si>
    <t>je suis plutôt satisfaite de cette mutuelle. Les remboursements sont rapides, je n'ai jamais eu à faire de réclamation. J'apprécie d'avoir été contacter pour une remise à niveau de ma complémentaire. L'accueil est très agréable et la compétence indéniable.</t>
  </si>
  <si>
    <t>19/03/2018</t>
  </si>
  <si>
    <t>bpr16-122045</t>
  </si>
  <si>
    <t>Suite à un accident de la circulation non responsable avec une personne non assurée mais identifiée, l'assurance m'a affirmé que j'allais être assuré. J'ai donc suivi leur procédure (choix de leur garagiste, expertise, dépose de véhicule  en réparation à leur demande) mais il m'ont averti après les réparations que je devais payer le sinistre !!! il y a réel défaut de consil de la part de cet assureur.
A fuir, client depuis 30 ans, sans aucun sinistre depuis 12 ans, il n'ont même pas voulu faire un geste commercial (pour 700 € ) alors que j'ai  8 contrats au total (maisons, véhicule) chez eux et que je paye pour 3000 € de cotisations annuelles.</t>
  </si>
  <si>
    <t>mdbs8-89532</t>
  </si>
  <si>
    <t>1 étoile car on ne peut pas mettre moins : erreurs à gogo on vous prélève des sommes folles non prévues à l'échéancier et on rompt un contrat de 10ans sans vous prévenir. Aucun rappel et aucune communication en cas de problème et cerise sur le gâteau aucune indemnisation en cas d'arrêt d'activité en période de confinement. On fera difficilement pire que cette assurance !</t>
  </si>
  <si>
    <t>11/05/2020</t>
  </si>
  <si>
    <t>casteur-maryse-117894</t>
  </si>
  <si>
    <t>Mutuelle qui rembourse a plus d un mois.mutuelle a fuir..ne s occupe pas des clients difficile a joindre et ne reponds pas aux mails aux reclamations ils continuent cependant a prelever les échéances sans se soucier des remboursements de leurs clients</t>
  </si>
  <si>
    <t>22/06/2021</t>
  </si>
  <si>
    <t>peter58-113745</t>
  </si>
  <si>
    <t>Nous sommes assurés à la Matmut, une tierce personne assurée à la MAAF est rentré dans notre mur d'habitation en voiture au mois de janvier 2021, tous les experts sont passés et on chiffrer les dommages, cependant l'assureur MAAF n'a toujours pas indemenisé notre assureur,  une honte... il utilise tous les recours pour ne pas rembourser, malgré les nombreuses relances qui ont été effectués par la Matmut, 
Quel intérêt pour eux de faire traîner l'indemnisation et quelle image pour cet assureur... ??</t>
  </si>
  <si>
    <t>aime-95433</t>
  </si>
  <si>
    <t>Service lamentable. Ca fait 1 an que je demande ma carte et à ce jour toujours pas reçu malgré mon déplacement jusqu'à Noyelles-Godault et mes multiples envois de documents et appels. Ils me disent toujours qu'ils vont faire le nécessaire, mais toujours rien tout juste bon à demander sans cesse les mêmes documents. Y en a marre à la fin, très déçu de cette assurance. Facile de faire des publicités à la télévision où tout est merveilleux mais ce n'est pas comme ça en vrai. Pour encaisser mon argent tous les mois,là ça va c'est les champions.</t>
  </si>
  <si>
    <t>28/07/2020</t>
  </si>
  <si>
    <t>maudieu-a-125576</t>
  </si>
  <si>
    <t>Performances remarquables en période bahutée / Rare partenaire offrant encore contact personnalisé par agence locale / Suivi et informations utiles par conseiller disponible et compétent //</t>
  </si>
  <si>
    <t>Carac</t>
  </si>
  <si>
    <t>bertu-95785</t>
  </si>
  <si>
    <t>Bonjour. Un expert de la MAIF est venu pour constater les dégâts suite au coup de vent de décembre 2019. Il a écris (taper) son rapport chez moi et sans que je puisse le lire, ou en avoir une copie, il m'a fait signé sur son écran de PC blanc ? Signé quoi? hum...doute ou pas ! As-t-on le droit de faire signé une personne âgée de 77 ans un document sans préalable lui en donner lecture ou copie? J'ai comme l'impression de lui avoir donné un blanc-seing ! Que va devenir ma signature? Merci à vous pour vos conseils. Bernard</t>
  </si>
  <si>
    <t>31/07/2020</t>
  </si>
  <si>
    <t>lyl29-130910</t>
  </si>
  <si>
    <t xml:space="preserve">Contact pris via internet puis par téléphone.  Le commercial s'avère être mon interlocuteur pour connaître mes droits. Pas de chance au moment du changement de mutuelle je dois être opérée suite à un accident intervenu 3 semaines auparavant et une hospitalisation quand j'avais mon autre mutuelle. Neoliane refuse d'intervenir. 1ere déconvenue.  Ensuite je demande le numéro de l'assistance.  J'étais immobilisée à domicile.  Le commercial m'a orienté vers une structure qui ne connaissait pas Neoliane ! À chaque fois que je présente ma carte de mutuelle les pharmaciens, opticiens etc. Restent perplexes. Neoliane ne répond pas ou 3 mois après une multitude de relances. Bref. Je déconseille cette mutuelle qui n'a aucune agence locale et qui se défausse à chaque demande. </t>
  </si>
  <si>
    <t>naeck-j-133639</t>
  </si>
  <si>
    <t>Satisfait du service.
Les prix sont correctes.
Les procédures pour s'inscrire et envoyer les documents sont simples (tous ce fait sur internet, c'est pratique)</t>
  </si>
  <si>
    <t>less15-94862</t>
  </si>
  <si>
    <t xml:space="preserve">Une déception complète. J'avais un sinistre responsable déclaré le 2 juillet. À la date de 22 juillet je suis toujours sans l'avis de l'expert et sans ma voiture. L'assureur a pris 10 jours pour me trouver un garage agrée, ensuite plus d'une semaine pour faire venir un expert et donc encore une semaine minimum à prévoir pour la réparation ! J'ai appelé mille fois à Olivier mais impossible de faire bouger les choses. Et je suis sans voiture de remplacement car il n'y a pas de voitures avec une boîte automatique dans le garage. Et aujourd'hui un des responsables de Olivier m'a refusé de donner une voiture de remplacement via des agences de location. Je voulais souscrire une option payante pour avoir une voiture de remplacement mais on m'a refusé car le sinistre a déjà eu le lieu ultérieurement. Inutile d'appeler au service de réclamation, cela ne change rien </t>
  </si>
  <si>
    <t>22/07/2020</t>
  </si>
  <si>
    <t>benoit-l-108516</t>
  </si>
  <si>
    <t>je suis satisfait du service le prix me convient c'est simple et pratique .
je suis satisfait du service le prix me convient c'est simple et pratique .
je suis satisfait du service le prix me convient c'est simple et pratique .</t>
  </si>
  <si>
    <t>assuranceo-82158</t>
  </si>
  <si>
    <t xml:space="preserve">Service client en mode perroquet,  ils sont tous former pour repeter la même chose , sinistre ouvert depuis début novembre , pas d'information de leurs part , obligé de les appeler H24 , se permettent de dire que je suis en tord alors que non , dépôt de plainte effectuer  et envoyer à l'assurance tout y est , ne font pas bien leurs travaille , l'agent n'était même pas au courant que le l'autre véhicule avait une assurance , </t>
  </si>
  <si>
    <t>20/12/2019</t>
  </si>
  <si>
    <t>mage--nganga-kodia-a-109021</t>
  </si>
  <si>
    <t xml:space="preserve">j'ai appelé une première fois je suis tombée sur une conseillère juste ADORABLE , professionnelle et bienveillante ! un second appel idem une conseilliere joviale et professionnelle ! continuez ainsi pcq c'est un peu de bonheur a chaque appel </t>
  </si>
  <si>
    <t>victoria77-71833</t>
  </si>
  <si>
    <t>Je déconseille cette assurance santé, la gestion de remboursement est médiocre ma carte de mutuelle je l'ai reçu au bout de 5 mois après signature de mon contrat et au moment de résilier la bizarrement ça prend connaissance de votre existences pour ne pas partir. Breff merci à ma conseillère actuelle qui est top pour ceux qui on besoin d'une conseillère honnête et a l'écoute de vos demande p.bouvier@arcanes-reseau.fr</t>
  </si>
  <si>
    <t>04/03/2019</t>
  </si>
  <si>
    <t>01/03/2019</t>
  </si>
  <si>
    <t>b2s-78071</t>
  </si>
  <si>
    <t>Cette assurance  et absolument  a eviter</t>
  </si>
  <si>
    <t>30/07/2019</t>
  </si>
  <si>
    <t>jejeelweon54-55513</t>
  </si>
  <si>
    <t>ça déjà était un dur labeur de changer d'assurance (voiture) pour me retrouver avec Axa après des mois de conflits avec mon ancienne assurance... leurs prix étaient attractifs et je me suis dit que par rapport à ce que j'avais eu avant, ça ne pouvait être pire... Malheureusement pour moi et surtout d'avoir déménagé, le prix de mon assurance a vite changé ! En effet, signaler un changement d'adresse fait augmenter le prix, dans certains cas, de son assurance... A AXA la seule modification qu'ils prennent en compte est d'augmenter la cotisation sans même prendre en compte le changement d'adresse... ce qui fait qu'on a beau toujours les appeler, rien y fait ! Ils prennent en compte le changement d'adresse dans leur tarif mais envoient toujours la carte verte à l'ancienne adresse avec l'ancienne adresse bien entendu... De ce fait, je roule en défaut d'assurance (hé oui la carte verte n'est plus valide avec les dates et l'adresse caducs) et à chacun de mes appels, ma cotisation augmente... Aucune solution ne m'est apportée, sans compter le nombre de fois où j'ai appelé sans avoir eu une personne, où que celle-ci me raccroche au nez, soit désagréable voire même me fasse comprendre que je mens et que j'invente malgré les preuves évidentes sur leur incompétence chronique... Service clientèle catastrophique ! Je me suis même déplacé en agence AXA car je suis client uniquement sur Internet (apparement je n'ai même pas le droit à avoir un référent en agence...) et eux-mêmes n'en reviennent pas du niveau d'incompétence de leur système de plateforme en ligne... Fuyez absolument AXA !! Ils ne cherchent qu'à vous prendre de l'argent sans trouver de solutions...</t>
  </si>
  <si>
    <t>20/06/2017</t>
  </si>
  <si>
    <t>ge-96754</t>
  </si>
  <si>
    <t>Bonjour, il faut savoir que la MGEN n'a plus le monopole pour les mutuelles pour le personnel de l'éducation nationale. J'ai appris cette année que cela avait été libéralisé et d'autres assurances comme la GMF ou AXA ont obtenu l'habilitation par le ministère de l'éducation nationale. Je suis actuellement entrain de réaliser des devis afin de fuir la MGEN aux tarifs effectivement exhorbitants (3012.48 euros pour les 12 derniers mois pour mon conjoint, lui-même adhérent, moi-même et mes 2 enfants, sachant que nous sommes 2 enseignants de 17 ans d'ancienneté seulement - la cotisation est calculée sur le salaire).</t>
  </si>
  <si>
    <t>28/08/2020</t>
  </si>
  <si>
    <t>rupa-c-137383</t>
  </si>
  <si>
    <t xml:space="preserve">Je suis satisfait du service les prix me conviennent j’ai bien pris note de tout j’ai eu votre nom par un de mes enfants qui était chez vous j’ai donc suivie </t>
  </si>
  <si>
    <t>liesab-100941</t>
  </si>
  <si>
    <t>Il y a quelque chose de rassurant lorsque l'on lit les commentaires ; je me dis que je ne suis pas toute seule à être désemparé par cette assurance vie.Papa est décédé le 29/09/2020,ma sœur et moi avons envoyé tous les documents nécessaire et aujourd'hui je reçois un courrier me disant que j'avais mal rempli les documents (documents qui soit dit en passant sont d'un manque de compréhension totale et qui ne précise pas qu'il faut envoyer un RIB et sa photocopie de carte d'identité.Tout cela pour faire trainer le dossier et garder l'argent bien au chaud dans leur caisse). Très désagréable au téléphone et surtout un manque d'empathie à l'égard des personnes endeuillées.Assurance qui me fait honte et qui ne me permet pas de faire mon deuil.Ou est le respect des défunts et de leur famille ??A ne surtout pas recommander !</t>
  </si>
  <si>
    <t>04/12/2020</t>
  </si>
  <si>
    <t>willow-112689</t>
  </si>
  <si>
    <t xml:space="preserve">Comment ça ce fait qu,il est impossible  d avoir une mensualisation  de mon assurance 
Alors les gens à revenus modeste  n ont pas le droit de conduire !!!!!!
Je recommanderais  pas votre assurance </t>
  </si>
  <si>
    <t>benjamin-b-129820</t>
  </si>
  <si>
    <t>Étant déjà client rien n'est pré-rempli pour souscrire une nouveau contrat, les démarches semblent interminables, il faut tout refaire et les justificatifs sont à donner à la pelle ( des relevés d'informations ( ???))</t>
  </si>
  <si>
    <t>quarto-n-132908</t>
  </si>
  <si>
    <t xml:space="preserve">Le services et rapide et bien même si les autres assureurs le prix et légèrement plus bas mais la panne 0km et beaucoup plus avantageuse les autres assureurs propose la panne à partir de 50km! </t>
  </si>
  <si>
    <t>bastien83-69043</t>
  </si>
  <si>
    <t xml:space="preserve"> lire INLAY sur contrat mais ne pas rembourser car écrit INLAY-CORE seul les pro font la différence .Soins dentaires aller voir ailleurs.</t>
  </si>
  <si>
    <t>paola-90864</t>
  </si>
  <si>
    <t xml:space="preserve">Je suis satisfaite des prix proposés les prix me conviennent parfaitement je recommande votre assurance à toute personne de mon entourage               </t>
  </si>
  <si>
    <t>15/06/2020</t>
  </si>
  <si>
    <t>william-b-133711</t>
  </si>
  <si>
    <t>Je suis satisfait du service proposé par l'assurance. En tant qu'étudiant, je trouve les tarifs très attractifs en comparaison avec les autres offres disponibles sur le marché.</t>
  </si>
  <si>
    <t>besson-m-108126</t>
  </si>
  <si>
    <t>Je suis satisfait des services et le tarif me convient parfaitement. le service d’accueil téléphonique est performant et les renseignements transmis sont précis</t>
  </si>
  <si>
    <t>26/03/2021</t>
  </si>
  <si>
    <t>fleuret-t-128021</t>
  </si>
  <si>
    <t>Parfait ! 
Les prix sont très abordables et cela me permet d'économiser un maximum ce qui n'est pas de refus.
Plus les 10% si vous assurez votre voiture en plus de votre moto n'est clairement pas négligeable !</t>
  </si>
  <si>
    <t>joel-77244</t>
  </si>
  <si>
    <t xml:space="preserve">Adherant depuis 2012 , prestations Cegema augmentant regulierement . Tres satisfait d'avoir ete contacte par Santiane .
Passage en revue et propositions d'un nouveau contrat moins onereux et offrant des prestations meilleures </t>
  </si>
  <si>
    <t>gerard-71425</t>
  </si>
  <si>
    <t>Toujours pas récupérer le capital qui m est du suite au décès de ma mère. Mal conseiller commercial incompétent. Ne conseilla generali avec ce commercial.ils m ont fait réglé les obsèques avec mon argent et ne nous a pas dis qu ils étaient en partenariat avec les pompes funèbres général. Aujourd hui le commercial ne répond même pas au message que je lui envoie manque de sérieux mais pour endormir les personnes âgée pour signer un contrat ça il a su le faire</t>
  </si>
  <si>
    <t>18/02/2019</t>
  </si>
  <si>
    <t>damien-t-123739</t>
  </si>
  <si>
    <t>2 eme assurance du a 1 accident non responsable qui a detruit ma moto... je reviens chez april. Efficace et rapide donc je reste chez eux... pourquoi allezbailleurs</t>
  </si>
  <si>
    <t>18/07/2021</t>
  </si>
  <si>
    <t>lemonnier-j-136917</t>
  </si>
  <si>
    <t>Très simple pour l'adhésion en ligne et la transmission des documents. Des prix incomparables avec de bonnes garanties comparées à d'autres assurances</t>
  </si>
  <si>
    <t>11/10/2021</t>
  </si>
  <si>
    <t>francesco-c-127561</t>
  </si>
  <si>
    <t>Je suis trop satisfait. Je suis très satisfait du service.  processus très pratique et j'espère répondre à toutes mes attentes. à l'avenir, je souhaite changer mon mode de paiement en mensuel.  pour le moment je n'ai pas eu l'enregistrement.  Merci</t>
  </si>
  <si>
    <t>11/08/2021</t>
  </si>
  <si>
    <t>fabienneh-57938</t>
  </si>
  <si>
    <t>Depuis plusieurs mois, il est impossible d envoyer un mail ou une pièce jointe depuis un mac, navigateur SAFARI. On me répond qu on y travaille et que bientôt ce sera résolu... Dans combien de mois?</t>
  </si>
  <si>
    <t>10/10/2017</t>
  </si>
  <si>
    <t>le-moal-s-129283</t>
  </si>
  <si>
    <t xml:space="preserve">Je  n’ai pas été satisfaite du premier contact, lors de la souscription des contrats , car beaucoup d’erreurs ont été commises. Heureusement j’ai rappelé et je suis tombée sur des opératrices bien plus compétentes et professionnelles. Merci à elles. Bien cordialement. Mme Le Moal </t>
  </si>
  <si>
    <t>thiery-b-128018</t>
  </si>
  <si>
    <t>Satisfait, prix interessant, demarches simples malgre quelques soucis informatiques. J'essaierais de joindre vos services par telephone pour avoir les derniers renseignements qui me manque.</t>
  </si>
  <si>
    <t>perrin-m-116672</t>
  </si>
  <si>
    <t xml:space="preserve">Le fait d’appliquer une franchise prêt de volant même en cas d'accident non responsable est très décevant.                                                   </t>
  </si>
  <si>
    <t>marie-116591</t>
  </si>
  <si>
    <t xml:space="preserve">J'ai un un accroc sur un spyder Can Am et super assurance très gentil au téléphone et surtout on prend le temps  de comprendre votre problème.
Bref assurez vos 2 ou 3 ou 4 roues chez eux assurance au top </t>
  </si>
  <si>
    <t>mos-104016</t>
  </si>
  <si>
    <t xml:space="preserve">En seulement deux jours de contrat avec eux et des problèmes que je n'ai pas eu en plusieurs années avec d'autres assurances.
Contrat résilié avec perte d'argent mais un grand soulagement !!!
 </t>
  </si>
  <si>
    <t>11/02/2021</t>
  </si>
  <si>
    <t>dani-103708</t>
  </si>
  <si>
    <t>moi je suis chez cegema depuis le premier janvier et la sécurité sociale n a toujours pas les papiers par lequel j ai une mutuelle quand je téléphone a cegema tout est en règle je crois que je vais bloquer le prélèvement et chercher une autre mutuelle</t>
  </si>
  <si>
    <t>05/02/2021</t>
  </si>
  <si>
    <t>jean-christophe-c-126910</t>
  </si>
  <si>
    <t>Les prix me conviennent mais j'aurai aimé pouvoir assurer le véhicule pour le vol, ce qui n'est pas proposé. Ni pour l'incendie d'ailleurs............</t>
  </si>
  <si>
    <t>johnab33-91319</t>
  </si>
  <si>
    <t xml:space="preserve">Satisfait du prix/garantie établie  
Dans une optique de prévoyance assurance recommandé
Très pratique pour les jeunes conducteurs  et abordable  à recommander fortement </t>
  </si>
  <si>
    <t>mohamed-z-107651</t>
  </si>
  <si>
    <t>bonjour je suis satisfait de la relation clientèle  . L'écoute les conseils pour les démarches d'ordres administratif .pour différents types de souscription  .
AMICALEMENT .</t>
  </si>
  <si>
    <t>karseb-57769</t>
  </si>
  <si>
    <t>J'ai fait résilier une assurance auto en mars 2017, et ils ont égaré le courrier de résiliation, et donc mon assurance court toujours. J'ai voulu faire opposition, et le LCL (qui m'a vendu cette assurance) me dit que si je fais opposition, je serai fiché comme mauvais payeur! Surtout n'y aller surtout pas!</t>
  </si>
  <si>
    <t>03/10/2017</t>
  </si>
  <si>
    <t>domdom-65931</t>
  </si>
  <si>
    <t xml:space="preserve">En maladie ordinaire depuis avril 2017 je perçois le complément de salaire enfin en décalé. Et depuis deux trois mois c'est du grand n'importe quoi. Et pour le paiement des primes de fin 2017 j'attends toujours il manque toujours un document que je renvois à chaque fois en attendant je ne perçois qu'une indemnité fois mai 2018 dans l'attente du comité médical. Je vous laisse imaginer dans quelle merdier je suis. J'appelle la plate-forme j'envoie des mais les réponses me laissent pantoise. C'est purement inadmissible. </t>
  </si>
  <si>
    <t>david-m-124585</t>
  </si>
  <si>
    <t>Le service client et sinistre manque de professionnalisme et de serieux dans mes dossiers.
Je m'attendais à de meilleur prix de la part de Direct Assurance et des prix plus raisonable.</t>
  </si>
  <si>
    <t>24/07/2021</t>
  </si>
  <si>
    <t>nicou-60726</t>
  </si>
  <si>
    <t>j'ai aussi passé contrat par l'intermédiaire Santiane, je viens de télécharger ma carte tiers payant elle va du 20/01/2021 AU 19/02/2021?????? Je n'arrive pas à joindre le numéro de téléphone indiqué pour qu'on m'explique,, j'attends toujours une demande de devis demandé j'ai du annuler un rendez vous chez le dentiste .
alors oui fuyez de plus j'ai payé 20 euros de dossier et il ne sont pas capable d'envoyez une carte de mutuelle correcte.
Pour ma prochaine mutuelle j'irais donc  près de chez moi avec une personne en face de moi.
1 an avec eux ça va être long ne faites pas cette bêtise, méfiez vous trop de publicité , ne présage pas  toujours un bon service derrière.</t>
  </si>
  <si>
    <t>27/01/2021</t>
  </si>
  <si>
    <t>peggy--r-116342</t>
  </si>
  <si>
    <t xml:space="preserve">Bonjour, 
L' accueil téléphonique est parfait.
 Votre conseillère est très efficace et agréable. tarifs attractifs.
Je suis satisfaite pour le moment.
Cordialement
</t>
  </si>
  <si>
    <t>geraldine07-71069</t>
  </si>
  <si>
    <t xml:space="preserve">Apres un harcèlement téléphonique (jusqu'à 7 appels dans la même journée ), la chargée clientèle du mandataire m'a dit qu'elle m'envoyait le contrat d'une prévoyance accident ainsi que d'une protection juridique. Après une conversation tres musclée à lui dire que je ne voulais rien elle m'a dit que je recevrais les contrats et que le Prelevement se ferait le 5 de chaque mois. Là je lui répond qu'elle n'a pas mes coordonnées bancaires et là à ma grande surprise elle me donne mon iban. Je n'en croyais pas mes oreilles. Je lui réitère le faites que je ne veux rien. Que nenni . Je reçois les contrats . J'appelle Neoliane les service client. Qui me dit que c'est le dernier jour pour me rétracter, que je peux le faire par le site internet. Elle me donne la marche à suivre. Elle me dit aussi que tout serait arranger. Je la préviens ayant des connaissances bancaires que le Prelevement s'il se présente je demande un remboursement avec une révocation derrière ( comme c'est une 1 ere présentation "First") on ne peux rien faire tant qu'il n'a pas été debité. Elle me dit de ne pas m'inquiéter, le contrat sera clôturé sans probleme au 5 fevrier. Aujourd'hui je vais sur ma banque en ligne et oh surprise un Prelevement de 69.50 " drôle de nom" . Bizarre, j'appelle ma banque et oh surprise en faisant des recherches c'est Neoliane qui prélève. JE SUIS EN COLERE DÉPITÉE </t>
  </si>
  <si>
    <t>cassandra-h-133594</t>
  </si>
  <si>
    <t>Je suis satisfaite du tarif et le prix convient à mes attentes. Mon conjoint étant passer chez vous il y a peu, cela m’a consoler à faire appel à vous pour ma voiture.</t>
  </si>
  <si>
    <t>poune44-138824</t>
  </si>
  <si>
    <t>Tombé en panne d'embrayage et de rupture moteur sur une bretelle d'entée de 4 voies rapides, téléphoné à la GMF qui m'a demandé de téléphoner au 112 pour Gendarmerie et dépanneur spécifique sur ce type de voie.
In tervention rapide environ 20 minutes entre contact GMF et dépannage</t>
  </si>
  <si>
    <t>03/11/2021</t>
  </si>
  <si>
    <t>jean-yves-a-134457</t>
  </si>
  <si>
    <t>je suis satisfait du service je suis satisfait du service je suis satisfait du service je suis satisfait du service je suis satisfait du service je suis satisfait du service je suis satisfait du service</t>
  </si>
  <si>
    <t>deleur-103934</t>
  </si>
  <si>
    <t>Une assurance à fuir,on m'a résilié mon contrat au 31 Décembre 2020 ,et dans le même temps j'ai reçu ma carte mutualiste pour 2021.Mais en Janvier pas de prélèvement ,j' envoie un mail et là surprise on me réponds que je suis radiée depuis le 31/12/2020.
Aucun avertissement ,et je n'ai plus de couverture complémentaire santé ouf ,je n'ai pas eu besoin de soin...Mais quand je regarde pour trouver une mutuelle sérieuse il n'y en a pas hélas ,à chaque fois avis médiocre ,le pire c'est qu'on a pas le choix !!!!!!</t>
  </si>
  <si>
    <t>10/02/2021</t>
  </si>
  <si>
    <t>rech--129181</t>
  </si>
  <si>
    <t>Ils vous font un super tarif afin de vous récupérer, puis un mois après il vous contacte en disant qu’ils sont désolés mais une erreur a été faite par le responsable d’agence et qu’ils doivent augmenter ma cotisation de quasiment 300€.
Personnes incompétentes, impossible à joindre, discours différents à chaque conseillers. 
Et j’imagine lors d’un sinistre….
À fuire d’urgence.</t>
  </si>
  <si>
    <t>sonia-r-129525</t>
  </si>
  <si>
    <t>Devis établit en un rien de temps, résiliation faite par direct assurance, rapide efficace rien a redire. je conseille DIRECT ASSURANCE.
Cordialement.</t>
  </si>
  <si>
    <t>nadege-m-115929</t>
  </si>
  <si>
    <t xml:space="preserve">je suis très satisfaite de cette assurance.
le service client est efficace et l'application est simple d utilisation.
Assurance à recommander . 
cordialement </t>
  </si>
  <si>
    <t>diakite-i-125819</t>
  </si>
  <si>
    <t>Je suis très satisfaite du service. Les prix me conviennent. Très simple et très pratique. J'envisagerai de parler à mes connaissances proches. 
Merci</t>
  </si>
  <si>
    <t>31/07/2021</t>
  </si>
  <si>
    <t>na2s-du68-51084</t>
  </si>
  <si>
    <t xml:space="preserve">M6A26996/SISAH
Client AMV depuis 2013, deux moto assuré, zéro sinistre.
Je suis parti en vacances pour une période de quelques mois, à mon retour, garage forcé et plus de véhicule.
Je porte plainte appel AMV, leur envoi les documents, à ce moment je suis confiant car je vois que sava vite. Ensuite je vois que sa deviens un jeu d'envoi de courrier, il m'envoie des courrier et évidemment je leur répond en leur envoyant tout les documents demandés. Le dossier à la fin est complet plus aucun documents à demander, maintenant ça fait 3 mois que j'attends, que j'appelle, que j'envoie des recommandé et des mails. Et je n'ai aucune réponse !! </t>
  </si>
  <si>
    <t>08/01/2017</t>
  </si>
  <si>
    <t>amontoulieu-104333</t>
  </si>
  <si>
    <t>NUL!
On m'avait dit que je bénéficierai d'un contrat remboursant l'osthéo, il n'en est rien... 90€ à mes frais. Plus aucun geste commercial quand le changement de mutuelle s'est mal effectué.
A eviter</t>
  </si>
  <si>
    <t>17/02/2021</t>
  </si>
  <si>
    <t>yassine-a-109743</t>
  </si>
  <si>
    <t xml:space="preserve">Client chez vous depuis 2013, ayant deux contrat auto et un habitat, on me résilie le contrat car j'ai eu deux sinistres consécutives en septembre et novembre 2020, on me resilie le contrat de suite, on me donne de fausse promesse et je me retrouve bloqué.
aujourd'hui, j'en parle de ma situation partout et j'ai engagé les démarches pour resilier l'ensemble de mes contrats avec vous.
</t>
  </si>
  <si>
    <t>09/04/2021</t>
  </si>
  <si>
    <t>stephane-l-105771</t>
  </si>
  <si>
    <t xml:space="preserve">Je suis satisfait mais ! Oui mais car j'ai essayé de faire un devis pour le remplacement de mon véhicule actuel par un véhicule électrique TESLA et là que ca soit sur votre site ou par téléphone on me dit que ce n'est pas possible. 
Vous êtes en pointe au niveau des assurance et vous n'assurez même pas ce type de véhicule. 
</t>
  </si>
  <si>
    <t>renane-d-129004</t>
  </si>
  <si>
    <t>Dommage qu’il n’y ait pas de proposition de franchise plus basse. Nous aurions préféré trouver une franchise à 300€ comme beaucoup d’autres assureurs.</t>
  </si>
  <si>
    <t>fl-85497</t>
  </si>
  <si>
    <t xml:space="preserve">Depuis 3 mois je ne peux plus faire aucune opération sur mon espace, je n'ai plus de documents associés à mon compte, il y a des erreurs sur les données. Malgré toutes mes demandes et relances que ce soit au GIE Afer ou via mon correspondant, je n'ai obtenu aucun résultat. Je pense que je vais quitter le navire avant qu'il ne coule car je n'ai plus confiance dans cette société. </t>
  </si>
  <si>
    <t>Afer</t>
  </si>
  <si>
    <t>04/01/2020</t>
  </si>
  <si>
    <t>ludwig-j-110368</t>
  </si>
  <si>
    <t>Je suis satisfait de votre service et rapidité a nous répondre.les prix sont convenable. Les papiers sont vite arriver ainsi que la carte verte provisoire</t>
  </si>
  <si>
    <t>14/04/2021</t>
  </si>
  <si>
    <t>dydy-63754</t>
  </si>
  <si>
    <t xml:space="preserve">A fuir de toute urgence les prix plus ou moins attractifs reflète très bien cette assurance qui est juste là pour encaisser mais pas du  Tout à l’ecoute Des clients 
Après un accident non en tort sa fait plus de deux mois que je me bat avec eux pour obtenir une indemnisation 
Appel à répétition 
Très mauvais service client </t>
  </si>
  <si>
    <t>cottenceau-s-132315</t>
  </si>
  <si>
    <t>je suis satisfait de la rapidité pour souscrire un contrat avec des prix très compétitifs. c'est très facile de souscrire un contrat et une bonne réactivité.</t>
  </si>
  <si>
    <t>laurent-t-138650</t>
  </si>
  <si>
    <t>rien signaler pour le moment car nous n'avons encore rien reçue n'y a faire a vos service nous verrons a l'usage  j'attend bien un double du contra au moins par mail et un échéancier  slts.</t>
  </si>
  <si>
    <t>31/10/2021</t>
  </si>
  <si>
    <t>ludocros-104282</t>
  </si>
  <si>
    <t>Bonne mutuelle      ,pour l'instant rien a signaler de négatif les remboursement sont effectués à temps. La podologie n'est pas remboursé de beaucoup.</t>
  </si>
  <si>
    <t>max50630-131141</t>
  </si>
  <si>
    <t xml:space="preserve">Honteux pitoyable à déconseiller au employeur
Et à tout le monde .
Ma concubine n'a toujours rien .
J'ai envie de vomir ..................
Enfin bref
</t>
  </si>
  <si>
    <t>juve-51517</t>
  </si>
  <si>
    <t xml:space="preserve">en Itt depuis 5 mois , ils me baladent de courrier en courrier et gagnent du temps.
le service client ne sert à rien et fait plutot barrage.
Aucune compassion ni empathie pour des gens malades , je suis atteint d'un cancer et aimerait que les choses secpassent mieux.
Mon Agence leur a transmis des éléments financiers le 27/12 en Rec AR, le centre d'appel m'informe le 20/01 n'avoir rien réceptionné,toutefois il s'avère que Sogécap a 3 semaines de retard ds le traitement des courriers....
Voici 2 mois que le sinistre a été déclaré etvrien n'avance.
Sogécap filiale de la SG ne semble pas se mettre au service de ses clients.
Je vais saisir un médiateur.
</t>
  </si>
  <si>
    <t>Sogecap</t>
  </si>
  <si>
    <t>21/01/2017</t>
  </si>
  <si>
    <t>baxter7522-40047</t>
  </si>
  <si>
    <t>Via Agence  Lannion  MAAF Couvre et se cache derriere une fausse declaration  de son assurée car non presente ..Aucune confrontation ....Bris de lunette par chien en liberté qui vous saute dessus et sur votre chien  ... A deja renversé un petit au meme endroit 22420 Le Vieux Marché Mairie avisé
La MAAF Prefere le version de Me P .F. , et comme il faudrait des traces physique</t>
  </si>
  <si>
    <t>03/08/2019</t>
  </si>
  <si>
    <t>sarah-57654</t>
  </si>
  <si>
    <t>Des gens pas très professionnels qui laisseront traîner les dossiers (quand ce n'est pas un chèque "sous une pile de dossiers" pour reprendre leurs termes, mais c'est une autre histoire...). Si vous déménagez et changez de région vous serez certainement prélevé au moins 2 fois, car si ce n'est déjà pas facile de se faire entendre comme particulier sachez que même entre les agences ils ne communiquent pas ! Malgré ce qu'ils pourront vous dire, il faut toujours passer derrière. Services franchement incompétents et c'est récurrent d'une agence à l'autre.</t>
  </si>
  <si>
    <t>28/09/2017</t>
  </si>
  <si>
    <t>spyder-76424</t>
  </si>
  <si>
    <t>Assurance catastrophique : injoignable et leur site est en panne. Je reçois des mails me redemandant les pièces que j'ai déjà envoyées plusieurs fois.</t>
  </si>
  <si>
    <t>03/06/2019</t>
  </si>
  <si>
    <t>nad-92174</t>
  </si>
  <si>
    <t>Satisfait  l assurance proposer à un prix correcte et me conviendrait pour mon véhicule donc je pense que je vais changer d assurance  et assurer mon Renault scénic</t>
  </si>
  <si>
    <t>25/06/2020</t>
  </si>
  <si>
    <t>sharmilan--m-133727</t>
  </si>
  <si>
    <t>Je suis satisfait du service et de la qualité des prix. La souscription a été faite rapidement et la plateforme de souscription est simple et explicite donc on comprend très bien les démarches à effectuer.</t>
  </si>
  <si>
    <t>laurent-f-116129</t>
  </si>
  <si>
    <t>Prix plutôt élevé par rapport aux garanties. Le matériel à l'intérieur du fourgon n'est pas assuré, je vais revoir à date anniversaire le contrat vers un concurrent.</t>
  </si>
  <si>
    <t>lecocq-a-116172</t>
  </si>
  <si>
    <t>Merci j'ai été très content du contact avec votre service client.  L'accueil est toujours aussi chaleureux.  Continuez ainsi. Je recommanderai volontiers votre entreprise</t>
  </si>
  <si>
    <t>07/06/2021</t>
  </si>
  <si>
    <t>robert-m-126990</t>
  </si>
  <si>
    <t xml:space="preserve">J’ai quitté Direct assurance l’année dernière, j’ai fait une erreur. Je reviens car il n’y a pas mieux...qualité des prestations et prix plus que satisfaisant. </t>
  </si>
  <si>
    <t>bellot-n-121203</t>
  </si>
  <si>
    <t>satisfaite de la prise en charge téléphonique et des renseignements donnés, avoir en cas de demande si accident ou autres besoin (non désirés, bien entendu)</t>
  </si>
  <si>
    <t>25/06/2021</t>
  </si>
  <si>
    <t>zoumba-85750</t>
  </si>
  <si>
    <t>Ils sont inhumains. Une honte. Ce sont des profiteurs qui ne savent que soutirer de l'argent. Même sur un contrat prévoyance clos par recommandé avec A.R. depuis plusieurs mois. Même pendant la pandémie, ils font des prélèvements interdits. Ils sont sans scrupules jusqu'au bout. Ça a un nom...</t>
  </si>
  <si>
    <t>08/04/2020</t>
  </si>
  <si>
    <t>villfranck-67773</t>
  </si>
  <si>
    <t xml:space="preserve">victime d'un accident en 2015 mon avocat attend toujours l'autorisation d'axa pour me verser mon dus Axa n'a jamais pris contact avec moi depuis fév 2016 et a omis des rdv  pour ceux qui voudrez plus de renseignement me laisser un post 
</t>
  </si>
  <si>
    <t>delluc-c-121238</t>
  </si>
  <si>
    <t>Parfait, rapide et efficace, conseiller souriant très professionnel et cherche la meilleure formule pour son client prends le temps d'expliquer la totalité des infos, merci</t>
  </si>
  <si>
    <t>sebastien-g-114330</t>
  </si>
  <si>
    <t>Je suis extrêmement satisfait de la qualité des services, manquerait peut-être des réductions de prix par rapport à l'ancienneté (25 ans que j'y suis)</t>
  </si>
  <si>
    <t>20/05/2021</t>
  </si>
  <si>
    <t>mehdi10-70304</t>
  </si>
  <si>
    <t>Fuyez! Assuré depuis 4 ans premier accident responsable mon dossier n'avance pas depuis un mois. La conseillére est injoignable. Assurance catastrophique. pourtant je suis en tout risques</t>
  </si>
  <si>
    <t>17/01/2019</t>
  </si>
  <si>
    <t>cedric-89941</t>
  </si>
  <si>
    <t>Je suis adhérent depuis mes premiers pas dans la police, soit depuis 2001.
Il y a peut être mieux, moins onéreux mais je n'ai jamais eu de souci avec la mgp pourquoi en changer?</t>
  </si>
  <si>
    <t>26/05/2020</t>
  </si>
  <si>
    <t>nathalie-b-106041</t>
  </si>
  <si>
    <t>Le tarif me semble très élevé d'autant que nous sommes client chez vous depuis plusieurs années. je vais lancer. un comparatif et me mettre une alerte pour résilier le contrat si a garanties équivalentes je trouve moins chez vos confrères.</t>
  </si>
  <si>
    <t>09/03/2021</t>
  </si>
  <si>
    <t>bast-53301</t>
  </si>
  <si>
    <t>J'etais au telephone avec un conseiller youdrive et j'ai donné toutes les infos pour remplir le dossier et j'ai meme payé les 2 1ers mois mais je n'ai recu aucun mail confirmant ma souscription ou meme mon numero de contrat ! 
Le conseiller m'a dit qu'il allait me rappeler 2h plus tard car il avait un probleme de "serveur" et depuis 2 jours,toujours rien et qaund j'essaye d'appeler le numero sur lequel j'ai appelé au debut (qui est un numero de direct asurance ) on me dit que ce service n'a rien a voir avec youdrive et qu'ils peuvent rien faire pour moi ! Et aux mails que j'ai envoyé il n'y a aucune réponse de leur part .
Et donc la je me retrouve sans assurance alors que l'argent a dejà été retiré !</t>
  </si>
  <si>
    <t>15/03/2017</t>
  </si>
  <si>
    <t>saiz-h-130568</t>
  </si>
  <si>
    <t xml:space="preserve">Je suis satisfaite du service.
J'ai eu une question concernant les documents à fournir, notamment pour le conducteur secondaire, et ai obtenu une réponse claire et rapide via le service téléphonique. </t>
  </si>
  <si>
    <t>maya-j-106705</t>
  </si>
  <si>
    <t xml:space="preserve">j'ai eu un certain prix  pour ma devis en ligne, 
mais suite à mon appel(pour d'autre chose: en faite car je suis pas francaise et je voulais savoir si j'aurais un coefficiant bonus malus), on y a ajouter  100 Euros sur ma devis principale </t>
  </si>
  <si>
    <t>alexmft-57843</t>
  </si>
  <si>
    <t xml:space="preserve">NON !!! top c trop - "ne quittez pas nous vous passons le service concerné..."10 minutes d'attente .... puis... "ne quittez pas nous vous passons le service concerné .... puis "a vous avez un truc de 2ans là..." bref l'assurance que l'on déteste dans toute sa splendeur... </t>
  </si>
  <si>
    <t>05/10/2017</t>
  </si>
  <si>
    <t>sandrine-m-131271</t>
  </si>
  <si>
    <t>Je suis satisfaite de votre service. Les tarifs sont cohérents avec ceux pratiqués par les assureurs du marché. L'accueil de la plateforme téléphonique est efficace et agréable.</t>
  </si>
  <si>
    <t>brasouille-74571</t>
  </si>
  <si>
    <t>très mécontent 
1 augmentation de 30 euros sur mon assurance auto , motif il faut qu ils s e remboursent sur  accident que  j ai eu  NON RESPONSABLE !
il me dit ouvertement m avoir caché des informations ! pour ne pas que je parte !
a déconseiller fortement</t>
  </si>
  <si>
    <t>29/03/2019</t>
  </si>
  <si>
    <t>issen-a-126676</t>
  </si>
  <si>
    <t>Le prix est satisfaisant comparé à mon ancienne assurance où je payais 1200 euros environs pour plus ou moins les même services. Le service commercial est très agréable.</t>
  </si>
  <si>
    <t>05/08/2021</t>
  </si>
  <si>
    <t>celine-h-116325</t>
  </si>
  <si>
    <t xml:space="preserve">Prix attractif, facilité de souscription, explications claires et précises sur chaque prestations. Résiliation de l'ancien assureur effectué directement par direct assurance pas de tracas de ce coté la </t>
  </si>
  <si>
    <t>berkani-k-114428</t>
  </si>
  <si>
    <t xml:space="preserve">Je suis satisfait du service, l'adhésion se fait très facilement.
Les prix sont très bas voir la moins chère sur le marché. Je recommande vivement cette assurance. </t>
  </si>
  <si>
    <t>21/05/2021</t>
  </si>
  <si>
    <t>dourd35140-116481</t>
  </si>
  <si>
    <t xml:space="preserve"> Jai été  victime d un petit acrochage avec ma voiture.
j'ai fait un constat avec la personne thiers  qui était  impliqué dans cette  accident.
Ensuite comme j'avais  un doute je suis allée a ma banque demander conseil.
Cela ma permis de prévenir par téléphone mon assureur avent envoyé le constat.
 l assureur ma proposé un  garage agrée  pas trop loin de chez moi.
le garage en question mi disposition un véhicule pendant les réparation</t>
  </si>
  <si>
    <t>09/06/2021</t>
  </si>
  <si>
    <t>samy-n-112523</t>
  </si>
  <si>
    <t xml:space="preserve">Je suis satisfait du service
Prix correcte, toutes les informations sont présentes et pas difficiles à comprendre 
Je recommanderai à l'avenir
 !!!!!!!!!!! </t>
  </si>
  <si>
    <t>jennyquirit-116299</t>
  </si>
  <si>
    <t xml:space="preserve">C est une entreprise qui ne prend pas en considération les besoins de ses clients quant au service client téléphonique c'est très compliqué pour les joindre et meurs compétences pour beaucoup d'entre eux sont médiocres. </t>
  </si>
  <si>
    <t>zafat-y-133405</t>
  </si>
  <si>
    <t xml:space="preserve">Je suis satisfit merci à vous; je souhaite que vous amélioriez plus vous service pour atteindre plus de clientèles dans le future, être parmi les meilleures. </t>
  </si>
  <si>
    <t>whiskyromeo-112885</t>
  </si>
  <si>
    <t>De quelle façon Swisslife se permet déjà d'abaisser le taux de conversion sur la partie obligatoire à 6.5 % en 2022 et à 6.2 % en 2023, alors qu'il est toujours inscrit à 6.8 % dans la LPP et que le réforme LPP21 n'a pas encore été finalisée ni approuvée ?
C'est tout simplement scandaleux et j'invite tous les assurés à cette compagnie à s'opposer fermement à cette décision.</t>
  </si>
  <si>
    <t>06/05/2021</t>
  </si>
  <si>
    <t>alain-d-106513</t>
  </si>
  <si>
    <t>Niveau de prix correct sans plus, mai évolution trop importante au fil des années, sans prise en compte du bon comportement de l'assuré. Une remise complémentaire serai de bon aloi.....</t>
  </si>
  <si>
    <t>14/03/2021</t>
  </si>
  <si>
    <t>labire-t-126857</t>
  </si>
  <si>
    <t>Satisfait, la signature des documents est facile. Tout est bien expliqué, l'espace client est ludique sans avoir a rechercher les informations essentielles pendant des heures</t>
  </si>
  <si>
    <t>fievet-c-125146</t>
  </si>
  <si>
    <t>Je suis satisfait par vos services à sa propre valeur. 
Je tenais à vous remercier également pour votre suivi et souhaite par la même occasion y assurer d'autres véhicules à l'avenir.</t>
  </si>
  <si>
    <t>27/07/2021</t>
  </si>
  <si>
    <t>cominet-112084</t>
  </si>
  <si>
    <t>problème pour s'inscrire sur mon compte a internet et impossible d'avoir une liste de chirurgien dentistes pratiquant le 100 pourcent santé très déçue</t>
  </si>
  <si>
    <t>elodie-b-135724</t>
  </si>
  <si>
    <t>Je suis satisfaite du temps passé à établir un devis et à signer le contrat. J’attends désormais de voir comment cela se passe dans la réalité. Je dois dire que ma prise en charge des documents en 24h pour effectuer le remboursement a clairement pesé dans mon choix.</t>
  </si>
  <si>
    <t>03/10/2021</t>
  </si>
  <si>
    <t>mag-80809</t>
  </si>
  <si>
    <t>A fuir
Suite à quelques difficultés personnelles, je tarde à transmettre mes relevés de situation sur 24 mois. Je transmets un premier pour une clio que je détiens depuis 1 an, puis un autre relevé pour une voiture détenue depuis plus de 10 ans. Les deux véhicules étant différents, la conseillère me rétorque que mon dossier n'est pas valable et m'annonce que l'acompte versé de 156 euros ne me sera pas remboursé
Donc malgré des tarifs attractifs, fuyez.Ce n'est que de la poudre aux yeux</t>
  </si>
  <si>
    <t>07/11/2019</t>
  </si>
  <si>
    <t>thibault-l-126056</t>
  </si>
  <si>
    <t>Nous sommes satisfait du prix des assurances
Bien mieux que les autre concurrents avec beaucoup de garantie. 
J espère que cela continuera dans ce sens</t>
  </si>
  <si>
    <t>02/08/2021</t>
  </si>
  <si>
    <t>krys31--102194</t>
  </si>
  <si>
    <t>Bonjour, j etais très satisfaite tant que les remboursements se bornaient à mon médecin généraliste et quelques médicaments. Mais pour le remboursement de la partie non prise en charge d une cure le delai a pris plus d un mois et demi et j attends le remboursement du médecin depuis bientôt 1 mois ; alors quand les services annoncent  5 jours ...  je me pose la question à propos de remboursements dus à des interventions avec hospitalisation. Je suis désolée, mais c est factuel</t>
  </si>
  <si>
    <t>colere-77993</t>
  </si>
  <si>
    <t>Horrible expérience. Deux semaines que j'ai envoyé une lettre de résiliation suite à une augmentation du contrat non signalée. Ils n'auraient apparemment jamais reçu la lettre alors que le recipicé m'est revenu. Rien à faire, contact clientèle plus bas que terre. NE JAMAIS SOUSCRIRE!</t>
  </si>
  <si>
    <t>29/07/2019</t>
  </si>
  <si>
    <t>erik-92310</t>
  </si>
  <si>
    <t>Fuyez !!! Des conseillers douteux qui vous laissent croire que vous n'avez pas la choix, qui empochent les commissions en oubliant de vous renseigner sur les frais, une réactivité nulle pour ne pas vous reverser votre assurance vie.. Il y en aurait des pages ! Tout sauf Allianz !</t>
  </si>
  <si>
    <t>26/06/2020</t>
  </si>
  <si>
    <t>gigi68-70627</t>
  </si>
  <si>
    <t>Je suis chez axa depuis plus d'un dizaine d'années et je n'es jamais eu de problème avec mon assurance  j' demande un contrat avec échéancier avantt la date butoir on m'a fait poireauter 3mois  pas de contrat  entre temps au mois d'octobre changement de gestionnaire de l'agence ils n'ont rien voulu savoir ,il ont reconduit le contrat présent et me voilà presque résilier  je suis vraiment en colère avec cette agence et je ne vous dis pas le reste se serait trop long</t>
  </si>
  <si>
    <t>26/01/2019</t>
  </si>
  <si>
    <t>vxxruss-102499</t>
  </si>
  <si>
    <t xml:space="preserve">Assurance qui défend plus le parti adverse que ses clients.
Suite à un camion qui a détruit notre entrée, pacifica, notre assurance, nous a remboursé une petite parti du devis, en decomptant de la vétusté, en prenant le devis le plus bas (celui qui fait les choses à moitié).... sans concerter avec l'assurance responsable.
Donc pacifica est très bien... pour le parti adverse.
Ps, sur 4 ans, 25% d'augmentation </t>
  </si>
  <si>
    <t>12/01/2021</t>
  </si>
  <si>
    <t>flo78-102321</t>
  </si>
  <si>
    <t>L'assurance résilie mon contrat pour un "taux trop important d'accidentalité". On m'est rentré dedans 3 fois en 5 ans... Je précise que ce sont tous des accidents NON RESPONSABLE. Pour souligner le tout, je n'ai jamais été prévenu de la résiliation, que ça soit par courrier ou par mail... Résultat je n'était plus assuré sans le savoir.</t>
  </si>
  <si>
    <t>07/01/2021</t>
  </si>
  <si>
    <t>jacques-102323</t>
  </si>
  <si>
    <t>Ayant vendu mon véhicule Passat TDI le  30 janvier  2020 , la MACIF chez qui je suis assuré 
depuis plusieurs années refuse de me rembourser ma quote-part de prime au prorata temporis.
En effet, j'ai payé d'avance ma prime d'assurane  du 1 avril 2019 au 31 mars 2020 soit une somme de 352,86 euros. La MACIF doit donc me rembourser 2 mois de cotisation soit février et mars 2020 soit 62,76 euros  qui correspond à 60 jours (29 jours en février car annéecbissextile et 31jours en mars 2020 );la MACIF m'a versé généreusement 22,73 euros que j'ai réussi à faire augmenter de 8,97 euros après réclamation. Il manque 31,06 euros</t>
  </si>
  <si>
    <t>severine-g-123480</t>
  </si>
  <si>
    <t>Accompagnement personnalisé et excellent suivi
Prix compétitif
Je confirme sur le côté digital mais humain 
Merci benjamin 
Je suis satisfaite du service</t>
  </si>
  <si>
    <t>gendronneau-p-109427</t>
  </si>
  <si>
    <t xml:space="preserve">je suis très satisfait de l'accueil et de la rapidité des opérations à effectuer.
le système de validation par sms  est  pratique et rapide .
Merci encore pour le service irréprochable et bonne continuation avec le sourire biensur .
</t>
  </si>
  <si>
    <t>vallone-o-123424</t>
  </si>
  <si>
    <t>à voir dans le futur si l'assurance correspond à mes besoins. sinon l'offre de prix semble correct. 
Rapidité de gestion d'ouverture du contrat et de la dématérialisation.</t>
  </si>
  <si>
    <t>karim-103261</t>
  </si>
  <si>
    <t xml:space="preserve">Totalement insatisfait du service proposé et pour lequel je verse tous les mois ma cotisation ! Pacifica n'est pas à la hauteur d'un assureur digne de ce nom. Je suis victime d'un sinistre en dégât des eaux et 17 mois plus tard, sinistre toujours non résolu pour des soucis qu'ils n'arrivent même pas a résoudre entre services interne, prestataires et expert inclus ! Mon voisin coupable du sinistre a lui eu son appartement rénové en moins d'un mois mois !  Inadmissible ! Lorsque l'on contacte la chargée qui assure soi disant le suivi du dossier, elle est toujours et systématiquement indisponible et son message sur répondeur téléphonique n'est pas toujours suivi de l'exemple cité : message d'absence + promesse de rappel dans la journée (effectif 1 fois sur 10) !! </t>
  </si>
  <si>
    <t>didier-d-129456</t>
  </si>
  <si>
    <t xml:space="preserve">Trés satisfait  jusqu'ici  des services proposés et fournis par cette assurance 
Trés satisfait  jusqu'ici  des services proposés et fournis par ce site </t>
  </si>
  <si>
    <t>25/08/2021</t>
  </si>
  <si>
    <t>sabine-99387</t>
  </si>
  <si>
    <t>J'ai souscrit à cette assurance depuis seulement 3 mois pour mes deux chatons et j'avoue être étonnament satisfaite. Je pensais ne jamais être remboursée comme 90% des assurances qui lorsqu'il y a un souci trouve toujours à nous ressortir LA fameuse petite ligne qu'on n'a jamais lu dans le contrat mais là rien!
Tout a été fait comme on me l'avait signalé. Remboursée dans les temps, et le montant prévu! Deux mois offerts aussi malgré les soucis rencontrés dès le 1er mois de souscription. Les mails envoyés ont toujours une réponse, la communication est efficace, non franchement je n'ai rien à redire, je suis très satisfaite c'est une assurance honnête. Je recommande vivement.</t>
  </si>
  <si>
    <t>29/10/2020</t>
  </si>
  <si>
    <t>fred78-129179</t>
  </si>
  <si>
    <t xml:space="preserve"> Contrat à un prix prohibitif. Résiliation du contrat  de leur part après 48 ans sans sinistre.Ceci  suite a une tentative d'effraction avec juste 3 portes abimées. 20% de remboursement en moins   après signature de la lettre de remboursement . Bref , AXA est à fuir absolument !</t>
  </si>
  <si>
    <t>marco-97146</t>
  </si>
  <si>
    <t>J'ai eu un petit incendit dans ma cuisine au mois de Juin dernier (Juin 2020) tout avait bien commencé,si je puis dire, puisque "seulement" 2 semaines après avoir déclaré le sinistre à Pacifica,leur cabinet d'experts a mandaté une entreprise pour nettoyer les suies.J'ai dû attendre plus longtemps pour le passage de l'expert mais depuis je leur ai fait parvenir tous les devis des differents corps de métier au mois de juillet (peintre,électricien et menuisier ) et depuis j'attends toujours ,3 mois plus tard! Très très déçu par leur prestations,c'est décidé,je change d'assureur .</t>
  </si>
  <si>
    <t>marnieg-79667</t>
  </si>
  <si>
    <t>Cela fait 3 ans que je suis assurée par Direct Assurance, je n'ai pas d'opinion sur leurs services puisque je n'en ai jamais eu besoin. J'ai débuté avec un tarif élevé étant donné je venais d'avoir un accident, aujourd'hui mon dossier est de nouveau en bonus + mais je continue à devoir presque 900euros / ans !!! Lorsque je fais des simulations de devis, que ce soit chez eux ou ailleurs je suis face à des tarifs de -50% en moyenne. Je souhaiterai que l'on me propose un tarif plus raisonnable, sans quoi je vais devoir chercher un autre assureur. J'ai pris connaissance d'une assurance avec boitier connecté, pourquoi pas?</t>
  </si>
  <si>
    <t>02/10/2019</t>
  </si>
  <si>
    <t>adrien-m-114253</t>
  </si>
  <si>
    <t>Déjà passé chez April moto, satisfait mais dommage car un peu plus cher qu'ailleurs. 
Puis c'est peut être car vous êtes les seuls à assurer avec seulement 16mois d'assurance moto</t>
  </si>
  <si>
    <t>christ325-75904</t>
  </si>
  <si>
    <t xml:space="preserve">surtout ne pas leur dire que vous ne donnez pas suite
ils sont à la limite de la politesse, vous disent que votre animal de toute façon est trop vieux pour l'assurer et ils vous raccrochent au nez
le droit du consommateur est de se renseigner </t>
  </si>
  <si>
    <t>14/05/2019</t>
  </si>
  <si>
    <t>marie-m-131755</t>
  </si>
  <si>
    <t>je suis satisfaite mais malheureusement je n'ai pas pu trouver le prélèvement mensuel. J'espère ne pas être prélevée annuellement.
Simple et pratique d'utilisation</t>
  </si>
  <si>
    <t>eddy-d-128033</t>
  </si>
  <si>
    <t>Je suis satisfait des services, de la facilité pour la souscription et, bien entendu, du tarif extrêmement compétitif de votre compagnie. C'est avec plaisir que j'ai souscrit auprès de vos services pour mes deux véhicules</t>
  </si>
  <si>
    <t>sylvain-a-122931</t>
  </si>
  <si>
    <t>Je suis satisfait du service, on m'a répondu quand j'ai eu besoin et pas de mauvaise surprise
Les prix sont exorbitants et le malus appliqué est très élevé</t>
  </si>
  <si>
    <t>09/07/2021</t>
  </si>
  <si>
    <t>sergio-100493</t>
  </si>
  <si>
    <t>c 'est ne rien comprendre  chaque année mon assurance auto augmente et mon bonus aussi il y as un problème  je n ai jamais déclare de sinistre  et je préfère pas  car je me demande comment cela risque de ce passer  je déconseille cette assureur qui est cache derrière un nouvel acheteur et donc ont ne sais rien même pas prévenus du changement pas tres courtois pour une assurance se disant aussi performante par ces pub télévisée</t>
  </si>
  <si>
    <t>23/11/2020</t>
  </si>
  <si>
    <t>isabelle-h-125706</t>
  </si>
  <si>
    <t>Une baisse des tarifs en fonction des âges sera bien et plus de proposition en fonction de l'ancienneté du conducteur. Une possibilité de modifier le véhicule inscrit sur le contrat.</t>
  </si>
  <si>
    <t>30/07/2021</t>
  </si>
  <si>
    <t>christian-s-113727</t>
  </si>
  <si>
    <t xml:space="preserve">Assurance trop chere pour une deuxième voiture bas de gamme.                                                    
Sinon, contact avec les interlocuteurs très satisfaisant.      </t>
  </si>
  <si>
    <t>14/05/2021</t>
  </si>
  <si>
    <t>didier-h-131987</t>
  </si>
  <si>
    <t xml:space="preserve">Y'en a marre des échanges Internet avec l'assurance.
Pas d'écoute, ni de réaction en agence
Pas d'infos claires par téléphone
C'est désespérant de se savoir chez GMF aussi mal traité qu'ailleurs.
Vous contribuez avec entrain à la dégradation générale des services
</t>
  </si>
  <si>
    <t>colette-m-116214</t>
  </si>
  <si>
    <t>Une  fois le devis établis le prix sur le contrat ne correspond plus. Vous jouez avec les dates cette stratégie vous permet d'aapâter  et au final récupérer la remise que vous effectué, en moyenne 60 € par contrat! Transmis à 60M de consomateurs.</t>
  </si>
  <si>
    <t>christiane-g-116111</t>
  </si>
  <si>
    <t>toutes mes assurances chez GMF depuis de nombreuses années, satisfaite de vos services ,contrats autos, habitation, protection juridique, protection et familles</t>
  </si>
  <si>
    <t>helene-m-124749</t>
  </si>
  <si>
    <t>Très bien, tarifs intéressants et compétitifs, interlocuteur efficace et compétent.
Informations faciles à trouver, devis en ligne pratique et rapide.</t>
  </si>
  <si>
    <t>chd-53287</t>
  </si>
  <si>
    <t>Juste bon à engranger les contrats, aucun service client :
Après des heures d'attente au téléphone pour effectuer une déclaration de sinistre sans aboutir, je me rend dans mon  agence :
La secrétaire, pourtant visiblement désoeuvrée, rechigne à prendre ma demande en compte en me conseillant de le faire moi-même par téléphone ! M'explique que si les agences enregistraient les sinistres ils ne feraient que ça ! (c'est bien le boulot d'un assureur non ?)
Suite à mon insistance, le fait elle même et m'oblige à attendre en écoutant son répondeur.  Et au bout d'une heure sans aboutir non plus, me sort un imprimé que je met 3 mn à remplir : la MAAF se fout de ses clients !
Des années que j'y suis, je cherche un autre assureur.</t>
  </si>
  <si>
    <t>alainjean46-56680</t>
  </si>
  <si>
    <t>prelevment effectue c jour alors que mon contrat debute en janvier</t>
  </si>
  <si>
    <t>16/08/2017</t>
  </si>
  <si>
    <t>pat-101374</t>
  </si>
  <si>
    <t xml:space="preserve">SUITE A UN DÉMÉNAGEMENT IL N ON TOUJOURS PAS FAIT LA RÉSILIATION DONC JE VAIS VOIR AILLEURS POUR MES CONTRAS AUTO POUR LES MEMES GARANTIES 200 EUROS DE MOINS SUR L ANNEE SA COMPTE </t>
  </si>
  <si>
    <t>13/12/2020</t>
  </si>
  <si>
    <t>christophe-h-105473</t>
  </si>
  <si>
    <t>je suis satisfait de la conseillere client, a voir dans le futur si sinistre ou probleme il devrait y avoir, comme on dit toujours, le temps qu'i n'y a pas de probleme, tout va</t>
  </si>
  <si>
    <t>04/03/2021</t>
  </si>
  <si>
    <t>bahaa-66312</t>
  </si>
  <si>
    <t>Très bon services rien a en redire. Très facilement joignable, efficace pour régler les problèmes rencontrés lors de l'inscription.</t>
  </si>
  <si>
    <t>21/08/2018</t>
  </si>
  <si>
    <t>meurin-c-107095</t>
  </si>
  <si>
    <t xml:space="preserve">Je suis satisfaite du service
Satisfaites des tarifs
Satisfaites de l'interlocuteur  très a l'écoute et agréable 
Je recommande chaudement  ce site   </t>
  </si>
  <si>
    <t>18/03/2021</t>
  </si>
  <si>
    <t>remy-93751</t>
  </si>
  <si>
    <t>a laire honnête à voir si mon profile reste accepté jeune conducteur ! pas encore 3 ans de permis a mon actif, prix satisfaisant reste à voir si sa ne change pas.</t>
  </si>
  <si>
    <t>10/07/2020</t>
  </si>
  <si>
    <t>vs-106791</t>
  </si>
  <si>
    <t xml:space="preserve">J'avais cette mutuelle par un contrat collectif. Je ne suis plus dans la société depuis le 13/11/2020 et par conséquent résilié de cette mutuelle. Mais alors depuis, je galère pour récupérer les cotisations du mois de décembre 2020 et janvier 2021 prélevées à tort, ainsi que le remboursement de la cotisation de novembre au prorata.
J'ai envoyé 4 mails depuis décembre aucune réponse ! Au téléphone, lorsque j'arrive à avoir une personne, les réponses sont "c'est en cours", "c'est pas logique" et il y a 8 jours "ah oui, je vois que ce n'est pas fait, je demande que le nécessaire soit fait monsieur"....
Mais toujours rien ! 
Sur le site national, j'ai voulu envoyé une réclamation mais cela ne fonctionne pas "catchpa incorrect"
Enfin que de mauvais souvenir et pas très bien remboursé en terme de prise en charge. </t>
  </si>
  <si>
    <t>nguyen-a-137559</t>
  </si>
  <si>
    <t>Le prix est vraiment au top, pas cher comparé aux concurrent.
Le service client est à l'écoute et fait vraiment le nécessaire pour satisfaire le client.</t>
  </si>
  <si>
    <t>15/10/2021</t>
  </si>
  <si>
    <t>fernandes-a-139570</t>
  </si>
  <si>
    <t xml:space="preserve">Très satisfait tarifs et explications au rdv  , l’interface du site est simple et interlocuteur téléphonique à l’écoute du client 
Je recommanderai l’olivier </t>
  </si>
  <si>
    <t>13/11/2021</t>
  </si>
  <si>
    <t>fouad-a-109182</t>
  </si>
  <si>
    <t>Merci de votre accueillir mes services c'est trop rapide car j'ai fait trois contrats d'assurance je voudrais réveiller une 2 Ford Ranger cordialement merci à bientôt</t>
  </si>
  <si>
    <t>05/04/2021</t>
  </si>
  <si>
    <t>oumar-k-111992</t>
  </si>
  <si>
    <t>Je suis satisfait, le prix me convient. Sauf que je n'ai plus rien à ajouter à ce sondage forcé. Merci maintenant de me laisser accéder à mon espace abonné</t>
  </si>
  <si>
    <t>28/04/2021</t>
  </si>
  <si>
    <t>sebastien-f-109468</t>
  </si>
  <si>
    <t>on nous demande des éléments supplémentaires qui ne sont pas indiqués lors de la souscription et on nous force pour celà à utiliser une application mobile que l'on ne peut avoir sans un smartphone. Je n'aurais pas souscrit chez direct assurance avec cette condition là si elle avait été portée à ma connaissance</t>
  </si>
  <si>
    <t>elsa-75049</t>
  </si>
  <si>
    <t>Cela fait plusieurs années que je suis assuree à la MAAF, cependant ayant changé de voiture dernièrement j'ai tenté de joindre les conseillers devant la nette augmentation de l'assurance. Les conseillers sont injoignables, les prix sont beaucoup plus élevés que les autres assureurs. Je me renseigne pour changer d'assurance pour ma Seat Arona</t>
  </si>
  <si>
    <t>14/04/2019</t>
  </si>
  <si>
    <t>mk75-104570</t>
  </si>
  <si>
    <t>Je déconseile fort fort l'assurance MACIF, ils ne sont pas sérieux, ne s'inquiétent pas sur l'assuré, ils metent trop trop temps à te solutionner des erreurs commis par eux même, ils mentent à chaque fois pour te calmer.. sache'lz que à l'heure de payez sont toujours dérriere nous mais quand c'est à eux de payer ils prenent sont temps fortement... la pire assurance que j'ai eu dans ma vie. DÉCONSEILLÉ FORTEMENT !!!</t>
  </si>
  <si>
    <t>22/02/2021</t>
  </si>
  <si>
    <t>mazurie-a-121161</t>
  </si>
  <si>
    <t xml:space="preserve">Satisfaite du service et de la rapidité, simplicité et acceuil de l'Olivier Assurance.
Je recommanderai ce service à mes amis et proches, famille, etc.... </t>
  </si>
  <si>
    <t>keke1209-74709</t>
  </si>
  <si>
    <t xml:space="preserve">en AT hors mission depuis le 7-01-19 je suis toujours en attente d indemnités complémentaires
</t>
  </si>
  <si>
    <t>03/04/2019</t>
  </si>
  <si>
    <t>mitchok92-124143</t>
  </si>
  <si>
    <t xml:space="preserve">Sinistre vol ouvert le 31 mai. Malgré tout les document envoyé depuis maintenant 1 mois aucune proposition n'a été faite, il ne suive aucun dossier  aucune proposition d'indemnisation des faite malgré la loi sur les sinistre vol. A éviter de toute urgence </t>
  </si>
  <si>
    <t>21/07/2021</t>
  </si>
  <si>
    <t>durel-j-115836</t>
  </si>
  <si>
    <t xml:space="preserve">Je suis satisfait du service pour l’instant. Les prix sont très raisonnables comparés aux autres assureurs. A voir sur le long terme pour les services </t>
  </si>
  <si>
    <t>bastien-c-112329</t>
  </si>
  <si>
    <t xml:space="preserve">Je ne suis pas satisfait du service proposer malgré que les prix soit attractif je n'arrive pas à vos contacter pour une erreur sur mon devis alors que tout les information qui ont était demander sont correcte, mais impossible de vous joindre j'ai essayer tout les numéro de Direct Assurance que j'ai pu trouver mais personne au bout du file.  </t>
  </si>
  <si>
    <t>oukaci-s-135499</t>
  </si>
  <si>
    <t xml:space="preserve">Je suis satisfaite de ce service je recommande ce service a d’autre personnes cela est un tremplin à ma vie future pour les jeunes conducteurs qui acquiert leur premier véhicule </t>
  </si>
  <si>
    <t>mt-71320</t>
  </si>
  <si>
    <t xml:space="preserve">Une catastrophe cette mutuelle. J'attends un remboursement de plus de 1000 euros qui a été validé mais que je n'ai bizarrement jamais reçu, et ce depuis plusieurs mois et il est impossible de joindre un interlocuteur capable de solutionner le problème. </t>
  </si>
  <si>
    <t>14/02/2019</t>
  </si>
  <si>
    <t>chateau-s-133498</t>
  </si>
  <si>
    <t xml:space="preserve">Assurance jeune conducteur au plus bas avec de bonne garantie et conseiller super à l écoute je peu recommander les yeux fermer à mes proches pour leur futur assurance </t>
  </si>
  <si>
    <t>19/09/2021</t>
  </si>
  <si>
    <t>laboune-m-130867</t>
  </si>
  <si>
    <t xml:space="preserve">Je satisfait de mon contrat  garantie auto. Et je  suis  satisfait de mes close de mon contrat auto et de mes garantie   .grasa  vous je suis assuré  ca me permet de prendre mon véhicule  en toute  confiance 
Merci. Cordialement. </t>
  </si>
  <si>
    <t>ouassim-e-126970</t>
  </si>
  <si>
    <t xml:space="preserve">Je suis satisfais du la fluidités de votre process et aussi les choix multiples que vous proposer ainsi que les différents prix qui vient avec les offres </t>
  </si>
  <si>
    <t>delphineallaire-86804</t>
  </si>
  <si>
    <t>j'ai fait une demande pour mon entreprise en Mai 2019, j'ai pu avoir le dossier en Juillet 2019 que j'ai rempli dans la foulée....pour voir le côté mutuelle obligatoire d'entreprise enfin réglé en Décembre 2019. Là on ne retrouve plus la demande de prévoyance qui l'accompagnait...lamentable</t>
  </si>
  <si>
    <t>06/02/2020</t>
  </si>
  <si>
    <t>pierre-l-128204</t>
  </si>
  <si>
    <t xml:space="preserve">Bien mais cela reste cher pour une assurance la moins chère du marché. J'espère que les prix n'évolueront pas. Merci par avance 
Bonne journée 
Cordialement </t>
  </si>
  <si>
    <t>anisjbr-102698</t>
  </si>
  <si>
    <t xml:space="preserve">Je suis assuré pour ma voiture chez AXA depuis plus 7 ans maintenant.
En "tous risques". Mensualité correcte au début....mais changement de collaborateur et bam le prix change expodentiellement.
MAIS SURTOUT =&gt; En 7 ans 1 sinistre (decemebre 2019) non responsable. J'attends un remboursement depuis ce jour.... Rien nada...vous payez mais le jour ou vous avez un pépin ils sont pas la pour vous
J'ai appelé la partie adverse moi même et j'ai fais bouger les choses en 5minutes plus vite que eux en 1an. 
</t>
  </si>
  <si>
    <t>15/01/2021</t>
  </si>
  <si>
    <t>xave78-92250</t>
  </si>
  <si>
    <t>personnel aimable et disponible au telephone a l ecoute les documents sont envoyés dans les temps</t>
  </si>
  <si>
    <t>guillaume-d-108498</t>
  </si>
  <si>
    <t>Pour mon futur logement : tarif plus du double !!! de ce qu'on me propose par ailleurs avec exactement les mêmes garanties et un capital mobilier assurés de 50K€ en moins !!!
...et ce tarif est 2 fois moins important que mon tarif actuel chez vous pour une maison plus petite !!!
gros gros doute (pour le moins) sur vos pratiques tarifaires... je demande explications !!!</t>
  </si>
  <si>
    <t>ste-dcx-58191</t>
  </si>
  <si>
    <t>Très déçue de cet assureur : Des tarifs attractifs au début mais mieux vos pas avoir de problème ou d'accident parce que les tarifs augmentent très vite. D'ailleurs, même sans ça l'assureur se permet d'augmenter les tarifs chaque année sans réelle raison. J'ai demandé il y a 5 jours à faire un point sur ma situation, j'attends toujours qu'un conseiller me rappelle (le rdv était prévu il y a 3 jours à 12h00). En attentant je continue à payer 142€ par mois pour une nissan micra de 2008 qui stationne dans un garage fermé toute la semaine...</t>
  </si>
  <si>
    <t>19/10/2017</t>
  </si>
  <si>
    <t>nimda-96941</t>
  </si>
  <si>
    <t>j'ai été indemnisé complètement alors qu'initialement j'aurais du régler un franchise de 800 € . le garage agréé a fait u travail remarquable à tout point de vue. j'ai eu un véhicule de remplacement pendant toute la durée de la réparation qui a duré plus d'une semaine.</t>
  </si>
  <si>
    <t>darko-p-122254</t>
  </si>
  <si>
    <t xml:space="preserve">Bonjour merci de me faire parvenir a temps ma réduction de -50euro . 
la dernière fois j ai du attendre plusieurs semaines et vous relancer a plusieurs reprises </t>
  </si>
  <si>
    <t>03/07/2021</t>
  </si>
  <si>
    <t>sid-58466</t>
  </si>
  <si>
    <t xml:space="preserve"> Assureur à éviter à tout prix!Après un accident de voiture sur l'autoroute avec un 60 tonnes qui s'est inséré sur ma voie ne m'ayant pas vu (donc la tierce personne a entièrement reconnu ses torts avec PV de la police à l'appui et témoins).Le tierce étant belge la MACIF n'a pas bougé le petit doigt quand j'appelai le service sinistre on me baladais de numéro en numéro pour que je m'épuise.J'ai du faire appel à une aide juridique pour avoir un premier contact avec l'assurance du tiers qui étais la GMF dans ce cas précis.Finalement, j'ai dû engagé un avocat de ma poche pour défendre mon dossier qui aurait dû être géré par mon assureur la MACIF.Mon véhicule qui est parti à la casse suite à l'accident ne m'a pas été remboursé ni les frais d'avocats seule une ridicule somme m'a été octroyée.J'ai immédiatement résilié cet assureur qui étais plus un boulet et un gouffre financier qu'autre chose!A éviter!Si j'avais pu mettre zéro étoiles je l'aurais fais.Plus jamais la MACIF!</t>
  </si>
  <si>
    <t>29/10/2017</t>
  </si>
  <si>
    <t>bourdon-e-125582</t>
  </si>
  <si>
    <t>Je suis à la carac depuis 2016 et en suis très satisfait, j’ai une somme placée depuis sur un compte épargne carac en euros que je viens de permuter vers un compte avec une majorité d’unités de compte ( actions ) beaucoup plus rentable. Ma conseillère est venue chez moi et avons fait cela avec son ordinateur. Avant cela j’avais eu besoin de la moitié de mon capital pour une urgence et la carac m’a vite débloqué les fonds. Pour moi c’est du 20/20 pour l’instant.</t>
  </si>
  <si>
    <t>parisfriend-113910</t>
  </si>
  <si>
    <t>LSA COURTAGE EST ICOMPETENT NE REPOND PAS DANS LES DELAIS ENCAISSE VOS PRIMES MAIS N AVISE PAS L4ASSUREUR c'est inadmissible cette incompétence et ce manque de sérieux--ATTENTION : on vous prends votre argent mais on ne crédite pas vos factures !!!!</t>
  </si>
  <si>
    <t>Hiscox</t>
  </si>
  <si>
    <t>responsabilite-civile-professionnelle</t>
  </si>
  <si>
    <t>titi-68112</t>
  </si>
  <si>
    <t xml:space="preserve">Fuyez cette assurance avant d'avoir un sinistre !! sinon c'est le début d'une perte financière dut au non remboursement, ils ont toujours la bonne excuse pour pas payer!!!!. </t>
  </si>
  <si>
    <t>27/10/2018</t>
  </si>
  <si>
    <t>alkeln-64694</t>
  </si>
  <si>
    <t>Une des assurances les moins chères du marché
Le service est à la hauteur de l'attendu du marché (mais donc à des prix généralement plus bas que l'équivalent à la concurrence)
Dernier sinistre e, Dec 2012, accompagnement du début à la fin</t>
  </si>
  <si>
    <t>machou-a-139574</t>
  </si>
  <si>
    <t xml:space="preserve">Très bon conseiller clientèle, de très bon conseil honnête et juste. Dommage pour franchise aberrante en cas de prêt véhicule. Pas clair véhicule de prêt rien écrit sur contrat !!!
</t>
  </si>
  <si>
    <t>muss68-68261</t>
  </si>
  <si>
    <t xml:space="preserve">Je me demande comment ils peuvent passer de 0.72 a 0.90 
J'ai 30 ans et tout ma tête je sais lire et écrire 
Mais je ne vois pas de 0.90 sur mon encien relevé d'information. 
J'aurai peut-être du lire les avis avant de souscrire. 
</t>
  </si>
  <si>
    <t>jean-pierre-l-112398</t>
  </si>
  <si>
    <t>Tarifs intéressants. En souhaitant que la qualité de service soit au rendez vous. Facilité de souscription. Claire et pratique
la suite dira si par malheur une sinistre arrivait</t>
  </si>
  <si>
    <t>02/05/2021</t>
  </si>
  <si>
    <t>peji-64905</t>
  </si>
  <si>
    <t>catnat sécheresse l'expert ELEX ne répond pas axa ne répond pas axa attend le compte rendu de l'expert pour piscine fissurée, vide depuis 3 mois et pas un mot c'est se moquer du monde assuré depuis 40 ans chez axa c'est la première fois que j'ai un problème grave. que faire a part annuler tous mes contrats et demander un référé au tribunal</t>
  </si>
  <si>
    <t>19/06/2018</t>
  </si>
  <si>
    <t>dijon-j-126837</t>
  </si>
  <si>
    <t>J'ai eu un conseiller très agréable et compétent qui m'a parfaitement renseigné sur toutes mes demandes. 
Très professionnel et courtois. 
Je recommande l'Olivier Assurance.</t>
  </si>
  <si>
    <t>mary31-108684</t>
  </si>
  <si>
    <t xml:space="preserve">Honteux ! 
J'attends une estimation de devis depuis le 4 Février 2021!
Relances sur relances sur l'espace adhérent, aucune réponse!! A quoi sert cet espace?
Appels téléphoniques répétés : attente interminable - minable -  ou bien incompétence des agents qui ne peuvent rien faire pour vous, sinon "faire remonter la réclamation" laquelle ne semble pas vouloir faire surface...
Pas de réponse à ma lettre recommandée (5 euros) signifiant mon mécontentement.
Je vais donc résilier
</t>
  </si>
  <si>
    <t>nour-eddine-s-115575</t>
  </si>
  <si>
    <t>Je suis satisfait du prix. Le devis est fait rapidement et simplement sans aucune complication. Toutes les informations importantes et notamment les franchises sont indiquées sans avoir besoin de lire les petites lignes.  Simple et efficace, je conseille Direct Assurance !</t>
  </si>
  <si>
    <t>village-g-131062</t>
  </si>
  <si>
    <t xml:space="preserve">Je suis satisfait de la prestation. On m’a proposé une offre adapté à mon budget et mes besoins. 
L’accueil, l’écoute et le rapport qualité prix, je recommande fortement L’olivier. </t>
  </si>
  <si>
    <t>abdel931-78506</t>
  </si>
  <si>
    <t>J'ai eu un non payer , et pour y revenir on me demande une garantie de payer obligatoirement cash 500e l'année sans pouvoir s'arranger juste pour un non payer alors que mon bonus est de 0,68 et jamais d'accident en 7ans</t>
  </si>
  <si>
    <t>17/08/2019</t>
  </si>
  <si>
    <t>sabrina-96345</t>
  </si>
  <si>
    <t>21 ans que je suis chez eux.
TOUT est pour le mieux. ne prennent pas la tete, ont des tarifs parmis les plus compétitifs. 
Pour une réduction ou des avantages en bons d achat, sentez vous libre de donner mon numero de societaire  : ( numero 881 739 1 )</t>
  </si>
  <si>
    <t>david-p-133884</t>
  </si>
  <si>
    <t>J'ai été très mal accompagné par votre personnel au moment du paiement. Comme je vis entre la France et le Mexique et n'ayant pas de portable français, votre employée m'a indiqué que la seule manière de payer était à travers un portable français, ce qui est faux car après maintes et maintes tentatives sur le portable de ma soeur (a travers des appels internationaux très couteux qui m'ont pris des heures) j'ai pu faire le paiement par internet. Si la vendeuse m'avait indiqué cela, je me serai éviter bien des soucis. Très mauvaise formation de votre personnel apparemment. C'es vraiment navrant de commencer de cette manière puisque je suis un. nouveau client. J'espère que ce ne sera pas de mauvaise augure.</t>
  </si>
  <si>
    <t>timotheefouquereau84-134737</t>
  </si>
  <si>
    <t xml:space="preserve">Je suis satisfait du service client qui m'a aidé à débloquer mon dossier et de mon contrat d'assurance pour mon scooter mbk spirit de 1995, je suis satisfait </t>
  </si>
  <si>
    <t>sergioddu13-100078</t>
  </si>
  <si>
    <t>le soucis est depuis que eurofil est devenue aviva prise en charge nulle en cas de panne loin de chez vous  
je suis assurer depuis 20 ans chez eurofil et je vais partir  de chez eux fin décembre</t>
  </si>
  <si>
    <t>13/11/2020</t>
  </si>
  <si>
    <t>victoria-h-134639</t>
  </si>
  <si>
    <t>Je suis satisfaite de la plate-forme et du contact téléphonique de l'équipe de direct assurance. 
Les garanties sont clairement expliquées. 
Le prix defie toutes concurrences pour un jeune conducteur.</t>
  </si>
  <si>
    <t>cesco-53633</t>
  </si>
  <si>
    <t>Un scandale service client inexistant
Je paye 102€ par mois plus cher que n'importe quel assureur et ils ventent être moins cher! J'appelle ça de la publicité mensongère on me propose 46,40€ chez eurofil vous ne rêvez pas plus du double! Et quand j'appelle on me dit que c'est normal et que l'on ne peut rien faire heureusement plus d'un an de contrat donc au revoir !!!</t>
  </si>
  <si>
    <t>27/03/2017</t>
  </si>
  <si>
    <t>jacquard-b-107984</t>
  </si>
  <si>
    <t xml:space="preserve">Très bon conseil par téléphone. 
Dommage de ne pas pouvoir faire un rachat de franchise car elles sont un peu élevé.
Tarif attractifs et plateforme très ludique </t>
  </si>
  <si>
    <t>fuselier-61649</t>
  </si>
  <si>
    <t>Gestion clientèle déplorable !
Vous ne recevez pas votre facture en raison d'une annulation de BP, vous recevez directement le message du centre de recouvrement Intrum Justitia et vous êtes résiliés définitivement sans un coup de fil, ni un email.</t>
  </si>
  <si>
    <t>22/02/2018</t>
  </si>
  <si>
    <t>lukaz-65380</t>
  </si>
  <si>
    <t>Client des années, puis trainé dans la boue par des imbéciles insolents au téléphone suite à un accident. Litige, menaces qui ont abouti finalement à me faire partir de chez eux, après plusieurs années sans trop de soucis.</t>
  </si>
  <si>
    <t>10/07/2018</t>
  </si>
  <si>
    <t>laurie-a-106136</t>
  </si>
  <si>
    <t xml:space="preserve">Le prix est correct par rapport à la concurrence (encore un peu cher )
Le processus du devis à la souscription est tres simple et rapide .
je suis tres satisfaite </t>
  </si>
  <si>
    <t>10/03/2021</t>
  </si>
  <si>
    <t>champagne-a-129320</t>
  </si>
  <si>
    <t xml:space="preserve">Prise en charge rapide, je paie moitié prix comparé à mon ancienne assurance ! Je recommande fortement. Les furets m’ont aidé à choisir la meilleure assurance </t>
  </si>
  <si>
    <t>fred-57996</t>
  </si>
  <si>
    <t>Reglement des prestations tres tres long a minima 3 semaines, mails qui n arrivent pas malgre bonne adresse mail, accueil telephonique tres limite, compliqué d avoir le bon interlocuteur etc.....
Contrat santé a fuir si vous le pouvez, quand il ne s agit pas d une mutuelle obligatoire......</t>
  </si>
  <si>
    <t>12/10/2017</t>
  </si>
  <si>
    <t>bruno-m-108135</t>
  </si>
  <si>
    <t>satisfait du service prix compétitif bonne réactivité personnel a l 'écoute et compétent facile de vous joindre toute la famille est assurée dans votre compagnie</t>
  </si>
  <si>
    <t>philippe-m-115990</t>
  </si>
  <si>
    <t>Pas satisfait car mon assurance auto n° 958194815 vient d'être augmentée de 10% , sans aucune explication préalable, alors que mes autre assurances n'ont augmenté que de 0,1%. Quelle en est la justification? Impossible de vous joindre au téléphone!</t>
  </si>
  <si>
    <t>audrey-d-106169</t>
  </si>
  <si>
    <t>Je suis satisfaite du service ainsi que le contact vis à vis de la clientèle (Merci Yannis car pour le coup il à été au top).
Les prix me correspondent, en espérant passer une excellente année avec Direct Assurance!</t>
  </si>
  <si>
    <t>philippe-d-133337</t>
  </si>
  <si>
    <t>Le prix est attractif, cependant je reste vigilant pour l'avenir. En effet j'ai déja un véhicule assuré et en 2 ans le prix à augmenté de 40€!!!
Dommage également de ne pas bénéficier d'une réduction du fait d'avoir 2 véhicules assurés.</t>
  </si>
  <si>
    <t>mebarek-b-125604</t>
  </si>
  <si>
    <t>Je suis très satisfait de direct assurance très rapide et simple j’espère avoir ma vignette verte au plus vite  merci beaucoup cordialement . Mebarek bachiri</t>
  </si>
  <si>
    <t>romain--104634</t>
  </si>
  <si>
    <t xml:space="preserve">Ma voiture volé au mois d’octobre ,toujours pas remboursé et les prélèvements d’assurance continue tout les mois jusqu’a Maintenant une galère pour avoir un gestionnaire au tel à évité comme assurance les étoiles sont uniquement valable pour valide mon avis si je pouvais mettre en moins je le ferais je pense que tout ça va se retrouver avec Julien Courbet ça leur fera un peu de pub ainsi ils verront  comment il traite leur assurés </t>
  </si>
  <si>
    <t>23/02/2021</t>
  </si>
  <si>
    <t>david-102227</t>
  </si>
  <si>
    <t xml:space="preserve">bonjour,
Je prends le temps de laisser un avis pour améliorer les autres assurés aient conscience des pratiques plus que douteuse de cet assureur.
après avoir été harcele au téléphone pendant 3 semaines, j ai souscrit une assurance accident pour mon terre neuve . manque de chance mon terre neuve a eu un accident et la la galere a commencé outre la.sante de mon chien qui a nécessité 2 opérations,  l assurance me fait vivre une galere sans nom depuis 3 mois. 
ils ne répondent pas aux demandes de remboursement, promete de rappeler pour tenir au courant de l avancé du dossier sans jamais rappeler , je suis d'ailleurs au 3 certificat de mon vétérinaire,  il manque constament des nouveaux documents. 
pour ma part j'enclenche aujourd hui ma protection juridique pour me défendre. </t>
  </si>
  <si>
    <t>06/01/2021</t>
  </si>
  <si>
    <t>neant--124265</t>
  </si>
  <si>
    <t>Je souhaite adhérer à la Mutuelle MGP, au regard de la compétence ,du sérieux et de la disponibilité de leurs services. J'ai été transférer à la CPAM à mon issue.</t>
  </si>
  <si>
    <t>22/07/2021</t>
  </si>
  <si>
    <t>dodo84-58871</t>
  </si>
  <si>
    <t>Compliqué quand vous avez une demande. Ils mettent plus d'une semaine à vous répondre alors que j'ai appelé trois fois, fourni une pièce jointe. Si vous avez besoin de prêter votre véhicule sans attendre leur réponse, ils vous résilient sans vous laisser l'espace de vous expliquer.</t>
  </si>
  <si>
    <t>jerve-e-130691</t>
  </si>
  <si>
    <t xml:space="preserve">Satisfaire du service
Prix abordable
Cela me convient parfaitement d'avoir choisi l'olivier assurance.
Je recommanderais forcément à mo' entourage. Merci </t>
  </si>
  <si>
    <t>mag-75012</t>
  </si>
  <si>
    <t>Sinistre en cours -Tout risque + pack serenité - (AH AH AH). responsable à 50%. 3 semaines que mon sinistre a été déclaré et toujours pas d'ordre de réparation. AUCUN VOITURE DE PRET depuis 3 semaines. Et voiture endommagée sur le parc du garagiste où elle a été livrée par le depanneur ! (sinistre à gérer en plus entre assurances) . AUCUNES INFORMATIONS de suivi : je dois appeler régulièrement (expert passé ? Voiture livreé chez garagiste carrossier ? ..). On ne sait plus où est la voiture. PLUS JAMAIS DIRECT ASSURANCE</t>
  </si>
  <si>
    <t>12/04/2019</t>
  </si>
  <si>
    <t>oo-68691</t>
  </si>
  <si>
    <t xml:space="preserve">Déconseille 3 mois pour résilié des contrats auto malgré lettre recommandé et plusieurs dixièmes appels ils sont trop lent et après ils vous demande de régler les frais de recouvrement ils sont menteur et pas professionnel axa siège ne réagit pas non plus laisse les agences faire ce qu elles veulent déconseille fortement </t>
  </si>
  <si>
    <t>17/11/2018</t>
  </si>
  <si>
    <t>dom-70842</t>
  </si>
  <si>
    <t xml:space="preserve">Injoignable,site marche une fois sur deux.j ai appelle le 0155213500 on m a mis en relation mais on m a bien prévenu que c était très très long et que le site ne marchait pas
J attends un remboursement depuis presque 2 mois de 2500e Mercer m a remboursé que 900e soit disant que la facture n était pas détaillée.J ai tout renvoyé plus des mails mais aucune réponse.Encore ce matin j ai attendu au tel plus d une demie heure que qelqu un veuille bien décrocher.Je ne vais pas prendre une journée de congé pour pouvoir les joindre.Il n y a pas de responsable dans cette société ou alors il s en fiche.
C est une honte.
</t>
  </si>
  <si>
    <t>phillias-64971</t>
  </si>
  <si>
    <t>Suite à une canalisation     hors usage j'attends toujours une réponse de la plateforme d'Axa pour un devis de 1754€ après un mois d'attente ! Aujourd'hui mon agence m'a fait savoir qu'il y avait plus malheureux que moi en ce moment !! Es ce un avenant à mon contrat ?</t>
  </si>
  <si>
    <t>21/06/2018</t>
  </si>
  <si>
    <t>brigitte-b-106587</t>
  </si>
  <si>
    <t>simple et pratique prix corrects et attractifs
pour le moment pas eu besoin des services on verra si tel est le cas pour le service téléphone pas toujours très très aimable</t>
  </si>
  <si>
    <t>saint-upery-g-115402</t>
  </si>
  <si>
    <t xml:space="preserve">Les prix sont très abordable surtout en tant que jeune permis. formulaire d'inscription pour assurance automobile très facile d'utilisation. faciliter pour signer les documents </t>
  </si>
  <si>
    <t>alain-v-132762</t>
  </si>
  <si>
    <t>Le prix me convient mais c’est la première fois que je suis assuré chez vous je ne peux pas donner d’autres avis. Cordialement Alain velasquez. …………….</t>
  </si>
  <si>
    <t>14/09/2021</t>
  </si>
  <si>
    <t>zizou-56188</t>
  </si>
  <si>
    <t>pas très contente du service Axa après avoir donner 2 ribs bancaires ils ne sont pas capables de faire un prélèvements automatiques. et surtout pas de réponse à mon email de mercredi (je n'ai jamais rencontré ce type de problème chez les anciens assureurs) je retourne chez mon ancien assureur ce problème dur depuis 2 ans</t>
  </si>
  <si>
    <t>23/07/2017</t>
  </si>
  <si>
    <t>khad-77727</t>
  </si>
  <si>
    <t>j'appelle ce matin pour un remboursement qui devait être fait depuis un long moment, la personne que j'ai eu au téléphone est très très désagréable pas  du tout aimable on dirait elle était agacé de répondre elle avait qu'une envie c'est de raccrocher!!!!, elle me demande une facture acquitté en sachant que j'étais remboursé par la sécurité sociale!!! elle m'annonce que je dois régler une somme car j'avais fais des soins car j'étais plus affilié en sachant qu'a cette période il m'ont envoyé ma carte de tiers payant et j'ai jamais reçu aucun courrier de leur part comme quoi j'étais plus affilié chez eux, erreur commise de leur part et qu'elle allait aussi déduire la somme de mon remboursement pour rembourser les soins.</t>
  </si>
  <si>
    <t>18/07/2019</t>
  </si>
  <si>
    <t>orro-b-126967</t>
  </si>
  <si>
    <t xml:space="preserve">Pas pu profiter du parrainage alors que mon fils est client et possédait un code. Code qui a été refusé car mon fils n'a pas souscrit par téléphone. On ne l'avait pas prévenu </t>
  </si>
  <si>
    <t>juliette-b-115594</t>
  </si>
  <si>
    <t>Difficile de joindre un conseiller, le site ne me permet pas de générer une attestation directement, je dois passer par un conseiller...Les tarifs ne sont pas plus intéressants qu'ailleurs et pourtant aucune agence, pas de conseil pour adapter le contrat à la valeur du véhicule, pas de prime à la fidélité alors que je suis assurée depuis des années chez Direct Assurance</t>
  </si>
  <si>
    <t>akenaton-122602</t>
  </si>
  <si>
    <t>Je suis du service mais les prix sont très élevés. En effet suite à la pandémie, on se déplace très peu mais malgré cela ainsi que mon ancienneté et ma bonne conduite le prix de mon assurance a augmenté sans raison. Et pourtant je suis supposé avoir des bonus</t>
  </si>
  <si>
    <t>06/07/2021</t>
  </si>
  <si>
    <t>sarah-59264</t>
  </si>
  <si>
    <t>Inadmissible! Après 28 ans de cotisation et sans soucis (habitation, auto, scolaire...), la MAAF m'avertit que je suis radié de mon assurance habitation pour une petite fuite d'eau dans mon précédent logement il y a 3 ans (400€ d'indemnités), et 1 vandalisme dans mon logement actuel il y a un an (900€ d'indemnités).  N'adhérez pas à la MAAF ils n'assurent que les clients qui ont zéro problème et radient les autres au moindre petit soucis arguant de "multiples sinistres" (soit 2 en 28 ans me concernant). Ce n'est pas ce que j'appelle une compagnie d'assurance...De plus, le fait d'avoir été radié interdit de prendre une autre assurance mutualiste, merci la MAAF!</t>
  </si>
  <si>
    <t>apisi-137955</t>
  </si>
  <si>
    <t xml:space="preserve">Mr Adolfo etait tres sympa avec moi professionnel et il m'a fait la proposition Generali avec une remise et jusqu'a present je suis tellement satisfait </t>
  </si>
  <si>
    <t>daouabi-k-114020</t>
  </si>
  <si>
    <t xml:space="preserve">Professionnel et competent dans leur domaine.
Assurance qui propose de vrai prix.
Satisfait de leur travail continuez à persévérer dans cette voie.  
</t>
  </si>
  <si>
    <t>emmanuelle-g-126521</t>
  </si>
  <si>
    <t>Je suis satisfaite du service que m’apporte les conseiller de la GMF à chaque fois que je sollicite vos services que ce soit pour l.habitation ou pour l’auto</t>
  </si>
  <si>
    <t>04/08/2021</t>
  </si>
  <si>
    <t>sosy-74686</t>
  </si>
  <si>
    <t>MERCER, leader mondial et expert, une plaisanterie !</t>
  </si>
  <si>
    <t>02/04/2019</t>
  </si>
  <si>
    <t>david-99036</t>
  </si>
  <si>
    <t xml:space="preserve">Excellent travail je suis très content je recommande magnolia sans aucun problème .
Je remercie magnolia et surtout ma conseillère Céline B pour son professionnalisme et sa gentillesse. </t>
  </si>
  <si>
    <t>zadigjones-97218</t>
  </si>
  <si>
    <t xml:space="preserve">Rapidité du service client est incomparable à d’autre, réponse en 5 jours maximum pour ma part 3. 
Carte verte définitive reçu par courrier à peine une semaine après la signature du contrat. 
Service commercial lors de la souscription à l’écoute de nos besoins </t>
  </si>
  <si>
    <t>09/09/2020</t>
  </si>
  <si>
    <t>hector-g-108611</t>
  </si>
  <si>
    <t>Inscription en ligne très pratique.
C'est curieux de demander un avis alors que le contrat définitif n'est pas émis.
J'attends donc que tout soit régularisé mais pour le moment tout se passe bien.</t>
  </si>
  <si>
    <t>sgo-60258</t>
  </si>
  <si>
    <t>Mon entreprise vient de changer de mutuelle. Mon fils de 8 ans n'est toujours pas rattaché à ma mutuelle malgré au moins 5 relances par internet ( évidemment pas d'adresse mail directe..) et ils sont impossible à joindre .J'ai essayé d'appeler au moins 20 fois entre le 20 décembre et le 5 janvier: tous nos conseillés sont pris rappelez plus tard.. 
Je trouve cela assez inadmissible.</t>
  </si>
  <si>
    <t>07/01/2018</t>
  </si>
  <si>
    <t>meg-55608</t>
  </si>
  <si>
    <t>je suis assuré pour dégâts des eaux.. lorsque le problème s'invite a vous...la Macif vous tourne le dos...n'envoyant aucun expert... la plateforme me raccroche au nez... me disant a plus de 240€ de dégâts c'est a mon bailleur de payer... je suis assuré dégâts des eaux puis il n'y a plus personne pour vous repondre et avancer le dossier.. abandon total...je ne recommande pas du tout cette assurance...</t>
  </si>
  <si>
    <t>24/06/2017</t>
  </si>
  <si>
    <t>seb12-101776</t>
  </si>
  <si>
    <t xml:space="preserve">Société qui nous mène en bateau depuis 2 mois 
Un coup ils perdent le dossier puis on vous dit oui votre dossier est incomplet , vous leurs envoyer un mail avec la personne au téléphone qui vous certifie l avoir reçu et que le dossier vas être traité le lendemain ,vous les rappeler le lendemain on vous dit non monsieur pas de mail reçu aucune trace 
Et depuis 2 mois on nous mène en bateau , par contre pour vous prélevez il n'oublie pas 
A fuir </t>
  </si>
  <si>
    <t>23/12/2020</t>
  </si>
  <si>
    <t>csebus33-56939</t>
  </si>
  <si>
    <t>La maaf pour moi est égale à extorqueur.
Donc je me présente pour souscrire une assurance habitation. Jusque la tous va bien.
Au moment de signer il y a bien sur les feuilles sur le bureau et à la fin de la fil un contrat supplémentaire non demandé (assurance Tranquillité famille ). Donc je demande la conseillère, c'est quoi ! Elle me répond que c'est la responsabilité civile. Elle me dit vous en aurez besoin, si vous avez des enfants, car il vont vous la demandez ! Bon je lui fait confiance et je signe. Ayant un enfant à la crèche, j'en ai besoin. En rentrant chez moi, je vérifie ce que c'est cette assurance et au final rien avoir. Donc les conseillers mente, fond de la vente forcé et mensongère. Bref dans un an en-revoir la MAAF et je ne ferais aucune pub pour, bien au contraire. A prés tous, c'est peut être la politique de la MAAF de garder leur client juste une année en les taxant au maximum !
En clair évité complètement cette assurance.
A part si vous aimés les menteurs ;)</t>
  </si>
  <si>
    <t>29/08/2017</t>
  </si>
  <si>
    <t>patrick-94488</t>
  </si>
  <si>
    <t>Client Maaf depuis plus de 20 ans, je change de véhicule en passant d'une Megane IV 130 cv diesel à une 308 130 cv diesel, je demande un devis (rdv Agence), le tarif proposé à garanties équivalentes est de 880 euros contte 630 actuellement.Aucun sinistre responsable, bonus à vie Maaf etc...Cela représenterait une augmentation de plus de 38 % !!!
Sans négocier et avec le même niveau de garanties, la Matmute propose un contrat à 680 euros et même un contrat habitation moins cher.
Fuyez la Maaf !!!
Un client fidèle et déçu 
Je vous passerai les divergences d'informations entre le service client téléphonique et l'agence au sujet des documents à fournir pour une demande de prêt...</t>
  </si>
  <si>
    <t>mathieu-b-131669</t>
  </si>
  <si>
    <t xml:space="preserve">Je suis passé de 304 (+283) car je m étais trompé sur le coefficient qui par défaut est 0,5 sur votre site alors que par défaut un nouvel assuré est à un chef de 1. Parti en congé. Nombreuses lettres et mail m informe que je dois faire parvenir le document justifiant mon chef de 0,5 pour finaliser la carte verte... N'existant pas ce document n'est jamais parvenu. Le temps passe je suis en congé à l'étranger, je le signifie à votre service commercial. Bref hier mon assurance est résiliée. Aujourd'hui on me fait comprendre que je dois tout refaire pour une somme annuelle de 706€ /an soit un encart de plus de 100€.... Ca fait cher pour une case mal cochée. Je ne suis pas assureur. J ai refait toute l inscription avec une personne au téléphone 13 min de communication surtaxée... J ose espérer que ce coup-ci, au prix que je paye 706€ plus la communication de 13 min surtaxée, j aurai l ensemble des documents sans relance sans rappel... </t>
  </si>
  <si>
    <t>xavier-b-126338</t>
  </si>
  <si>
    <t>Tarif correct. En espérant qu'il n'y ai pas d'augmentation l'an prochain, comme je l'ai déjà constaté précédemment.
La souscription est simple et pratique.</t>
  </si>
  <si>
    <t>keenanice-125417</t>
  </si>
  <si>
    <t>Je suis très satisfaite du service rendu. L'ensemble de mes échanges ont été satisfaisant. J'ai toujours eu des réponses à mes questions et des solutions mes sont toujours trouvées.</t>
  </si>
  <si>
    <t>29/07/2021</t>
  </si>
  <si>
    <t>zaza87-59207</t>
  </si>
  <si>
    <t xml:space="preserve">Dégoûtée, écœurée. Assurée chez eux depuis 12 ans, 2 voitures, bonus 0,64. Et la ils m’ont résilié pour motif fréquence de sinistre pour une auto sauf que j’en ai eu qu’un en 3 ans et pour motif comportement sur ma seconde voiture ou je n’ai eu aucun sinistres. Du coup, personne ne comprend le motif comportement les assureurs que je démarche actuellement n’ont jamais vu ce motif. Bref c’est vraiment abuser de se faire virer comme ça. Je suis passé à mon agence et ma conseillère m’a dit je sais ils ont fait du tri cette année... </t>
  </si>
  <si>
    <t>28/11/2017</t>
  </si>
  <si>
    <t>xtianguilam-58005</t>
  </si>
  <si>
    <t xml:space="preserve">Hausse de 5% du contrat, deux mois après signature. </t>
  </si>
  <si>
    <t>kevinmo-77142</t>
  </si>
  <si>
    <t>A  FUIR
1 : Irsa non signé donc en cas d'accident avec une chose appartenant à une autre personne ils voudront pas payer même si non responsable
2 : Les conseillers sont des perroquets qui se contredisent selon les jours
3 : Trop trop lent dans la gestion de dossier ( plus de 90 jours que je suis dans l'attente du fait de leur inaction )
4 : Clauses contractuelles plus que douteuses et il y a plein de faille dans leur contrat ( selon un avocat que j'ai été voir )
5 : Vous aurez forcément avec eux un litige tôt ou tard donc autant les éviter</t>
  </si>
  <si>
    <t>26/06/2019</t>
  </si>
  <si>
    <t>stephane-c-132451</t>
  </si>
  <si>
    <t xml:space="preserve">Si tout se déroule bien jusqu'au bout, ca sera très bien !
Et si en cas de sinistre éventuel , tout se passe bien, ce sera impeccable ;-)
Bien à vous  </t>
  </si>
  <si>
    <t>11/09/2021</t>
  </si>
  <si>
    <t>blanchard-m-108869</t>
  </si>
  <si>
    <t>Tarifs un poil plus élevés que ce que je payais chez eux il y a 2 ans en arrière pour une voiture avec 9CV au lieu de 6CV 
Peut être l'effet COVID.. Sinon rien a redire</t>
  </si>
  <si>
    <t>yassdu11-91003</t>
  </si>
  <si>
    <t>Je suis un client chez vous depuis plusieurs années et toutes mes voitures que je possédais ont été assuré chez vous, même celles de ma famille et de mes proches.</t>
  </si>
  <si>
    <t>16/06/2020</t>
  </si>
  <si>
    <t>broussan75-89898</t>
  </si>
  <si>
    <t>J'ai laissé une belle somme 15 jour à la CNP : il l'ont amputée de 4%. Retirée après cela, il m'a fallu 1 mois pour un remboursement ! Encore bravo, ça c'est du service !</t>
  </si>
  <si>
    <t>25/05/2020</t>
  </si>
  <si>
    <t>zimmer-a-111864</t>
  </si>
  <si>
    <t xml:space="preserve">Pas mal du tout top service rapide sans soucis à conseiller vivement.
Assurance voiture pour moi
Bon rapport qualité prix...................    ........ </t>
  </si>
  <si>
    <t>jacques-b-112423</t>
  </si>
  <si>
    <t>L adhésion est simple et rapide
Le rapport garanties/prix est positif
L'appli (qui à beaucoup évoluée) est bien faite et facile à utiliser
Reste à voir le jour il y a sinistre à gérer si la gestion du dossier est aussi facile... j'ai confiance</t>
  </si>
  <si>
    <t>gus1965-63314</t>
  </si>
  <si>
    <t>Bons à prendre l'argent, beaux parleurs aux promesses faciles mais sans parole. Depuis plusieurs mois j'attends le remboursement de deux mensualités offertes lors de la signature, malgré mes relances je ne reçois que des mots et des courriers recommandés car pour réclamer l'argent sont très forts mais pour le rendre... Là il y a plus personne, nous on a le droit de se taire et payer et si on le fait pas c'est l'huissier....</t>
  </si>
  <si>
    <t>17/09/2019</t>
  </si>
  <si>
    <t>madj-77520</t>
  </si>
  <si>
    <t>Attitude déplorable !!
J'ai souscris un contrat dans cette compagnie 1 mois avant la fin de mon contrat chez mon précédant assureur intéressé par le prix attractif je me suis laissé tenter et paye une provision de 100 Euros.
Peu de temps (17 jours) après l'entrer en vigueur de ce nouveaux contrat je les contactes pour modifier  mon lieu de travail (20KM de plus) et hop (+ 15%) et la conseillere que j'ai au bout du fil m'apprends que je ne suis pas couvert en cas de panne et qu'Eurofil ne fait pas d'upgrade de contrat que c'est comme ça et pas autrement EN ME GUEULANT DESSUS !! (j'ai été obligé de lui demander de se calmer) et limite en me traitant de fraudeur essayant de magouiller.
Attitude inacceptable a vous de juger</t>
  </si>
  <si>
    <t>03/12/2020</t>
  </si>
  <si>
    <t>sido-34440</t>
  </si>
  <si>
    <t>La MGP a perdu son esprit mutualiste. Les remboursements sont réduits au minimum. Adhérent avec toute ma famille depuis 40 ans, Nous somme vraiment déçus par l'incompétence du personnel.n Nous n'avons plus de contact direct avec le responsable de notre demande, même en insistant,  Cette demande fait en totalité fait de nombreuse fois la navette entre nous et la MGP, alors qu'un appel téléphonique aurait suffi à régler le petit pb, souvent une simple case coché et enfin de compte au bout d'un "certain temps" j'ai reçu l'accord non signé. Je précise chaque navette dure un mois.</t>
  </si>
  <si>
    <t>12/02/2019</t>
  </si>
  <si>
    <t>injoignable971-63186</t>
  </si>
  <si>
    <t xml:space="preserve"> Allianz, la compagnie qui ne peut rien pour vous.
 Je cherche depuis plusieurs semaines à accéder à mon compte client sur Internet  pour avoir accès à mon dossier suite au cyclone Irma qui est passé sur Saint-Martin .  Ni le courtier, ni le service des Indemnisations des sinistres qui se trouve à la réunion,  ni le bureau de Nouméa où je réside, ni même le numéro que j’appelle en France n’ont été capable de me mettre en relation avec une personne compétente.
 C’est à s’en arracher les cheveux, je suis dans une impasse.
 J’espère qu’en lisant ce message quelqu’un de chez allianz va enfin me contacter, Mais j’en doute, car je constate que chaque fois qu’il y a marqué allianz il n’y a aucune réponse sur ce site.</t>
  </si>
  <si>
    <t>12/04/2018</t>
  </si>
  <si>
    <t>alice-l-132889</t>
  </si>
  <si>
    <t xml:space="preserve">Je n ai pas trouver moins chère le Prix très correct en plus je bénéficie de 100 euros offerts pour la première année  reste à voir si il y a un problème là réactivité </t>
  </si>
  <si>
    <t>lh-95799</t>
  </si>
  <si>
    <t>Assurance déplorable! Fait traîner les dossiers , service sinistre incompétent. Propose des assurances avec franchise et quand l'assuré refuse de payer sa part de franchise à la victime , AXA repond que ce n'est pas son probleme car il a payé sa part. Et la victime se retrouve avec 160 euros non remboursé!une honte!!!!</t>
  </si>
  <si>
    <t>michel-j-127006</t>
  </si>
  <si>
    <t xml:space="preserve">Je suis très satisfait des services proposée par l’assurance Olivier, les prix sont très abordables, je recommanderais l’assurance Olivier à tout le monde de mon entourage </t>
  </si>
  <si>
    <t>nanou45740-104594</t>
  </si>
  <si>
    <t>La MGP est une très bonne mutuelle pour les fonctionnaires. J'obtiens toujours les renseignements que je demande et assez rapidement. Les conseillers au téléphone sont toujours agréables et professionnels.</t>
  </si>
  <si>
    <t>isabelle-j-126032</t>
  </si>
  <si>
    <t>Je suis satisfaite de la rapidité avec laquelle le contrat c'est effectué. 
Aussi pour le délais.de traitement pour faire parvenir les documents necessaire</t>
  </si>
  <si>
    <t>denis-g-129652</t>
  </si>
  <si>
    <t xml:space="preserve">Nickel à bientôt sur les routes de France, en mode pensionnaire retraité grâce à mon assurance.; Espérons que la pouet pouet fonctionne encore trente an </t>
  </si>
  <si>
    <t>paco87-139458</t>
  </si>
  <si>
    <t>Nouveau client chez eux depuis 15 jour (famille de 5 personnes), je souhaite me connecter à mon espace personnelle mais, lors de ma toute première connection, il faut indiqué son adresse mail pour réceptionné le mail contenant ce fameux mot de passe, soit. J'entre donc mon adresse mail puis, "je ne suis pas un robot" mais aucun mail en retour, je renouvelle l'opération 10/15/30 fois, toujours rien (indésirables/spams y compris); Je contacte le service client par téléphone qui me répond que le service informatique se penche sur le soucis, soit. 5 jours plus tard, toujours aucun changement ni mail ni retour, RIEN!!! Mon expérience client débute vraiment très mal!!!</t>
  </si>
  <si>
    <t>paino-f-139122</t>
  </si>
  <si>
    <t xml:space="preserve">Très bien, mais pas pour signer avec  un smatphone, version ordinateur obligatoire.Je n'est pas d'ordinateur ni imprimante donc j'ai été obligé de mettre la version ordinateur sur Google pour pouvoir signer virtuellement. Version Android pas encore opérationnel </t>
  </si>
  <si>
    <t>06/11/2021</t>
  </si>
  <si>
    <t>davidr-64863</t>
  </si>
  <si>
    <t>J'ai résilié avec les pires difficultés. L'agence Groupama n'a rie de voulu faire.. On s'occupe pas des résiliation ici</t>
  </si>
  <si>
    <t>tomtom44-52857</t>
  </si>
  <si>
    <t xml:space="preserve">J'avais une demande très simple, changer de véhicule mais cela semble insurmontable. Peut être va-t-il falloir investir sur votre système informatique car c'est un peu n'importe quoi...
Au passage, j'ajoute que les interlocuteurs que j'ai eu en ligne n'y sont pour rien et on été très courtois. </t>
  </si>
  <si>
    <t>28/02/2017</t>
  </si>
  <si>
    <t>guillaume-v-105922</t>
  </si>
  <si>
    <t>Qualité de service absolument déplorable, mail de mars 2020 resté sans réponse. Je réitère ma demande cette année en rappelant la non réponse de 2020 mais on m'invite une nouvelle fois à revenir plus tard afin "d'étudier ma demande": mais où sommes-nous?? Qui est le client? Je demande un simple changement de fractionnement! Sans compter la forme: le fait que dans le mail de réponse on m'appelle par mon prénom... Bref absolument tout faux.</t>
  </si>
  <si>
    <t>08/03/2021</t>
  </si>
  <si>
    <t>richard-104546</t>
  </si>
  <si>
    <t xml:space="preserve">Mon beau père était titulaire de deux assurances vie mutavie, le 26 janvier 2021 nous avons adressé à la Macif le certificat de notoriété fourni par le notaire en charge de la succession. A ce jour, 04 mars 2021, toujours pas de mail ou courrier de la part de la Macif. A titre de comparaison une autre compagnie - BNP. Cardiff a déjà réglé le capital. </t>
  </si>
  <si>
    <t>isabelle-d-112133</t>
  </si>
  <si>
    <t>Viens de souscrire, facile d utilisation application également très intuitive rapid. En attente de voir avec le temps et surtout comment est le service après vente</t>
  </si>
  <si>
    <t>boulanger-l-125060</t>
  </si>
  <si>
    <t>Tres bonne prise en charge et gestion par le service commercial. Reste maintenant la resiliation de mon contrat actuel. Je suis en attente d'un rappel</t>
  </si>
  <si>
    <t>lugger-44-80186</t>
  </si>
  <si>
    <t>Je salue la gentillesse et le professionnalisme d'Alicia, très belle personne courtoise et compétente. Mérite largement les 5 étoiles.</t>
  </si>
  <si>
    <t>18/10/2019</t>
  </si>
  <si>
    <t>wp4155-70237</t>
  </si>
  <si>
    <t>Je suis client chez MAAF assurance depuis plus de 14 ans sans le moindre sinistre. Dernièrement mon voisin a réalisé des travaux non déclarés qui ont endommagé mon plafond et les murs. La MAAF n'a réagis qu'après plus d'un mois le premier appel étant soit-disant "non enregistré donc sans trace"..... au bout de 8 mois aucune indemnisation et un conseiller ironique et arrogant. Je déconseille la MAAF qui vous considère que quant tout va bien ...</t>
  </si>
  <si>
    <t>15/01/2019</t>
  </si>
  <si>
    <t>denis-58923</t>
  </si>
  <si>
    <t>L'assurance à distance, je ne conseille pas. Accueil et amabilité déplorable. Aucune reconnaissance du client. Nous n'avons pu tester la qualité des prises en charges des garanties. Je déconseille fortement et recommande l'agence avec bureau accessibles et contact franc.</t>
  </si>
  <si>
    <t>17/11/2017</t>
  </si>
  <si>
    <t>gp3576-77889</t>
  </si>
  <si>
    <t xml:space="preserve">bonjour 
je suis en arret depuis le 27.10.2018 j ai deposé au prés de votre organisme un dossier début mars pour la prise en charge des remboursements de mon financement  a ce jour toujours rien et l'organisme cetelem menace de me mettre a la banque de France !!! merci de bien vouloir faire le nécessaire 
cordialement ,
mr houard </t>
  </si>
  <si>
    <t>jean92-52368</t>
  </si>
  <si>
    <t xml:space="preserve">Dommage qu'il n'est pas possible de mettre des étoiles négatives !
J'ai connus 3 assureurs de véhicule avec sinistre non responsable et AMV est la pire ! A fuir !!!
</t>
  </si>
  <si>
    <t>13/02/2017</t>
  </si>
  <si>
    <t>jerome-d-116597</t>
  </si>
  <si>
    <t xml:space="preserve">Je ne suis pas satisfait des services direct Assurance . Le tarif des assurances auto est équivalent aux concurrents pour une couverture équivalente. Les dommages causés aux phares par un caillou n'est pas couvert ce qui parait aberrent aux yeux de mon garagiste. De plus je suis tombé en panne une fois et j'ai du payer une partie du dépannage de ma poche. </t>
  </si>
  <si>
    <t>mohamed-90631</t>
  </si>
  <si>
    <t>je suis satisfait du devis au niveau des prix et de la qualité de votre offre, l'estimation était très rapide et intuitive afin de pouvoir sélectionner pour moi ce qui me convient</t>
  </si>
  <si>
    <t>12/06/2020</t>
  </si>
  <si>
    <t>anne-l-115128</t>
  </si>
  <si>
    <t>Je suis satisfaite des services. Bon rapport qualité/prix.
Mais site internet à revoir absolument : très compliqué de trouver les échanges mail avec son conseiller. Rubriques compliquées, pas fluide. Merci !</t>
  </si>
  <si>
    <t>28/05/2021</t>
  </si>
  <si>
    <t>alan-52041</t>
  </si>
  <si>
    <t>j'ai souscrit une assurance indemnités journalieres de 6 mois,j'ai arrete le travail pendant 8 mois et swisslife ne m'as indemnise que 3 mois sous un pretexte ne figurant pas dans les conditions generales et de plus refuse de repondre au mediateur de l'assurance alors que le dossier a ete depose le 24/03/2016 et qu'ils ont contractuellement 2 mois pour repondre,je vais donc devoir deposer le dossier devant le tribunal</t>
  </si>
  <si>
    <t>04/02/2017</t>
  </si>
  <si>
    <t>malika-k-130077</t>
  </si>
  <si>
    <t xml:space="preserve">Rapide et efficace pour souscrire une assurance automobile. À voir par la suite si il n'y a pas d augmentation de prix l'année suivante, comme j itua déjà eu le cas. </t>
  </si>
  <si>
    <t>lagha511-88827</t>
  </si>
  <si>
    <t xml:space="preserve">J'ai assuré ma voiture chez direct assurance depuis 2ans et j'ai jamais eu de sinistre. 
C'est une voiture qui sort une fois par mois, elle roule maximum 5000 km par année. Et chaque année mon assurance augmente. 
Et à chaque renouvellement ils me racontes une histoire. 
Vraiment très amateurs </t>
  </si>
  <si>
    <t>10/04/2020</t>
  </si>
  <si>
    <t>lily001-61830</t>
  </si>
  <si>
    <t>A fuir!!!!!!!! Appel pour un rassemblement de personnes lésé par le devoir d'obligation et l'obligation d'information de Santévet!!!!
Souscription au contrat sous des promesses de stérilisation de mon furet et après griefs, aucun remboursement jouant sur les mots!!!!  Voici les faits, je venais d'acquérir ma furette et étant jeune, je savais qu'elle devrait être stérilisée dès ses premières chaleurs, c'est pourquoi je me suis rapprochée des assurances, j'ai ainsi appelé SantéVet afin de demander pour la stérilisation et après être rassurée, j'ai souscris chez eux après l'appel de leur conseiller et de son devoir de conseil. 
Arrivé janvier 2018, soit 4 mois après ma souscription, ma furette est stérilisée et je reçois un document de santéVet me précisant que les "frais de stérilisation" sont exclus car ce sont des "frais de prévention"!!!! Choquée, je leur renvoi mon contrat signé où il y a indiqué "castration chimique remboursé à hauteur de 50%" et que par le droit des contrats, je souhaite qu'ils s’exécutent de leur obligation. Et j'ai la surprise de recevoir un mail me précisant ceci:
Bonjour Madame,
Nous revenons vers vous concernant votre réclamation quant à la prise en charge de la stérilisation lors de la souscription du contrat santé de LILY.
Afin de nous assurer de la conformité du discours de notre service commercial et pour faire suite à votre demande, nous avons procédé à une écoute de cette conversation.
 Aussi, nous avons le plaisir de vous confirmer que la formule, la tarification ainsi que les délais de carence communiquée sont conformes à votre demande et au contrat créé.
Par ailleurs, nous vous informons qu'un second appel a été émis vers nos services de la part de votre fille, en date du 11/09/17; pour connaitre les modalités de prise en charge de la stérilisation.
 Conformément à nos dispositions générales d'abonnement ( Chap 2: les garanties communes à toutes les espèces, Paragraphe C: ce qui est exclu ) et dispositions particulières des formules NAC, que nous participons aux frais de castration chimique à concurrence de 50% et à concurrence de 50,00 € par période de 24 mois, à partir de 2 ans de contrat (cf rubrique du contrat "garanties et services souscrits pour l'animal").
Votre Service Relation Client reste à votre disposition au 04 78 17 38 00 ou par mail à l’adresse accueil@santevet.com pour toutes informations complémentaires.
Toute l’équipe de SantéVet vous remercie de votre confiance.
Cordialement
Votre Conseiller</t>
  </si>
  <si>
    <t>SantéVet</t>
  </si>
  <si>
    <t>28/02/2018</t>
  </si>
  <si>
    <t>valerie-g-114185</t>
  </si>
  <si>
    <t>Je suis pleinement satisfait.
Rapide et efficace, quant au prix imbattable,
la conseillère a valider ma demande en 10 minutes bravo !
je recommande pleinement GMF !
VG.</t>
  </si>
  <si>
    <t>boivin-j-134954</t>
  </si>
  <si>
    <t xml:space="preserve">Bonjour,
Rapide et efficace, je recommande vivement. 
Site très sécurisé et intuitif. 
Toutes les formules sont claire, libre choix des options aussi. 
</t>
  </si>
  <si>
    <t>antonkata-98170</t>
  </si>
  <si>
    <t>Pratiques scandaleuses. Ils attirent les nouveaux contractants avec des prix plus bas, mais ils augmentent tous leurs tarifs d'année en année et sans vous en informer explicitement en se cachant derrière le fameux "avis d'échéance" qui pour eux vaut tout! Et vous disent après que vous n'avez pas fait attention! Ils vous sortent des indicateurs de 2018 alors qu'on parle de 2021... Bref, 3 ans après la signature, je paye plus que la première, alors que j'ai un meilleur bonus et les taux de sinistralité diminuent. Ils changent aussi les conditions particulières (ex. montant des franchises) sans vous informer. Je résilie mon contrat et celui de ma femme.</t>
  </si>
  <si>
    <t>larmee-l-122939</t>
  </si>
  <si>
    <t xml:space="preserve">Très satisfaite des services, un personnel à l'écoute qui résoud les problèmes. Il propose de nombreuses offres qui pourrais convenir à beaucoup. Merci </t>
  </si>
  <si>
    <t>tiare-106596</t>
  </si>
  <si>
    <t xml:space="preserve">Après avoir changé de mutuelle au 1er janvier 2021, je suis très déçue de NEOLIANE SANTE.
En effet, mes mails sont restés sans réponse, j'ai contacté NEOLIANE NICE qui m'a demandé de leur envoyé tout mon dossier et ce en date du 2/03/2021 réponse du 8/03/2021 qui m'informe de leur envoi des documents au centre de gestion afin de les traîter. A ce jour, je n'ai toujours pas été remboursée des actes effectués en janvier et début février.
Je suis aujourd'hui en découvert à la banque cause de non remboursements ? 
Je pense que si cette situation ne s'améliore pas je vais quitter cette mutuelle qui ne respecte pas ses clients.
</t>
  </si>
  <si>
    <t>m--pignon--100056</t>
  </si>
  <si>
    <t xml:space="preserve">A FUIRE AU PLUS VITE  !!!!
Mon père est décédé en aout 2018 et à ce jour 13/11/2020 plus de 2ans plus tard ,toujours aucun remboursement sur le compte de ma mère. Cette société est détestable dans sa façon de traiter les dossiers .
Jamais de réponse aux mes mails !
Que dire du courtier qui après avoir pris sa commission, a botté en touche lors de la demande de remboursement .
 </t>
  </si>
  <si>
    <t>zebhectlarr--97651</t>
  </si>
  <si>
    <t>Ma cotisation a augmenté de 120 euros en 2 ans, ils proposent le tarif le plus bas pour attirer puis sous prétexte de hausse des sinistres dans notre département, ils augmentent.</t>
  </si>
  <si>
    <t>21/09/2020</t>
  </si>
  <si>
    <t>laurine-d-135428</t>
  </si>
  <si>
    <t>Rapide, efficace pour les jeunes conducteurs avec youdrive. Je recommande pour pouvoir avoir son assurance a son nom pour plus tard. Le prix reste élevé mais pour les jeunes conducteurs ben pas le choix.</t>
  </si>
  <si>
    <t>fifi-103606</t>
  </si>
  <si>
    <t xml:space="preserve"> J'ai commencé par remplir un dossier sur leur site internet. Rencontrant quelques difficultés, j'ai contacté leur service clients par téléphone. j'ai eu un contact rapide sans trop d'attente avec un conseiller qui m'a apporté des réponses pertinentes à mes interrogations et besoins. L'analyse des besoins est complète. Les tarifs sont compétitifs. Je n'ai pas d'expérience en matière de gestion de sinistre.  </t>
  </si>
  <si>
    <t>03/02/2021</t>
  </si>
  <si>
    <t>rookie-53783</t>
  </si>
  <si>
    <t>Obligation de fournir des photos du véhicule via un smarphone avec leur application.Cette obligation n'apparait nulle part dans le contrat.Clause abusive?</t>
  </si>
  <si>
    <t>02/04/2017</t>
  </si>
  <si>
    <t>joel-d-112044</t>
  </si>
  <si>
    <t>Globalement satisfait
Regrette cependant une franche augmentation des cotisations depuis deux ans, qui peut inciter les adhérents à changer d'assurance ...</t>
  </si>
  <si>
    <t>cath-62962</t>
  </si>
  <si>
    <t>Insatisfait</t>
  </si>
  <si>
    <t>04/04/2018</t>
  </si>
  <si>
    <t>sophie-c-125951</t>
  </si>
  <si>
    <t xml:space="preserve">je suis sastifait pour le prix merce je donnerai a tout mes amis le site pour assurer leur voiture voila  ainsi que le tarif pour une maison tres atractif </t>
  </si>
  <si>
    <t>braydunoise-74561</t>
  </si>
  <si>
    <t>Oh la la fuyez cette assurance caci ils sont chers.impossible de les joindre.le service médical refusé les prises en charge.aucun professionalisme</t>
  </si>
  <si>
    <t>28/03/2019</t>
  </si>
  <si>
    <t>cel-80249</t>
  </si>
  <si>
    <t xml:space="preserve">Du jamais vu. Pas de rapport d'expertise suite a un sinistre dégât des eaux, lequel aurait du se dérouler, en outre, en présence de Tiers responsables. Pas de document de proposition d'indemnisation de remis, une absence totale de conseils destinés a procurer une aide dans ce dossier.
</t>
  </si>
  <si>
    <t>20/10/2019</t>
  </si>
  <si>
    <t>valerie-d-130178</t>
  </si>
  <si>
    <t xml:space="preserve">Bon rapport prix par rapport concurrence pour prestations de services égales.
Devis sur internet et souscription facile.
La seule question est de savoir qui résilié mon ancien contrat ? Moi même ou DIRECT ASSURANCE ? </t>
  </si>
  <si>
    <t>30/08/2021</t>
  </si>
  <si>
    <t>carlus76-128633</t>
  </si>
  <si>
    <t>Je suis déjà assuré chez MAAF , le devis que j'ai obtenu avec Assurland ne reflète pas la réalité je paie beaucoup plus cher et toutes les garanties ne sont pas prise en compte.
Le tarif obtenu et un tarif de base pour tous les assureurs;</t>
  </si>
  <si>
    <t>philosophe-54792</t>
  </si>
  <si>
    <t xml:space="preserve">Bonjour,
Je suis assuré à la MAIF depuis de nombreuses années : pour mes biens immobiliers, mes deux voitures. j'ai souscrit en plus de cela un contrat spécifique de protection juridique afin de parer à toutes les éventualités.
J'achète un véhicule d'occasion en aout 2016 à Saint Genis Laval (AEMG autos que je ne recommande pas !!!). Ce véhicule présente au bout de trois semaine des a coups moteur importants à l'accélération, un bruit important lorsque que le régulateur de vitesse est enclenché et un défaut de géométrie car le véhicule tire à droite. Le garage, malgré une garantie du véhicule, ne veut pas prendre en charge les réparations.
je contacte début novembre ma protection juridique. Elle réplique qu'elle n'a qu'un rôle de "conseil"... Il faudra attendre le 20 janvier2017 afin qu'elle s'aperçoive de son erreur et ouvre enfin un dossier de sinistre et m'accompagne dans mes démarches.
La protection juridique nomme un expert auto : CEA DU SUD EST (38). Ce dernier tente un négociation à l'amiable avec le garage. ce dernier refuse encore...
Je fais faire à la demande de l'expert un diagnostic moteur chez KIA à Castres le 23 février 2017 où je suis alors en déplacement professionnel. Problème de vanne EGR.
Je fais changer cette vanne EGR à mes frais. Le problème d'à-coup persiste. Je relance l'expert. J'attends fin avril 2017 pour avoir enfin une réponse. L'expert me demande de prendre rendez vous chez KIA à Seyssinet (38) pour un contrôle de géométrie seulement car la "protection juridique" Maif ne veut pas prendre en charge un diagnostic moteur...
Je contacte KIA Seyssinet. lls veulent bien faire le contrôle géométrie. Mais pas le diagnostic moteur au prétexte qu'il a été effectué chez KIA Castres (Tarn). Qu'il faut que je retourne à Castres (eh oui évident !).
Dans tout cela aucune nouvelle de ma "protection" juridique hormis le mail du 20 janvier.
Voilà où nous en sommes. c'est-à-dire nulle part. On se croirait dans le roman "le château" de Kafka. Je pense que la stratégie de la maif est de jouer la montre, de faire trainer les choses afin que je me décourage et jette l'éponge.
Je dois donc à ce jour me battre contre le garage qui m'a vendu le véhicule, l'expert auto, et enfin mon assureur... 
Bien cordialement
</t>
  </si>
  <si>
    <t>19/05/2017</t>
  </si>
  <si>
    <t>gwennael-60114</t>
  </si>
  <si>
    <t>Vu en rendez vous dernièrement sur le 93 , j étais  en rendez vous avec une vraie professionnelle conseillère investie souriante disponible je suis rassuree  j avais un peu peur de cette mutuelle et là surprise du travail de pro j ai pris la mutuelle avec une bonne protection bonne mutuelle à valeur humaine .</t>
  </si>
  <si>
    <t>26/01/2018</t>
  </si>
  <si>
    <t>bardel-l-113342</t>
  </si>
  <si>
    <t xml:space="preserve">SUPER ASSURANCE TRES RAPIDE ET DIRECT PAS DE PRISE DE TETE JESPERE NE PAS ETRE DECU ! POUR LINSTANT JE NAI ENTENDU QUE DES BONNE CHOSES SUR CETTE ASSURANCE </t>
  </si>
  <si>
    <t>11/05/2021</t>
  </si>
  <si>
    <t>elodie-f-117430</t>
  </si>
  <si>
    <t>Je suis satisfait du service
Le équipe  c'est très gentil et à l'écoute
le prix très intéressant par rapport à la concurrence j'espère rester très longtemps</t>
  </si>
  <si>
    <t>17/06/2021</t>
  </si>
  <si>
    <t>roland-d-130279</t>
  </si>
  <si>
    <t>Pas de possibilité de souscrire une assurance multi conducteur. Très dommage. des coups de téléphones en perspective. Désire assurer plus de deuxx personnes et non nominalement</t>
  </si>
  <si>
    <t>chalmey-j-136851</t>
  </si>
  <si>
    <t xml:space="preserve">Satisfait de la rapidité du site internet  .très bon rapport qualité prix les tarifs son très attractif je conseil à tout les futurs et nouveaux assurés </t>
  </si>
  <si>
    <t>samouillan-n-113375</t>
  </si>
  <si>
    <t>Je suis satisfait de la rapidité du service pour l'inscription et de la clarté du conseiller par téléphone. Côté tarif les explications semblent claires et les montant cohérents.</t>
  </si>
  <si>
    <t>jacquet-c-135283</t>
  </si>
  <si>
    <t>rapide pas d attente transmissions documents efficace accueil bon signature electronique securise reactif aux demandes rien a dire d autre sinon que tout est ok</t>
  </si>
  <si>
    <t>30/09/2021</t>
  </si>
  <si>
    <t>christian-p-130205</t>
  </si>
  <si>
    <t xml:space="preserve">Très satisfait du service merci. Navigation et prix très compétitifs avec beaucoup de facilités et simplicité pour établir un devis correspondant à mes attentes 
          </t>
  </si>
  <si>
    <t>cherifi-j-137603</t>
  </si>
  <si>
    <t xml:space="preserve">Rapide et sécurisant, en moins de 5 mn j'ai une assurance sur ma nouvelle moto sur le parking ou je l'ai acheté. Vraiment content de ma nouvelle assurance. </t>
  </si>
  <si>
    <t>16/10/2021</t>
  </si>
  <si>
    <t>beatrice-56333</t>
  </si>
  <si>
    <t>Alors que je n'ai pas eu d'accident depuis des années, donc aucun chez Eurofil. La compagnie vient de me signifier la résiliation de mon contrat pour "inadéquation du risque au regard de la politique de la compagnie" !!!</t>
  </si>
  <si>
    <t>27/07/2017</t>
  </si>
  <si>
    <t>patrick-106605</t>
  </si>
  <si>
    <t>j'ai fais une demande de rachat j'ai reçu un mail de generali m'informant que le virement serait fait entre 10 et 15 jours et un autres m'indiquant que le virement était parti.
a ce jour je n'ai rien reçu et je ne peux joindre personne.
JE CRAINS LE PIRE les commerciaux sont livres a eux mêmes et la ste GENERALI n'est qu'une coquille vide</t>
  </si>
  <si>
    <t>tyrex-55135</t>
  </si>
  <si>
    <t xml:space="preserve">Assuré depuis plus de 30 ans à la Maif, Mon fils conducteur secondaire à eu un accident mineur (1100€ de reparation environ) ce qui m'a fait perdre mon joker (50% de bonus depuis 5 ans au moins) J'ai donc suite a cela passé mon fils en conducteur principal, ce qui a double evidement la cotisation à pres de 1000€ en tous risques. En janvier mon fils a de nouveaux un accident, seul sur un rond point (plaque de gazoil sur route mouillée) il a donc arraché la roue avant sur le trottoir. Rachat de la voiture par la Maif, pas de soucis mais maintenant mon fils rachete une voiture, donc on telephone à la Maif pour assurer sa nouvelle voiture. Au bout de 30 mn d'appel et 3 interlocuterus on nous dit que la Maif refuse de l'assurer, car client Malussé. Dommage, la Maif n'aura plus nos assurances, a croire qu'ils n'ont pas besoin d'argent et qu'ils ont trop de clients. Tant pis apres tout la Maif n'est plus ce qu'elle etait, et je la quitte sans regrets
</t>
  </si>
  <si>
    <t>04/06/2017</t>
  </si>
  <si>
    <t>empty-96231</t>
  </si>
  <si>
    <t>Je suis très satisfait d'une façon générale, le rapport qualité-prix, la réactivité et l'amabilité des conseillés, en ce qui me concerne tout se fait automatiquement, ma mutuelle est rattachée à ma carte vitale et je n'ai rien à envoyer.
Les services sont très satisfaisants.</t>
  </si>
  <si>
    <t>martin-c-130311</t>
  </si>
  <si>
    <t xml:space="preserve">Satisfait du processus très simple !
Le prix est assez intéressant,mieux que sur les assureurs classiques, j'attends de savoir si le service est les garanties sont bonnes
</t>
  </si>
  <si>
    <t>corrihons-j-111612</t>
  </si>
  <si>
    <t xml:space="preserve">Je suis très satisfait es très contente de la simplicité des démarches des tarif proposés merci beaucoup pour votre confiance en vers moi bonne soirée </t>
  </si>
  <si>
    <t>25/04/2021</t>
  </si>
  <si>
    <t>maor12-53476</t>
  </si>
  <si>
    <t>A la suite d'un accrochage survenu avec un véhicule de courtoisie la MACIF a refuser de prendre en charge le sinistre alors que le transfert d'assurance avit été fait.</t>
  </si>
  <si>
    <t>nerestan-j-135219</t>
  </si>
  <si>
    <t xml:space="preserve">Super conseiller à l'écoute, tarif accessible à voir dans le temps comment sa se passe merci à l'olivier assurance parcontre j'ai pas trouver votre application </t>
  </si>
  <si>
    <t>j-en-ai-pas-100678</t>
  </si>
  <si>
    <t>j'ai subi un double prélèvement ce mois de novembre 2020. Ma réclamation date de 10 jours. Reçu un mail genre torchon pour me dire qu'il vont s'en occuper. Depuis rien, une excuse,  pensez donc. Ils s'en foutent complètement . J'ai plus de 300 euros qui trainent chez eux. ils ignorent totalement que des gens peuvent avoir des fins de mois difficiles . C'est tout simplement honteux . Il suffit de lire le nombre impressionnant de gens mécontents pour juger la nullité de cet organisme ;MERCER   se comporte pire  qu'une banque.
M.D.</t>
  </si>
  <si>
    <t>27/11/2020</t>
  </si>
  <si>
    <t>gilbert-m-112791</t>
  </si>
  <si>
    <t>Les prix sont très attractifs et les conseillers sont très aimable.
Je recommande cette assurance auto, je viens juste de venir chez eux, mais je suis tout de même déjà ravis de leurs prestations.</t>
  </si>
  <si>
    <t>mel-101618</t>
  </si>
  <si>
    <t xml:space="preserve">Courtier assurance à fuir pour une demande résiliation par recommandé dépasser de 4j alors qu'avec les restrictions sanitaires de cette période ( je suis diabétique) donc ne peut pas m'exposer ds des endroit publics.....! Ils m'ont refuser la résiliation de ce contrat prévoyance qui me sert à rien car fait par le biais d'une mutuelle !!! Une honte pour ce courtier en assurance qui empoche au profit sans aucun scrupule.... Pas du tout de souplesse
</t>
  </si>
  <si>
    <t>18/12/2020</t>
  </si>
  <si>
    <t>walter-j-111662</t>
  </si>
  <si>
    <t xml:space="preserve">Toujours à l'écoute 
Satisfait des renseignements demandés.
Rapidité d'exécution, aimable.
Des offres personnelles satisfaisantes je recommande cette assurance  </t>
  </si>
  <si>
    <t>26/04/2021</t>
  </si>
  <si>
    <t>adesaintmaurice-86879</t>
  </si>
  <si>
    <t>Une longue histoire qui se termine au tribunal.
Accident bien géré mais avec des erreurs du garagiste agréé qui a engendré une panne 1 an plus tard. Très mauvais suivi du dossier. Mauvaise foi. Plusieurs dizaine de relances par téléphone et mails. 4 mois de location véhicule pour combler leur inefficacité jamais pris en charge (3000eurs !!!) Problèmes d'expertise. Pas de réponse à notre lettre de mise en demeure. C'est très mal considéré ses clients. Bref on change et on poursuit en justice</t>
  </si>
  <si>
    <t>08/02/2020</t>
  </si>
  <si>
    <t>laffaiteur-n-131720</t>
  </si>
  <si>
    <t>Je suis satisfaite du service                             
Les prix sont très attractifs  
La démarche pour souscrire au contrat et simple et efficace</t>
  </si>
  <si>
    <t>gerard-g-106654</t>
  </si>
  <si>
    <t>Service pratique - Documents demandés déjà en partie en votre possession
Bon rapport qualité /prix -
 Votre service client n'est pas joignable facilement</t>
  </si>
  <si>
    <t>stef20290-96283</t>
  </si>
  <si>
    <t>Injoignable par téléphone une vrai cata... on vous raccroche au bout de 17 mn d'attente et lorsque vous avez quelqu'un ils ne sont pas capable de répondre, pour ma part j'ai été résilié qu'en sachant que 3 jours après sans aucune raison !!! et de plus les services ne sont joignables que dans 4 jours, une amalgame est faite entre Allianz et Eallianz. Allianz et Eallianz à Perdu un client avec un bonus de 50% sans sinistre.</t>
  </si>
  <si>
    <t>13/08/2020</t>
  </si>
  <si>
    <t>desespere-cherche-corde-pour-se-pendre-117869</t>
  </si>
  <si>
    <t xml:space="preserve">c'est très grave, les retards systématiques.
Ce n'est pas la première fois que j'écris ou téléphone, le dernier envoi date du 20 avril 2021 avec relance le 01.juin 2021 et toujours rien à ce jour.
la question posée: à la suite d'une rupture conventionnelle avec du chômage, la préyoyence court elle toujours? </t>
  </si>
  <si>
    <t>Malakoff Humanis</t>
  </si>
  <si>
    <t>lina-s-123740</t>
  </si>
  <si>
    <t>Très satisfaite du service client et des protection que contiennent mes contrats, maison ou voiture. Je recommande cette assurance pour sa rapidité et ses prix bas aussi que ses protections.</t>
  </si>
  <si>
    <t>azelie-70261</t>
  </si>
  <si>
    <t>A FUIR - ATTENTION  ! mon devis a été signé pour 263,90 euros.Mon contrat ne correspond ni à mon numéro de devis, ni à son montant ni à l'échéancier. Le tél change après la souscription et passe à un tél payant surtaxé ! on vous fait poiroter, 15 euros par appel et aucune régularisation de dossier. J'ai payé mes cotisations par un acompte comme stipulé par mon devis. Je n'ai reçu ma carte verte qu'au bout de 2 mois (ne pouvant pas utiliser mon véhicule pour non présentation de carte verte en cas de contrôle) puis réglé par chèques, j'ai soldé ma cotisation par anticipation (6 mois d'avance). Alors que j'ai refusé le prélèvement bancaire, cette compagnie effectue des prélèvements illicites sans autorisation de prélèvement bancaire sur mon compte générant des frais de rejet qu'elle me demande de payer! Elle me demande en sus 48 euros sans quoi elle résilie mon contrat ! Des façons de procéder inacceptables et inadmissibles. J'ai transmis mon dossier à l autorité de contrôle prudentiel et de résolution pour sanction. Un dossier est ouvert, faites remonter vos déboires vos mécontentements et vos préjudices, manifestement je ne suis pas la seule concernée !</t>
  </si>
  <si>
    <t>gazou30-44655</t>
  </si>
  <si>
    <t>j' avais un petit bonus qui m' a été en partie supprimé, je ne sais pas pourquoi.......ne peux répondre sur la vitesse de remboursement car je n' ai pas eu d' accident depuis plus de 10 ans........j' aurais aimé une reconnaissance plus importante car pour ma Mercedes je paie très cher pour être assuré tous risques plus........à l' occasion je quitterai cet assureur d' autant plus que ma maison est assurée chez eux   !!!!</t>
  </si>
  <si>
    <t>11/09/2020</t>
  </si>
  <si>
    <t>louki-71179</t>
  </si>
  <si>
    <t xml:space="preserve">bonjour,
je souhaite faire un rachat total de mon assurance vie de 10 ans
je ne retrouve plus mon contrat
axa me dis que je devrais casser ce contrat et que cela durerai 2 ans
est ce légal
il peut arriver de perdre des documents donc cela n'est pas normal a mon sens
très mécontente
 </t>
  </si>
  <si>
    <t>11/02/2019</t>
  </si>
  <si>
    <t>annie-m-132395</t>
  </si>
  <si>
    <t xml:space="preserve">Je suis très satisfaite ,et espère ne pas avoir de mauvaise surprise ! En effet c est lors que l'on a un problème  ...que l'on voit la qualité  de l assurance !
</t>
  </si>
  <si>
    <t>ade-56302</t>
  </si>
  <si>
    <t>Assurée depuis une quinzaine d'année à la MAIF sans aucun sinistre habitation, attention lorsqu'un petit sinistre se produit: accueil téléphonique lamentable à la limite de la correction, , au bout de 4 mois toujours aucune avancée dans le dossier ni le moindre début d'indemnité. Une honte!</t>
  </si>
  <si>
    <t>beaujard-a-126637</t>
  </si>
  <si>
    <t>Pas eu les 10% sur mon deuxième contrat auto comma annoncé au téléphone. Pas évident de se faire rappeler par un conseiller pour avoir des précisions sur le contrat.. 3 étoiles pour le prix, car pas eu la rmeise de 10% annoncé..</t>
  </si>
  <si>
    <t>ddl49-116366</t>
  </si>
  <si>
    <t>léger sinistre sur une portière avec un tiers qui s'est bien gardé de rester sur place. L'expert conteste ma déclaration et me rend totalement responsable. J'aurais fait une marche arrière avec une portière ouverte. Gogol au volant. 
Il est expert donc juste au dessus de vous et moi. je confirme qu'il est vraiment au dessus, car c'est lui qui écrit et expédié la lettre de rejet. Et la MAIF est elle au courant ou est ce elle qui incite ces experts à agir en  déni ?
Pas marié avec la MAIF, je peux aller voir en face.</t>
  </si>
  <si>
    <t>cottard-c-109707</t>
  </si>
  <si>
    <t xml:space="preserve">Nouveau client, j’ai reçu un bon accueil.
La souscription a été facile et assisté par un conseiller au téléphone.
L'envoi des documents quant à lui est un peu plus problématique.
</t>
  </si>
  <si>
    <t>dossou-yovo-y-135995</t>
  </si>
  <si>
    <t>Les prix sont corrects mais les délais sont un peu longs. Il est dommage qu'on ne puisse pas accéder directement à sa carte verte via l'espace client après avoir déposé les documents.</t>
  </si>
  <si>
    <t>jill-114942</t>
  </si>
  <si>
    <t xml:space="preserve">NEoliane... procédure abusive - contrat signé par SMS à des personnes agées qui sont abusées - et on relance et on relance - et on fait appeler le service contentieux pour faire peur.. et malgré les réclamations aucune prise en compte... pourtant mail à l'appui de la bonne prise en copte de ma demande-
et aujourd'hui on me rappelle pour me demander de confirmer mon adhesion au 01.01.2022 -&gt; c'est une blague 
déclaration auprès de l'ACPR+ DGCCRF+ depot de plainte en cours
</t>
  </si>
  <si>
    <t>26/05/2021</t>
  </si>
  <si>
    <t>gilles-d-109736</t>
  </si>
  <si>
    <t>ADHESION RAPIDE ET FACILE, POUR LE MOMENT RIEN A REDIRE, MEME SI J'AI DU RENEGOCIER AVEC UN DEVIS DE LA CONCURRENCE POUR OBTENIR DE MEILLEURES CONDITIONS</t>
  </si>
  <si>
    <t>barbamama-115692</t>
  </si>
  <si>
    <t>Renseignements toujours efficaces au téléphone. Très bonne prise en charge et de manière très simple de mes dommages lors d'une très forte grêle. Très satisfaite.</t>
  </si>
  <si>
    <t>vautour-s-130061</t>
  </si>
  <si>
    <t>pas chere , et la communication avec le representant etait clair et c'est bien passé
Je cherchais une assurance tout risque pas trop chère et celle ci est parfaite</t>
  </si>
  <si>
    <t>micatou-77468</t>
  </si>
  <si>
    <t>Contact ce jour avec Sabrina. Personne à l'écoute qui prend le temps de guider pour effectuer la démarche en ligne sur le site. Compréhensive devant les interrogations.</t>
  </si>
  <si>
    <t>09/07/2019</t>
  </si>
  <si>
    <t>jp-123919</t>
  </si>
  <si>
    <t xml:space="preserve">Tout va très bien avec ma mutuelle. Je suis chez vous depuis ma prise de fonction dans la police nationale donc depuis 1967 . Si  je suis resté chez vous c’est que je suis satisfait de vos services . Alors continuez comme ça et tout ira bien  . Vos employés sont à l’écoute et ce n’est pas par tout. Merci </t>
  </si>
  <si>
    <t>pasou-79829</t>
  </si>
  <si>
    <t>Bonjour je ne suis vraiment pas satisfaite du tout  on n'arrive jamais a les joindre par téléphone je suis tellement déçu j'aurai jamais du adhérer pas de réponse ok</t>
  </si>
  <si>
    <t>08/10/2019</t>
  </si>
  <si>
    <t>sybel51-63586</t>
  </si>
  <si>
    <t>très contente de la prestation .........................................................................................................................................................................................................................................................................................................................................................................................................................................................................................................................................................................................................................</t>
  </si>
  <si>
    <t>26/04/2018</t>
  </si>
  <si>
    <t>merelle-m-138250</t>
  </si>
  <si>
    <t xml:space="preserve">Je suis satisfait de l assurance l'olivier cordiallement très content du service et du relationnelle très bonne assurance très bien servis cordiallement </t>
  </si>
  <si>
    <t>25/10/2021</t>
  </si>
  <si>
    <t>lily-127305</t>
  </si>
  <si>
    <t xml:space="preserve">Ont résilié mon contrat sans aucune raison et ne prennent même pas la peine d'appeler pour éclaircir la situation. Préférable de payer plus cher pour une meilleure couverture et un vrai respect de l'assuré. </t>
  </si>
  <si>
    <t>nine8317-75301</t>
  </si>
  <si>
    <t xml:space="preserve">4 fois que j'envoie des factures pour me faire rembourser pour mes lentilles.ils ne reçoivent jamais, prétexte la poste... après multiples appels on m'annonce le délai de remboursement 47 jours, une honte, c'est pas vous qui avancé les frais. avec toutes les autres mutuelles c’était maxi 1 semaine 10 jours. si vous explosez de demander... recruter alors ce n'est pas a nous d'en payer le retard. </t>
  </si>
  <si>
    <t>23/04/2019</t>
  </si>
  <si>
    <t>coline-65674</t>
  </si>
  <si>
    <t>Procédures scandaleuses , nouveau contrat pour achat d'un nouveau véhicule résultat il m'oblige à rester 1 an dans le compagnie plus que douteuses ..
et en plus je découvre que le mois prochain j'aurais une hausse de mes mensualités de plus de 5 euros , alors que j'ai un bonus de 50 */* , quand je veux les joindre par mail il n'y a jamais de réponse , j’appelle le numéro non surtaxé ils me répondent d’appeler leur 0892 à 80 cts la minute !!! c'est une honte !!
encore dix mois à tenir pour sortir de leur piège à C
Je déconseille fortement cette assurance !</t>
  </si>
  <si>
    <t>21/07/2018</t>
  </si>
  <si>
    <t>ninine-76280</t>
  </si>
  <si>
    <t xml:space="preserve">APRIL est a fuir, et bien lire les toutes petites ligne du contrat qui ne sont pas a votre avantage.
POUR NOS ANCIENS A FUIR.
</t>
  </si>
  <si>
    <t>27/05/2019</t>
  </si>
  <si>
    <t>mv-87982</t>
  </si>
  <si>
    <t>Après plusieurs années en tant que "client" et non "sociétaire" comme ils l'affirment. Aucun contact si ce n'est pour demander la cotisation une fois par an. Cotisations qui augmentent d'année en année, Envoi des cartes vertes plus d'un mois après leur édition et moins d'un mois avant la date anniversaire du contrat (ne respecte pas la loi). Contacts téléphoniques très restreints : vous n'êtes qu'un porte monnaie ! Encore une fois, ils perdent de nombreux clients avec aucun accident (et quand on voit ce qui ont eu un accident sur ce site ...), déplorable ... A fuir !!!</t>
  </si>
  <si>
    <t>05/03/2020</t>
  </si>
  <si>
    <t>01/03/2020</t>
  </si>
  <si>
    <t>marie-s-109859</t>
  </si>
  <si>
    <t>Satisfaite lors de mes appels pour avoir des informations pour mon inscription
J'ai cependant eu du mal a valider mon inscription via internet, beaucoup d'attente</t>
  </si>
  <si>
    <t>janne-135134</t>
  </si>
  <si>
    <t>Je trouve ça scandaleux de rejeter un avis client.
Ça me réconforte davantage de résilier le contrat avec Pacifica.
Manque de compétences et de professionnalisme!</t>
  </si>
  <si>
    <t>geraldine-m-135037</t>
  </si>
  <si>
    <t>Je suis très contente du service, des conseils, de la réponse rapide et du prix vraiment très intéressant et mon interlocuteur est très agréable et professionnel</t>
  </si>
  <si>
    <t>29/09/2021</t>
  </si>
  <si>
    <t>le-brun-c-139217</t>
  </si>
  <si>
    <t>Service rapide et efficace, merci pour la facilité d'accès aux informations. Service rapide et efficace, merci pour la facilité d'accès aux informations.</t>
  </si>
  <si>
    <t>08/11/2021</t>
  </si>
  <si>
    <t>benibe-60534</t>
  </si>
  <si>
    <t xml:space="preserve">En avril 2016 j’ai demandé la résiliation de mon contrat pour déménagement ( changement de département donc de risques ) lettre que j’ai accompagnée d’un justificatif de déménagement. Active assurance ne m’a pas répondu, n’a plus donné signe de vie, ni courrier ni mail et à continué de prélever. J’ai envoyé 5 ou 6 courriers recommandés restés lettre mortes, puis une jour au téléphone une téléconseillere m’a affirmé avoir reçu mes documents mais qu’ils ne constituait pas un motif de résiliation et aujourd’hui après avoir bloqué les prélèvements j’ai des nouvelles mais cette fois ils affirment ne pas avoir reçu l’attestation de déménagements... c’est un sketch cette pseudo société, des menteurs qui rendent fou!!! Fuyez !!! Assignation au tribunal pour ma part et j’irai plus loin si il le faut, répression des fraudes saisi, associations de consommateurs et autorité de contrôle prudentiel. </t>
  </si>
  <si>
    <t>16/01/2018</t>
  </si>
  <si>
    <t>hamdi-a-124034</t>
  </si>
  <si>
    <t>Je suis satisfaite du service ainsi que le prix attractif. Merci à toute l’équipe de L’olivier, bon accueil et toujours à l’écoute du client.
Bon courage à toute l’équipe.</t>
  </si>
  <si>
    <t>kentoch-mervel-56356</t>
  </si>
  <si>
    <t>Client depuis plus d'une vingtaine d'année sans jamais aucun accident, le premier sinistre conséquent sans être en tord la MAAF s'est révélé ne pas être digne de confiance</t>
  </si>
  <si>
    <t>28/07/2017</t>
  </si>
  <si>
    <t>flosavoie-63493</t>
  </si>
  <si>
    <t xml:space="preserve">des incompétents! </t>
  </si>
  <si>
    <t>23/04/2018</t>
  </si>
  <si>
    <t>mameri-l-115151</t>
  </si>
  <si>
    <t xml:space="preserve">Je suis extrêmement satisfaite, cette assurance est intéressante financièrement, facile d'accès et d'utilisation et offre ses services rapidement. Merci l'Olivier assurance ! </t>
  </si>
  <si>
    <t>dodo-107184</t>
  </si>
  <si>
    <t xml:space="preserve">Très bien !
Simple remarque vous pourriez envoyer le porte vignette pour le pare brise lorsqu’il s’agit d’un véhicule neuf ! 
Oubli ou radin ???
J’attends la réponse </t>
  </si>
  <si>
    <t>19/03/2021</t>
  </si>
  <si>
    <t>deneuche-n-123537</t>
  </si>
  <si>
    <t xml:space="preserve">Je suis satisfaite du service, et l'interface est facile d'usage. A voir en fonction des sinistres et de la couverture totale une fois mise en application selon les termes du contrat. </t>
  </si>
  <si>
    <t>bblanc-49415</t>
  </si>
  <si>
    <t xml:space="preserve">Trois psy par an ! Heureusement que je ne suis pas trop atteint !
</t>
  </si>
  <si>
    <t>21/11/2016</t>
  </si>
  <si>
    <t>zeroday-70825</t>
  </si>
  <si>
    <t>La pire des assurances auto que j'ai jamais eu. Du grand n'importe quoi. Quasimment aucun document sur l'espace client j ai du me battre pour avoir les conditions générales et comprendre on contrat. On m a meme demandé pourquoi je le voulais. Surtout avec Bonus 0.50 depuis 6 ans, 1er sinistre, j'ai du attendre mon véhicule 4 mois au garage, longueurs administratives etc. La vieille ils m envoient un email (pas un appel rien) me disant NOUS NE PRENONS PAS EN CHARGE VOTRE SINISTRE; Ils ont fait jouer le petit détail pour eviter de payer. Ecoeurant !</t>
  </si>
  <si>
    <t>31/01/2019</t>
  </si>
  <si>
    <t>pat-50400</t>
  </si>
  <si>
    <t>Bonjour, cette assurance est déplorable!!! Pour s'incrire c'est quelques clics, pour en partir c'est le début de la galère. La première échéance dont le tarif est compétitif ne dure pas , dés la deuxième année le tarif explose, sans aucun accident . Le service pour résilier est injoyable, il vous laisse attendre plus de 3 quart d'heure avant de répondre. Il vous dise ce que vous voulez entendre mais ne font rien aprés. J'ai demandé le relevé de situation d'assurance, aprés 5/6 contacts ...toujours rien eu. Donc en résumé NE PAS PRENDRE COMME ASSURANCE</t>
  </si>
  <si>
    <t>17/12/2016</t>
  </si>
  <si>
    <t>habiba-o-131031</t>
  </si>
  <si>
    <t xml:space="preserve">Comme client fidèle j'aurais aimé avoir les frais offerts un geste commercial de mes 4 contrat avec direct assurance, ou avoir deux mois offerts, j'ai assurance maison plus 3 vehicles. </t>
  </si>
  <si>
    <t>dominique-d-109422</t>
  </si>
  <si>
    <t>Comme indiqué dans la dernière conversation téléphonique j'ai spécifié que si je n'avais pas d'appel avant ce soir je résiliais mes contrats et celui de mon épouse  (2 véhicules) et je souscrirais pas le contrat habitation.
La personne que j'ai eu en fin de cette matinée avec qui j'ai revu les tarifs véhicules devais me rappeler avant 16 h ce jour…. Pas d'appel et d'après vos collègues il n'y que cette personne qui peut appliquer ces tarifs préférentiels .
Cela fait parti de vos engagements (c'est inscrit sur votre site)
De plus vos assurances augmentent tout les ans fortement (1 contrat sur 3 ans 30 euros )
Ceci est pour signifier mon grand mécontentement .
Cordialement</t>
  </si>
  <si>
    <t>coralie-s-127831</t>
  </si>
  <si>
    <t xml:space="preserve">je suis satisfaite de toutes les informations et du service ainsi que le tarif est très compétitif pour une première souscription dassurance chez vous
</t>
  </si>
  <si>
    <t>13/08/2021</t>
  </si>
  <si>
    <t>severine-d-113311</t>
  </si>
  <si>
    <t>je suis satisfaite des services, juste dommage qu'il y est plus d'assurance pour assistante maternelle. sinon j'aurai pris l'assurance habitation et assistante maternelle . CAR TARIF ATTRACTIF</t>
  </si>
  <si>
    <t>10/05/2021</t>
  </si>
  <si>
    <t>yann-m-122988</t>
  </si>
  <si>
    <t>la souscription est aisée, le rapport prestation/prix très correcte , site bien fait, garantie plus intéressante que d'autre leader de l'assurance deux roues</t>
  </si>
  <si>
    <t>sam-117687</t>
  </si>
  <si>
    <t xml:space="preserve">Ce jour, j'appel pour un devis auto chez Eurofil, interlocuteur très désagréable et prétentieux, il se permet jusqu'à me juger sur mes déplacements auto. 
Dommage ca à toujours été mon assurance par défaut, ça ne sera plus le cas. 
A fuir ... </t>
  </si>
  <si>
    <t>21/06/2021</t>
  </si>
  <si>
    <t>soleilcatalan-137646</t>
  </si>
  <si>
    <t>il est impossible d'avoir une relation soit téléphonique soit par internet avec cet assureur qui se glorifie de répondre dans les 48 heures à ces clients.
Envoi de devis avant opération jamais de réponse.
Temps infini pour les remboursements, 
jamais de réponses aux demandes quelconques</t>
  </si>
  <si>
    <t>fatima-f-129458</t>
  </si>
  <si>
    <t>Je suis satisfait de votre service, je vous remercie infiniment de votre service et votre assurance, Je suis satisfait de votre service, Je suis satisfait de votre service</t>
  </si>
  <si>
    <t>laetilodie-80749</t>
  </si>
  <si>
    <t>assuré depuis 20 ans, viré du jour au lendemain sans prévenir et sans raison. Pas de sinistre sauf un nuage de grêle il y a 2 ans</t>
  </si>
  <si>
    <t>05/11/2019</t>
  </si>
  <si>
    <t>alex69-65135</t>
  </si>
  <si>
    <t xml:space="preserve">Idem que les autres témoignages, tarif annoncé non respecté, terme du contrat pas clair, argumentaire pour prendre l'assistance 0 km en disant que un scooter n'est fait que pour rouler en ville, je donne 3 fois ma nouvelle adresse je reçois mon contrat avec l'ancienne adresse...une conseillère la première a été cordiale, les deux autres conseillérs sont vraiment limite.Bref j'étais assuré chez eux 2014 et bien cela a bien changé en 4 ans. A fuir!!! </t>
  </si>
  <si>
    <t>Euro-Assurance</t>
  </si>
  <si>
    <t>28/06/2018</t>
  </si>
  <si>
    <t>vibert-b-122317</t>
  </si>
  <si>
    <t xml:space="preserve">Rendez vous téléphonique simple et efficace, bon personnel à l'écoute et compréhensif.  Prix attractif.  A voir durant ma première année si tout se passe comme prévu </t>
  </si>
  <si>
    <t>carriere-110655</t>
  </si>
  <si>
    <t>Courtier de Néoliane Santé ,SANTIANE. A déconseiller.Pour établir un contrat pas de problème. Vous résiliez tout s’arrête :SAUF annulation de la télétransmission avec le centre de Sécurité Sociale.Voila 106 jours que je leur envoie Mails,appel telph,rien n'y fait. Réponse: on s'en occupe ,on transmet au service concerné ,rien de fait à ce jour,,mauvaise foi,incompétence,un manque de sérieux .... Je vous déconseille ses organisme qui ne sont là, que pour faire de l'argent car chaque année les augmentations de tarifs  fonctionnent très bien!Enfin, un service performant chez eux.....</t>
  </si>
  <si>
    <t>16/04/2021</t>
  </si>
  <si>
    <t>beran-57074</t>
  </si>
  <si>
    <t xml:space="preserve">decue par santevet 
remboursement trop long et quand a la franchise qui augmente parce que l animal a 10 ans c'est abuse
en 2007 c'etait tres bien mais maintenant ca devient n importe quoi
</t>
  </si>
  <si>
    <t>04/09/2017</t>
  </si>
  <si>
    <t>rodrigues-m-115939</t>
  </si>
  <si>
    <t xml:space="preserve">Curieuse manière de traiter sa clientèle !! En dehors de cette obligation qui m'oblige à donner un avis alors que j'arrive à peine, de m'imposer un nombre de caractère pour décrire une société que je ne connais finalement pas encore ,, Je pourrais être Satisfaite !! </t>
  </si>
  <si>
    <t>agnes-l-130550</t>
  </si>
  <si>
    <t>rapport qualité/prix satisfaisant. Par contre améliorer les contacts téléphoniques pour les dossiers en cours. Difficultés pour obtenir un intrelocuteur</t>
  </si>
  <si>
    <t>ml78-123294</t>
  </si>
  <si>
    <t xml:space="preserve">Mutuelle hors de prix par rapport au niveau des remboursements fortement à déconseiller pour les particuliers.
Je suis entrain de résilier mon contrat chez eux .
Il devrait plutôt faire des économies sur la publicité au lieu de faire payer leurs clients.
M.Lambert
</t>
  </si>
  <si>
    <t>13/07/2021</t>
  </si>
  <si>
    <t>de-la-fontaine-d-135064</t>
  </si>
  <si>
    <t xml:space="preserve">La souscription par voie électronique est assez longue et laborieuse satisfaite. 
J'avais demandé l'appel d'un de vos conseiller via votre site client. Je n'ai pas reçu d'appel?
Cordialement, </t>
  </si>
  <si>
    <t>dany33440-104861</t>
  </si>
  <si>
    <t>Bonjour,je suis très satisfait des interlocutrices que j'ai chaque fois au téléphone,très professionnelles,à l'écoute de mes problémes et à resoudres ceux-ci dans les plus brefs délais.</t>
  </si>
  <si>
    <t>26/02/2021</t>
  </si>
  <si>
    <t>bouga74-57436</t>
  </si>
  <si>
    <t>Une blague d'assurance! Assurance auto qui augmente de 250€ (+25%) cette année sans avoir aucun accrochage responsable de l'année, c'est une blague. Et sans aucune explications! A fuir !</t>
  </si>
  <si>
    <t>19/09/2017</t>
  </si>
  <si>
    <t>adeline-r-133878</t>
  </si>
  <si>
    <t>Je viens de souscrire 2 contrats d'assurances motos.
Une fenêtre disait que l'on pouvait bénéficier de 10% de réduction pour la souscription d'un second contrat...
Je n'ai pas trouvé comment bénéficier de cette remise.
Dommage !</t>
  </si>
  <si>
    <t>souad-k-126878</t>
  </si>
  <si>
    <t>je suis satisfaite par la rapidité de votre service, et c'est mon mari qui est déjà assuré chez vous qui m'a conseillé la compagnie Direct-Assurance .</t>
  </si>
  <si>
    <t>van-boxel-p-115485</t>
  </si>
  <si>
    <t xml:space="preserve">Très partagée sur la relation client, les conseillers ne donnent pas tous les mêmes informations au téléphone et la réception du devis n'engage apparemment pas la société au niveau du tarif annoncé alors que celui-ci est annoncé avec un mois de validité, ce qui laisse entendre de l'information mensongère ... le prix du contrat est au final très correct, heureusement tous les conseillers ne sont pas tous incompétents et savent se remettre en question.
</t>
  </si>
  <si>
    <t>amelle-d-128701</t>
  </si>
  <si>
    <t>Je trouve l'assurance un peu cher pour une première assurance mais le service en ligne est pratique.
Simple et efficace.
C'est pourquoi j'ai noté 3 étoiles sur 5.</t>
  </si>
  <si>
    <t>fotou-55913</t>
  </si>
  <si>
    <t>J'ai changé d'auto (12/2016) et d'assurance auto, pour Direct Assurance. La raison de mon choix est principalement financière. (assurance tous risques 100€/an moins chère que mon tiers collisions+opt° vol bris de glace incendie, du précédent assureur). Début 2017, accident non-responsable avec dommages matériels du véhicules. 1 coup de fil, le jour même rdv au garage désigné et fourniture d'un véhicule de remplacement. 3 jrs plus tard récupération auto -_x009b_ frais 0€.</t>
  </si>
  <si>
    <t>10/07/2017</t>
  </si>
  <si>
    <t>mathilde-a-132044</t>
  </si>
  <si>
    <t xml:space="preserve">Satisfaite, à voir en cas de sinistre si le service est toujours aussi correct 
Toujours simple de signer un contrat d’assurance, c’est lors d’un pépin que l’on se rend compte si elle est bonne ou pas </t>
  </si>
  <si>
    <t>jacky-b-110155</t>
  </si>
  <si>
    <t xml:space="preserve">Les prix  sont correctes et attractifs, le contact est rapide la gestion des sinistres très efficace et les conseillères au téléphone sont très à l'écoute. </t>
  </si>
  <si>
    <t>12/04/2021</t>
  </si>
  <si>
    <t>ludo-70811</t>
  </si>
  <si>
    <t>Matmut Protection Juridique refuse systématiquement de prendre en charge les frais de procédures sous des prétextes bidons. On ne peut pas compter sur eux. Ne servent à rien. Vraiment à éviter!</t>
  </si>
  <si>
    <t>nadege-p-117157</t>
  </si>
  <si>
    <t>Conseillère à l'écoute, de bons conseils (quand rdv en agence)
Service par Internet efficace, facilité pour les avoir les documents, effectuer les paiements</t>
  </si>
  <si>
    <t>15/06/2021</t>
  </si>
  <si>
    <t>sysy-56832</t>
  </si>
  <si>
    <t xml:space="preserve">Ras le bol 3 semaine qui me.demande papier plus je leur donne plus il m'en réclame je vous de conseil vivement de vous assure chez eux sa fait 3 semaine que je galère pour leur donne des papier il en veule encore plus je leur donne il m'en réclame d autre ces un vrai cauchemar </t>
  </si>
  <si>
    <t>23/08/2017</t>
  </si>
  <si>
    <t>fdx59-70349</t>
  </si>
  <si>
    <t xml:space="preserve">La promesse du dépannage en 45mn non respecté ! Plus de 2h d'attente... avec un conseil qui menace de vous raccrochez au nez (belle exemple d'assistance ! ) et un dédommagement refusé car la demande fut faite 1 jours trop tard malgré les fermetures des fêtes de fin d'année.... merci pour la publicité mensongère. </t>
  </si>
  <si>
    <t>18/01/2019</t>
  </si>
  <si>
    <t>christian-104246</t>
  </si>
  <si>
    <t xml:space="preserve">client depuis plus de 38 ans a la macif avec bonus 50 et plus pour bon conducteur .
on se rend a l agence pour demander si on peut pretendre a une reduction du a la conjoncture actuelle on m ex plique que cela n est pas possible car lecon de moral en m expliquant qui li y a pire que nous !
personnel tres desagrable a qui on ne peut pas s exprimer se sentant soi disant agressee alors que l on ne demandait que des explications.la macif serait donc devenue plus une aide sociale plutot qu une assurance d apres les explications de cette conseillere .
d autre assurances ont fait le choix de faire beneficier a leurs clients  une reduction mais pas la macif !
</t>
  </si>
  <si>
    <t>dalle-m-139551</t>
  </si>
  <si>
    <t>Je suis entièrement satisfait par votre site et vos prix bas. J'espère que l'assurance est adaptée à ma situation.
J'espère que les démarches seront effectuées rapidement pour ne pas payer une mensualité de trop chez Direct assurance. Soit avant le 10/12/2021.</t>
  </si>
  <si>
    <t>moi-122591</t>
  </si>
  <si>
    <t>Cette assurance santé est une honte,  c'est une des seules assurances à  ne pas pratiquer le panier 100% santé et le 0 reste à  charge pourtant prévu par la loi Macron et bien  pas chez eux.
même mon chirurgien dentaire leur a téléphoné et bien ils répondent  que ma garantie est trop basse alors que je suis au niveau 3. Même mon dentiste leur a fait part de son incompréhension alors ils nous renvoient vers le courtier? ..
UNE HONTE pour 73 E par mois évidement que je vais fuir.
Et mon avis n'est pas un avis suspect c'est un réel avis. 
Une honte, Ils ne répondent pas aux courriers de demandent d'explications et quand ils daignent le faire on ne comprend rien à  leurs réponses car c'est une loi qui devrait d'appliquer à tout le monde quand les devis sont corrects.  pas Chez eux.</t>
  </si>
  <si>
    <t>tom-126321</t>
  </si>
  <si>
    <t xml:space="preserve">Vu ma profession, j'ai besoin de cette prévoyance, de compléter cette perte de salaire et perte de prime.. L' assurance décès est nécessaire avec mon métier à risque. Je suis plutôt satisfait.. </t>
  </si>
  <si>
    <t>theommm-85354</t>
  </si>
  <si>
    <t>Client chez eux depuis 2 ans je déconseil cet assureur.
Actuelement victime d'un sinistre ou je ne suis pas en tord, leur expert, si on peut appeler ça un expert, juge mon véhicule complétement à la baisse de sa cote actuelle.
Je les contact, 1 h pour avoir leur hotline pire que catastrophique, pour qu'on me dise "ok il va y avoir une 2nd evaluation on vous recontact".
Comme d'hab c'est à moi de les contacter car 2 semaines sans nouvelle, et la on me dit : "Je n'ai aucune trace de votre précédent appel, c'est à vous et vos frais de faire passer un 2nd expert".
Donc je résume :
-On me divise par 2 la côte actuelle de mon véhicule car expert bidon (je lui ai fait un mail avec la côte actuelle et l'historique de mon vehicule donc en soit il n'a rien fait à par regarder 1 site style La Centrale alors que je lui avais maché tout le travail).
 -On me fait patienter des semaines.
-Hotline remplie d'incapable.
Et tout ça alors que ça ne leur coute pas UN EUROS car je ne suis pas en tord.
Pour moi c'esgt l'assureur à éviter parmis tant d'autres, et je résille mon contrat chez eux.
Je ne leur donnerai plus mon argent pour avoir des incapables en retour.</t>
  </si>
  <si>
    <t>30/12/2019</t>
  </si>
  <si>
    <t>alvarez-l-115039</t>
  </si>
  <si>
    <t>Je suis satisfait des relations téléphoniques et des tarifs proposés souhaitant qu'en cas de sinistre la prise en charge soit à la hauteur des relations avec l'olivier.</t>
  </si>
  <si>
    <t>alexandra-56536</t>
  </si>
  <si>
    <t>Victime d'un sinistre non responsable cela fait maintenant un mois que je n'ai pas de véhicule (pas de véhicule de prêt no plus) et je ne sais toujours pas ce qu'il va advenir de mon véhicule (je ne peux donc pas non en acheter un autre) et qu'on me mène en bateau, un coup c'est l'expert puis après l'expert renvoi la balle en disant que c'est l'assureur. J'ai du mal a comprendre ce genre de comportement surtout quand l'assureur se permet d'augmenter chaque année sa cotisation de plus de 50 euros sans raison valable puisque je n'avais eu aucun sinistre à ce jour.</t>
  </si>
  <si>
    <t>08/08/2017</t>
  </si>
  <si>
    <t>seb74-139031</t>
  </si>
  <si>
    <t>Ma voiture a été victime d’un bris de glace en stationnement en août 2021.
L’auteur du sinistre a été identifié, reconnu sa responsabilité, et a signé le constat.
J’ai envoyé le jour même le constat signé à Allianz. J’ai du parler à une dizaine de personnes de service différent qui se renvoyaient toutes la balle.
Ensuite, je leur ai envoyé un reminder par mois, l’entreprise n’a jamais daigné répondre à ma demande d’indemnisation.
Nous sommes en Novembre. J’ai payé les réparations de ma poche et changé d’assurance.</t>
  </si>
  <si>
    <t>05/11/2021</t>
  </si>
  <si>
    <t>kouakou-d-138571</t>
  </si>
  <si>
    <t xml:space="preserve">Raisonnable et prix correcte. Réalisation dossier rapide et efficace. Pas trop de soucis pour souscrire chez l'olivier assurance. Je ne suis pas de u pour me moment </t>
  </si>
  <si>
    <t>29/10/2021</t>
  </si>
  <si>
    <t>morais-dias-j-126298</t>
  </si>
  <si>
    <t xml:space="preserve">Je suis satisfait tout ces très passé 
Le prix et accueil et le déroulement du dossier sur le site et je suis rassurée de faire partie de vous client </t>
  </si>
  <si>
    <t>chophi-59644</t>
  </si>
  <si>
    <t>Client 218307 tombé en panne hier j ai du faire remorquer ma voiture par mon garagiste. Pour la facture de remorquage mon garagiste me demande si mon assurance prend en charge.j appel le service client et on me dit que oui mais que j aurais du appeler l assistance de chez vous pour etre pris en charge mais que je devrais quand meme envoyer la facture et peut etre vous la prenez en charge...
C est flou. Doit je vous envoyer la facture ou non?
Merci</t>
  </si>
  <si>
    <t>13/12/2017</t>
  </si>
  <si>
    <t>nizam-m-135777</t>
  </si>
  <si>
    <t>Simple et pratique.Je suis satisfaite avec le prix et garantie .Facilite de etabliré une contrat par internet.Si tout vas bien je vous propose à mes amis.
Bien Cordialement,M.Muhic</t>
  </si>
  <si>
    <t>04/10/2021</t>
  </si>
  <si>
    <t>jean-jacques-p-133765</t>
  </si>
  <si>
    <t>completement satisfait . devis fait rapidement . tarifs excellents .rapidité pour m assurer , puis paiement rapide et surtout des tarifs bien moins chers qu ailleurs</t>
  </si>
  <si>
    <t>sophiesantos-68340</t>
  </si>
  <si>
    <t xml:space="preserve">Très bonne écoute bonne accueil bonne explication </t>
  </si>
  <si>
    <t>05/11/2018</t>
  </si>
  <si>
    <t>ludovic-s-121321</t>
  </si>
  <si>
    <t>Globalement satisfait de direct assurance, cependant déçu de l'augmentation de presque 10 %, totalement injustifiée apres une année ou les divers confinement auront réduits le nombre de sinistres.</t>
  </si>
  <si>
    <t>bru-113304</t>
  </si>
  <si>
    <t>Honteux. Le traitement du dossier ne se fait pas alors qu'il s'agit de passer d'une incapacité à une invalidité sans AUCUN autre changement au niveau de la prise en charge et pourtant on redemande exactement les mêmes pièces à refournir! Aucune réponse autre que des mails d'enregistrement des demandes. Service concerné injoignable. Délais annoncés non respectés sans explication autre que "désolé" on vous recontacte très vite et puis rien.... Impossible d'avoir une personne responsable sur le dossier concerné. Barrage systématique. Refuse de donner même l'adresse postale du service pour un rdv en présentiel. Une mutuelle CYNIQUE ET DETESTABLE AU POSSIBLE. A éliminer totalement.</t>
  </si>
  <si>
    <t>patrick-e-105627</t>
  </si>
  <si>
    <t xml:space="preserve">service compétent , assureur et assurance  qui donne satisfaction  ...
à conseillé, prix et contrat ,et service de bonne qualité..espace personnel bien et facile d' accès
</t>
  </si>
  <si>
    <t>05/03/2021</t>
  </si>
  <si>
    <t>ag-98874</t>
  </si>
  <si>
    <t xml:space="preserve">client de 1987  je paie 47 € par mois pour que l'on me dise lors d'une demande assistance panne que j'ai droit si seulement 25 km de mon domicile, rapatriement du véhicule au garage le plus prêt ( ici la rochelle) j'habite à 200 km de là et j'ai juste droit à un billet de train  puis après débrouille toi pour rentrer à mon domicile. 
contact l'agence allianz , qui me sort que j'ai a lire le contrat avant de signer et que j'ai eu plusieurs sinistres.  je lui demande des explications et là on me sort des sinistres non responsables depuis 1994 . agent d'assurance non compétent  je change d'assurance moins chère et plus d'avantages .   </t>
  </si>
  <si>
    <t>18/10/2020</t>
  </si>
  <si>
    <t>maya-102561</t>
  </si>
  <si>
    <t xml:space="preserve">Pour l’instant très satisfaite, suite à un sinistre causé par un tiers. Réactif au téléphone, leur site internet fonctionne correctement et est ergonomique. Ils m’ont rediriger vers un garage des le lendemain de ma déclaration et facilite mes démarches.
Répond aux questions, renvoie les documents si on les as perdus par exemple.
</t>
  </si>
  <si>
    <t>13/01/2021</t>
  </si>
  <si>
    <t>tonton-109044</t>
  </si>
  <si>
    <t xml:space="preserve">
Après a un sinistre  survenu le 16 Mars 2021 d'un volet cassé suite a un vent fort 90/110 km Heures, je doit maintenant justifié la force du vent par une attestation de la Mairie ?
Est-ce aux clients de faire se type de démarche ???
Après avoir été assuré 40 ans chez AXA voilà l'exemple type des demandes que me sont faite par le service sinistre, ceci est simplement une honte !!!
Je pense qu'il devrait mettre plus leurs clients au cœurs de leurs préoccupation.</t>
  </si>
  <si>
    <t>nizet-n-113457</t>
  </si>
  <si>
    <t>bonne assurance, avec des conseillères à l'écoute des clients. Assurance souscrit rapidement après la réalisation du devis sur internet. Je recommande!!!!</t>
  </si>
  <si>
    <t>samsam-65151</t>
  </si>
  <si>
    <t>ASSURANCE LAMENTABLE JE M'EXPLIQUE :
ACCIDENT DE LA ROUTE SURVENUE EN NOVEMBRE 2017 OU J'AI FAILLI Y LAISSE MA PEAU !!!
ET DEPUIS CE JOUR LA MATMUT AUCUN REMBOURSEMENT AUCUN ACCORD POURTANT ASSURANCE TOUS RISQUES 
JE DECONSEILLE FORTEMENT CETTE ASSURANCE ET DE LES ATTAQUER EN JUSTICE
JE DECONSEILLERAI CETTE ASSURANCE AUTOUR DE MON ENTOURAGE DES RESEAUX SOCIAUX ET PLUS ENCORE</t>
  </si>
  <si>
    <t>falcoz-l-115716</t>
  </si>
  <si>
    <t xml:space="preserve">Je suis satisfaite du déroulement de la prise en charge pour m'assurer chez vous rapide et efficace mais dommage que les prix soient plus chers que d'autres assureurs </t>
  </si>
  <si>
    <t>david-c-109150</t>
  </si>
  <si>
    <t>tarif à l inscription correct, mais après idem aux autres assureurs...service en moins.
pas reçu la nouvelle carte verte, évolution du bonus retiré cause abesence d'assurance pendant  + de 3 mois, pas commercial</t>
  </si>
  <si>
    <t>04/04/2021</t>
  </si>
  <si>
    <t>valerie-103374</t>
  </si>
  <si>
    <t xml:space="preserve">
Harmonie Mutuelle ne respecte pas les adhérents, personne ne répond au téléphone et quand enfin vous avez quelqu'un elle vous raccroche au nez.
Très très très mauvaise mutuelle.. Très mauvais remboursements, alors que je paie un prix excessivement élevé de 87 euros pour 1 adulte. 
Une manque de sérieux de mutuelle à laquelle j'ai dû souscrire par le biais de l'entreprise dans laquelle je travaille. 
Je ne suis toujours pas remboursé conformément aux garanties de mon contrat de mutuelle santé. 
MUTUELLE A FUIR !
</t>
  </si>
  <si>
    <t>28/01/2021</t>
  </si>
  <si>
    <t>taoufik-b-109670</t>
  </si>
  <si>
    <t>Excellent rapport qualité prix. Client depuis une dizaine d'année je n'ai rencontré aucun problème ni au niveau de l'information et ni au niveau de la clarté du service</t>
  </si>
  <si>
    <t>jean-luc-p-112218</t>
  </si>
  <si>
    <t xml:space="preserve">Le service fut rapide et le prix qui m’a été proposé m’a permis de bénéficier d’une réduction de près de 100€ Sur l’assurance de mon nouveau véhicule </t>
  </si>
  <si>
    <t>30/04/2021</t>
  </si>
  <si>
    <t>celine--ph-122108</t>
  </si>
  <si>
    <t xml:space="preserve">A FUIR !!!!! mon conjoint a eu un accident le 20 juin 2021. Un mail a été envoyé à April le lendemain pour déclarer le sinistre. 1 semaine après (28/06/2021), toujours pas de nouvelle d'eux. je décide donc de les appeler, et la dame au téléphone me dit que le mail n'avait toujours pas été traité (sachant que la moto était chez le dépanneur, et qu'on paye pour chaque jour ou la moto est là-bas). Elle fait donc le dossier sinistre au téléphone, et me dit que l'expert viendra le vendredi 02/07/2021 au garage que je choisi. Dans cette semaine la, n'ayant toujours pas de nouvelle, je décide d'appeler le garage pour voir si la moto a été déposé, et il me dit que non, j'appel donc le dépanneur et il me dit que l'assurance ne les avait pas rappeler car il faut payer les frais de gardiennage avant qu'il dépose la moto. J'appel donc APRIL MOTO, et il me dise que c'est à nous de régler car il ne prenne pas en charge, personne ne nous a appelé pour nous prévenir, on été jeudi et l'expert devait passer le lendemain. J'ai du donc payer de ma poche 360€ de frais de gardiennage car l'assurance à mit 1 semaine à gérer mon dossier. Et ce matin (vendredi 02/07/2021), le garage m'appelle pour me dire que l'expert est passé la vieille et que la moto n'était pas la donc il a replacé un rendez vous pour le mercredi d'après. C'est INNADMISSIBLE, que personne ne nous est contacté pour nous dire que l'expert ne pouvait pas passer vendredi (alors que nous avions eu confirmation par SMS). Et au téléphone on me dit que c'est comme ça, c'était un problème d'ordinateur et que l'expert n'est pas la le vendredi. Hallucinant ce manque de respect total, aucun effort au téléphone pour régler la situation. 
Le prix est bien, il retire bien l'argent tous les mois, mais quand vous avez un accident c'est plus pareil </t>
  </si>
  <si>
    <t>vgz31-78704</t>
  </si>
  <si>
    <t>Étant  client depuis 2009.sans accident et effectuant moins de 10000kms par an.Je vous avez demandé  de revoir mon contrat actuel.</t>
  </si>
  <si>
    <t>26/08/2019</t>
  </si>
  <si>
    <t>eric78200-52282</t>
  </si>
  <si>
    <t xml:space="preserve">Un conseil, n'ayez jamais de sinistre avec cette assurance!!!! Même le plus minime. Bris de glace sur un véhicule assuré chez l'Olivier Assurance. Remplacement du pare brise chez un garage non partenaire. Le remboursement ne se fait pas au vu de la facture mais au vu d'un chiffrage qui n'est même pas indiqué ou comuniqué par les conseillers téléphoniques. Je résilie mes 2 contrats auto chez cet assureur
</t>
  </si>
  <si>
    <t>04/06/2020</t>
  </si>
  <si>
    <t>estelle-116491</t>
  </si>
  <si>
    <t xml:space="preserve">j'attends un remboursement dentaire de 630 €uros, j'appelle toutes les semaines, impossible de l'obtenir. Une catastrophe cette mutuelle. Quand compte t il rembourser ? </t>
  </si>
  <si>
    <t>dylan-z-109149</t>
  </si>
  <si>
    <t xml:space="preserve">Je suis satisfait des tarif ,rapidité du dossier et des conseille qu on m'a informé 
J espère que je serais pas dessus de mon inscription et que je devrais pas annuler après en cas ou </t>
  </si>
  <si>
    <t>celine-c-131422</t>
  </si>
  <si>
    <t>J'ai comparé avec plusieurs compagnies d'assurances, je n'ai pas trouvé moins cher.
Les garanties ont l'air correcte et répondent à mes attentes.
Ya plus qu'à tester.</t>
  </si>
  <si>
    <t>05/09/2021</t>
  </si>
  <si>
    <t>carpe-101720</t>
  </si>
  <si>
    <t>Bonjour
Suite à mon entretien de ce jour avec mon interlocutrice Lamia concernant un renseignement sur une hospitalisation, cette personne m'a répondu clairement. Elle était très polie, c'était vraiment très agréable. Elle m'a tout expliqué. Je la remercie encore une fois pour cet accueil très chaleureux.</t>
  </si>
  <si>
    <t>dolomites-95-111702</t>
  </si>
  <si>
    <t xml:space="preserve">La GMF m'a fait venir dans ses filets alors que j'étais bien assuré ailleurs, total quand il a fallu être présent cette compagnie s'est envolée. Une véritable catastrophe. Pour des travaux dans une cuisine suite à incendie j'attends toujours leur artisans depuis 8 mois. Et la protection juridique pour un autre litige bien plus grave bah là l'assurance se désengage vous laissant vous demerder seuls. FUYEZ </t>
  </si>
  <si>
    <t>dury-m-138052</t>
  </si>
  <si>
    <t>les tarifs me conviennent sauf au niveau remboursement lorsque l'on a un véhicule qui doit être indemnisé cela est vraiment un peu trop long malheureusement</t>
  </si>
  <si>
    <t>aymeric-d-121856</t>
  </si>
  <si>
    <t>Je suis satisfait du service :). La conseillère que j'ai eu au téléphone était très aimable. Elle aa su nous aiguiller. Actuellement je paie 91eu d'assurance et le changement est top</t>
  </si>
  <si>
    <t>mgencnul-99441</t>
  </si>
  <si>
    <t>Un des pires assureurs que j'ai eu dans ma vie, une fois client chez eux aucun moyen de communiquer avec eux, leur site est complétement buggé et inutilisable (pourtant la seule plateforme à disposition pour échanger)
aucun numéro ! aucun adresse postale !
Attendez vous à un parcours du combattant si vous souhaitez résilier...
Je déconseille très très fortement la MGEN !!</t>
  </si>
  <si>
    <t>31/10/2020</t>
  </si>
  <si>
    <t>bretonnier-m-139448</t>
  </si>
  <si>
    <t>Prix bas, conseillers agréables, je recommande vivement cet assureur, qui est sérieux avec les jeunes, comme les moins jeunes. Tout est maitrisé ! A voir dans le temps</t>
  </si>
  <si>
    <t>11/11/2021</t>
  </si>
  <si>
    <t>melodie-p-122679</t>
  </si>
  <si>
    <t>Impossible de les avoir au téléphone.
Impossible de les contacter.
Leur numéro ne sont pas les bons et nous envoies sur d'autres assurances.
Impossible de résilier ses contrats!!!</t>
  </si>
  <si>
    <t>07/07/2021</t>
  </si>
  <si>
    <t>james-m-108247</t>
  </si>
  <si>
    <t>je suis amplement satisfait de vos service et les service de l' agence AXA de Heronville Saint Clair (14 )
pour la souscription de ce contrat depuis leurs bureaux.</t>
  </si>
  <si>
    <t>27/03/2021</t>
  </si>
  <si>
    <t>thierry-b-105824</t>
  </si>
  <si>
    <t>Je suis satisfait du service, les prix sont corrects. A chaque fois que j'ai appelé , mes demandes ont étés prises en compte. j'ai confiance dans cette assurance.</t>
  </si>
  <si>
    <t>domi-55658</t>
  </si>
  <si>
    <t>Si vous pensez ne pas avoir de sinistre ou de litige, assurez-vous à la Maif, les dossiers sont clos, par les salariés, sans aucune possibilité de décision du sociétaire, malgré le passage d'un expert indépendant.</t>
  </si>
  <si>
    <t>28/06/2017</t>
  </si>
  <si>
    <t>perrine-c-124841</t>
  </si>
  <si>
    <t xml:space="preserve">Très contente, le devis et la souscription étaient simples et rapides. Il y a du choix dans les garanties et les options. Le prix est attractif. Les conseillers sont disponibles. </t>
  </si>
  <si>
    <t>jean-michel-v-126296</t>
  </si>
  <si>
    <t>je paye 4 fois plus cher pour une beta  50cc de mon fils  que pour ma Yamaha XTE 600cc a moi c'est quand même pas normal et pourtant j'ai quand même 4 contrat chez vous .</t>
  </si>
  <si>
    <t>maxence-96883</t>
  </si>
  <si>
    <t>Très bonne assurance, très bon rapport qualité. L'échange avec l'assureur via l'application est un vrai plus et c'est très rapide. Je recommande cet assurance</t>
  </si>
  <si>
    <t>31/08/2020</t>
  </si>
  <si>
    <t>marion90-79594</t>
  </si>
  <si>
    <t>Gestion des sinistres désastreuse de la MAIF avec défaut de conseil, délais de réponse long voir nul surtout après un accident de voiture avec blessure, agents impolis, refus d'assistance.... Je regrette tellement d'avoir souscrit la MAIF. Cela rajoute inutilement du stress et de nouvelles démarches sans fin. A éviter ! Même leur responsable d'équipe MAIF joignable au numéro 01 39 67 65 81 reviens sur ses engagements, ne vous apporte aucun support. Service exécrable au possible. A EVITER</t>
  </si>
  <si>
    <t>guil1982-71424</t>
  </si>
  <si>
    <t>Cambriolé le 9 septembre, toujours pas indemnisé, malgré toutes les relances, fait passer 3 entreprises différentes pour des devis presque équivalent, l expert et l assurance ne les prend pas en comptent</t>
  </si>
  <si>
    <t>foupoudav-94547</t>
  </si>
  <si>
    <t xml:space="preserve">Après une 1ère année d'assurance sans aucun sinistre, je connstate une augmentation de quasiment 30% !! Inadmissible !!!! Je trouve cela encore plus hallucinant, ce alors même que nous sommes en pleine année de crise sanitaire et que mon véhicule a été immobilisé 2 mois !!
</t>
  </si>
  <si>
    <t>08/08/2020</t>
  </si>
  <si>
    <t>lacourt-d-123250</t>
  </si>
  <si>
    <t>je suis satisfait du tarif quoique je trouve la mensualisation est un peu chère, sinon renseignements clairs et personnel sympathique..merci
rien à ajouter de plus</t>
  </si>
  <si>
    <t>nop-98120</t>
  </si>
  <si>
    <t>Complémentaire santé obligatoire par mon entreprise.
Les taux de remboursements sont faibles, même en prenant une option du contrat pour étendre et renforcer la couverture des actes pris en charge.
Les remboursements sont longs.
En agence, le personnel ne peut pas intervenir sur les dossiers car ils n’ont accès qu’aux contrats individuels et pas les contrats entreprise : il faut obligatoirement téléphoner à Paris ou faire une demande par internet — qui justement traîne.</t>
  </si>
  <si>
    <t>legauloisdu28-119103</t>
  </si>
  <si>
    <t>OUI FUYEZ  
Voici 25 ans qu' on a ouvert un COMPTE EPARGNE RETRAITE LOI MADELIN  chez eux  LA MONDIALE A2GR
pour récupéré notre argent épargné il faillais ouvrir un PER (contrat PERI) déblocable pour une résidence principal ce qui est notre cas il leurs faillais entre autres un compromis signé une attestation du notaire confirmant que c était bien une résidence principal une attestation sur l honneur etc etc ils ont tout ces papiers voir en plusieurs fois car la premiere fois excuse covid puis télé travail etc....  depuis decembre2020 on attend notre épargne de 25 ans comme vous excuses bidon signature a répétitions 
Je vous promet que plus jamais je ne ferais confiance a une assurance et encore moin a cela FUYEZ</t>
  </si>
  <si>
    <t>geoffrey-f-116132</t>
  </si>
  <si>
    <t>Je suis satisfait du prix pour les prestations proposées.. 
Facilité pour souscrire via internet 
J'avais déjà été assurée par april moto et j'en étais content</t>
  </si>
  <si>
    <t>rodrigues-n-137472</t>
  </si>
  <si>
    <t>Assurance très rassurante pour l'instant, un conseiller très à l'écoute, qui relit le contrat en totalité avec vous. Les prix sont très attirants par rapport à la concurrence</t>
  </si>
  <si>
    <t>antonin-b-88826</t>
  </si>
  <si>
    <t xml:space="preserve">Que de difficulté !
Demande énormément de documents en plus que dans les autres assurances. J'ai expliqué plusieurs fois mes difficultés pour obtenir certains documents, mon avis n'a pas été pris en compte. Au dernier moment malgré l'authenticité de ma déclaration lors du devis, le montant de ce dernier est augmenté au dernier moment. Lorsque je fais une réclamation je n'ai plus de réponse et mon compte est clôturé. Évidemment mes frais de dossier ont été prélevé. Fuyez ! Malgré le prix attractif la qualité du service est déplorable et laisse bien imaginer le pire lors de réel sinistre </t>
  </si>
  <si>
    <t>bellanger-k-131311</t>
  </si>
  <si>
    <t>Satisfait de la proposition, mais c'est en cas de problème qu'on se rend compte de la qualité d'une assurance. Je ne souhaite évidemment pas à avoir à juger plus en détail.</t>
  </si>
  <si>
    <t>cl06ag-78011</t>
  </si>
  <si>
    <t>A fuir. Passer votre chemin ; Le bonus a vie c'est bien  mais si l' incompétence  de cet assureur a fait que nous avons résilié tout nos contrats</t>
  </si>
  <si>
    <t>jean-claude-m-128017</t>
  </si>
  <si>
    <t xml:space="preserve">Parfait rapide efficace , site très simple d utilisation  je le recommande en souscription internet , fluide , prix excellent , formules tous risques complète avec les options </t>
  </si>
  <si>
    <t>patbo-79435</t>
  </si>
  <si>
    <t xml:space="preserve">cette mutuelle n est toujours en mesure a ce jour de publier ses tarifs 2020 compte tenu des changements de reglementation sociale .les reponses du centre d'appel sont : les directeurs sont sur le sujet et les decisions ne sont pas encore prises / de qui se moque t on? le 24 septembre , on ne sait toujours pas pour le 1 janvier prochain 
de la a penser que MERCER publiera tres radivement ses tarifs pour empécher ses clients de résilier puisque deux mois sont nécessaires avant le 31/12
j'ai de gros doutes sur les pratiques de cette mutuelle l
ntation  </t>
  </si>
  <si>
    <t>24/09/2019</t>
  </si>
  <si>
    <t>prouvee-d-134286</t>
  </si>
  <si>
    <t xml:space="preserve">Je suis satisfaite du service telephonique, de l'ecoute,
Le prix reste un peu haut mais une bonne prise en charge en cas de soucis.
L'application aide aussi </t>
  </si>
  <si>
    <t>24/09/2021</t>
  </si>
  <si>
    <t>pat-87386</t>
  </si>
  <si>
    <t>j ai une décennale chez april j ai recu une augmentation de mille euro un an apres prime a payer en décembre j ai envoyé ma demande de résiliation pour augmentation tarifaire étant en auto entrepreneur je peux pas payer aussi cher et depuis je suis au pole emploi car impossible de payer une assurance a se tarif la en auto entreprise mais j ai recu une de mise en demeure de payer avant procédure  voila mon histoire si ca peut aider en plus j ai envoyé en direct un mail sur se site la ou ils répondent mais pas de réponse</t>
  </si>
  <si>
    <t>garantie-decennale</t>
  </si>
  <si>
    <t>20/02/2020</t>
  </si>
  <si>
    <t>micpal-100425</t>
  </si>
  <si>
    <t xml:space="preserve">Organisme ne tenant pas ses engagements, pourtant écris dans la notice d'information lors de la signature du contrat
Rente non revalorisée chaque année contrairement à l'article 5.1 de leur notice d'information
Par contre pas de soucis, les cotisations augmentent
Ne répond pas vraiment aux questions posées par lettre recommandée: les réponses sont hors sujet: on demande pourquoi la rente n'est pas revalorisée, on vous répons en justifiant l'augmentation des cotisations
bien réfléchir avant de signer un contrat avec cet organisme
</t>
  </si>
  <si>
    <t>21/11/2020</t>
  </si>
  <si>
    <t>gdemarescau-49504</t>
  </si>
  <si>
    <t>Prix compétitif, mais on peut obtenir assez facilement un alignement de leurs concurrents sur leurs prix</t>
  </si>
  <si>
    <t>24/11/2016</t>
  </si>
  <si>
    <t>pigeon-53372</t>
  </si>
  <si>
    <t xml:space="preserve">Cliente depuis 50 ans ! Ce n'est plus la MACIF que j'ai connue à tout point de vue. Plusieurs contrats dont un automobile 50 % de bonus depuis très longtemps, prime maxi bon conducteur. il a fallu dernièrement un coup de tempête qui a soulevé le capot de mon vehicule pour me rendre compte que j'étais une vache à lait ! Le conseiller n'a même pas essayé de savoir si j'étais victime d'une catastrophe naturelle, ni les circonstances du sinistre. Il a d'emblée refusé toute indemnité. J'ai cherché un autre assureur. J'ai payé pendant de très nombreuses années une assurance parfois 3 fois plus chère qu'ailleurs et parmi les plus grands ! Idem pour les autres contrats. Il faut un sinistre pour juger une assurance. Voila pourquoi je suis restée 50 ans chez eux !  Ils ont perdu la confiance. </t>
  </si>
  <si>
    <t>18/03/2017</t>
  </si>
  <si>
    <t>fandagrr-100952</t>
  </si>
  <si>
    <t xml:space="preserve">Très déçu d'AG2R La Mondiale. Cinq étoiles pour la ponctualité du retrait des cotisations. Soyez assuré que votre compte sera débité en temps et en heure.
Mais si vous avez un probème, pour les prestations, c'est la galère.
Dès le début de l'arrêt de mon épouse, nous avons découvert les délais d'indemnisation". Si vous avez besoin de ce complément de revenu "incapacité" pour vivre, ne comptez pas sur eux, ils ne paient qu'après des semaines, voire des mois. Et il faut sans arrêt les relancer.
Le summum est atteint ensuite. Elle est classée en invalidité de 2e catégorie par la sécu depuis un an, mais elle n'a pas touché un centime de l'assureur. Pas un sou. Car c'est AG2R La Mondiale qui décide si vous êtes réellement handicapé. L'avis de votre toubib, du médecin du travail, de votre spécialiste, la décision du médecin de la CPAM, tout ça ne compte pas. Seuls des médecins "experts" désignés par eux peuvent décider si vous avez droit à une quelconque indemnité. Et il faut du temps, beaucoup de temps pour les rencontrer.
Bien mieux, au bout d'un an d'invalidité, AG2R La Mondiale n'hésite pas à demander le remboursement d'une partie des indemnités versées pendant l'incapacité et l'arrêt de travail. Si,si, ce n'est pas un fake. Nous conservons précieusement cet adorable document, qui sera à montrer dans toutes les écoles d'assurance et à encadrer. </t>
  </si>
  <si>
    <t>gerard-l-111297</t>
  </si>
  <si>
    <t xml:space="preserve">le prix me convient pour un véhicule de cet âge et le peu de kilomètres a l année a voir a l usage la convenance et les prix a venir dans les prochaines années </t>
  </si>
  <si>
    <t>thierry60-78332</t>
  </si>
  <si>
    <t xml:space="preserve">bonjour le 4 mars j ai souscris une assurance auto tous risques le 14 juillet au soir ver 23h 23h30 ont ma casser tous mes carreaux expert passer assurance paye pour moi sinistre terminer contrat resilier maintenant soi-disant avoir Fais une erreur sur mon versement de la voiture ont me réclame 575 euros. Pas de près de voiture erreur a répétition sur mon dossier et service client a désiré .   
   </t>
  </si>
  <si>
    <t>10/08/2019</t>
  </si>
  <si>
    <t>gp-61009</t>
  </si>
  <si>
    <t>J'ai eu un accident en vélo, qui a laissé des traces tant physiques que matériels, j'ai contacté la Macif, un huissier est venu constaté les dégâts et a envoyé un rapport favorable en raisons des circonstances. De façon téléphonique et par mails,depuis un mois je suis en contact avec la Macif afin de pouvoir être remboursé. Je suis un cycliste confirmé et a besoin de son vélo pour les courses cyclistes et entraînements. Les vêtements coûteux, déchirés ont demandé à être envoyés par mail, des photos à l'appui pour m'entendre dire que finalement ils ne seront pas remboursés ! Quant à l'achat d'un autre vélo, nous ne savons pas à quel moment je vais pouvoir en acquérir un nouveau vu la lenteur du remboursement ! Je suis trimbalé de droite à gauche, et les réponses ne sont jamais identiques ! La chute aurait pu être fatale vu les circonstances et l'état du vélo, les plaies et hématomes, mais qu'importe n'est-ce pas ? ce n'est pas votre souci vu vos réponses !</t>
  </si>
  <si>
    <t>31/01/2018</t>
  </si>
  <si>
    <t>tarmine89-97493</t>
  </si>
  <si>
    <t>Intéressant quand on veut assurer une grosse cylindrée à condition de pouvoir justifier d un relevé d informations avec une antériorité de bon conducteur... Par contre le jour où vous changez d assurance ils vous établissent un relevé avec un bonus valable au 1er janvier de l'année de votre changement. Ce qui fait que vous perdez toutes vos années de bon conducteur</t>
  </si>
  <si>
    <t>16/09/2020</t>
  </si>
  <si>
    <t>philippe-s-107580</t>
  </si>
  <si>
    <t>Vos tarifs sont super attractifs lors de la souscription du contrat mais hélas, dès l'année suivante les prix augmentent chaque année et ce sans aucun sinistre ce n'est vraiment pas du tout normal .De plus  cette année  avec une baisse très importante du nombre d'accidents  lié à la non utilisation des véhicules pendant de longues périodes  de confinement , cela augmente qu'en même !!!!</t>
  </si>
  <si>
    <t>dan-136434</t>
  </si>
  <si>
    <t xml:space="preserve">Ne Changer Rien ! Je Suis Assez Satisfait Des Services Que Vous Me Proposez est-ce que Ma Mutuelle Va Augmenter Au Moment De Ma Retraite en 2023 ci oui De Combien ? Merci Pour Vos Conseils !   Bien Cordialement </t>
  </si>
  <si>
    <t>07/10/2021</t>
  </si>
  <si>
    <t>fabienne-l-106742</t>
  </si>
  <si>
    <t>je suis satisfaite ....
c 'est rapide , efficace , simple,, j'espère ne pas m' être trompée dans la réalisation du devis et ne être déçue en cas de problèmes..........merci</t>
  </si>
  <si>
    <t>juju-82029</t>
  </si>
  <si>
    <t>Assuré depuis plus de 2 ans ; et très satisfait. Les tarifs sont intéressants. La prise en charge totale en cas de réparation.</t>
  </si>
  <si>
    <t>18/12/2019</t>
  </si>
  <si>
    <t>julien70-64325</t>
  </si>
  <si>
    <t>Conseiller sympa au téléphone, agréable. Proposition pour une troisième voiture correct dans l'ensemble. Nous avons donc toutes nos assurances à la MAAF, cela simplifie les choses.</t>
  </si>
  <si>
    <t>30/05/2018</t>
  </si>
  <si>
    <t>carolush-69732</t>
  </si>
  <si>
    <t>Bonjour
Incendie total d un studio dont je suis propriétaire et mitoyen à mon domicile fin mai. 7 mois plus tard le sinistre n a pas avancé en tout cas en ce qui me concerne. Première réunion d experts fin aout déjà 3 mois plus tard devis de remise en état avec bon de commande à signer mi octobre. Puis plus rien. Début décembre après maints coups de fil nouvelle réunion d experts et depuis encore plus rien. La MAIF me répète en boucle que ça avance mais de mon côté perte à ce jour de 2800 € de loyer dont j ai besoin pour vivre. Aucun rapport d expert et aucune remise en état du studio n est envisagé. Du coté de mon domicile qui a été endommagé la MAIF m a viré 825 € que j'avais pourtant refusés car ils ne correspondaient pas du tout aux dommages. VMC murs gorgés d eau peintures électricité. 
De plus les dégâts infiltration d eau de pluie dans le plafond dus à la calandrite brulée s étendent car aucun travaux d urgence  n a été entrepris depuis 7 mois.
La MAIF est toujours joignable par téléphone mais ça ne fait rien avancer et leur expert est extrêmement désagréable et met en doute mes paroles concernant les dommages.</t>
  </si>
  <si>
    <t>noemie-h-135985</t>
  </si>
  <si>
    <t xml:space="preserve">Service rapide et efficace , je recommande vivement, les prix sont plus que raisonnable, et la facilité de souscription aussi , je recommande sans hésiter pour une garantie adaptée à chacun </t>
  </si>
  <si>
    <t>pasdid88-78459</t>
  </si>
  <si>
    <t>Client de puis peu de temps auprès de la Macif, pour assurer mon camping-car, j'ai la malchance de subir une catastrophe naturelle de grêle qui a sérieusement endommagé le véhicule.
Après avoir attendu beaucoup de temps pour que celui-ci soit expertisé ( ce qu'on peut comprendre, vu le nombre de sinistrés), nous n'avions plus la moindre nouvelle de la Macif pour le règlement du sinistre.
Il a été très difficile de joindre leur plateforme téléphonique pour tenter d'obtenir une explication à ce sujet.
Quand enfin j'ai pu avoir un conseiller, il m'a affirmé qu'il engageait le payement final de ce sinistre et que le règlement serait quelques jours plus tard sur mon compte.
Hors à ce jour toujours aucun règlement n'a été effectué de leur part !!!!
C'est complètement exaspérant, car non content de subir des dégâts sur un véhicule, il faut en plus se battre pour pourvoir joindre cette assurance par téléphone et en plus ils ne tiennent pas leurs engagements !!!
Je pense que notre relation avec cette assurance sera de courte durée, car quand il s'agit de payer nos cotisations il vaut mieux être dans les temps, par contre pour être remboursé d'un sinistre, la Macif est beaucoup moins ponctuelle !!!</t>
  </si>
  <si>
    <t>16/08/2019</t>
  </si>
  <si>
    <t>cr7-80532</t>
  </si>
  <si>
    <t>Pas eu de sinistre depuis presque 1 an chez eux donc difficile à évaluer. 
Obtenu bon rapport prix/garanties avec promo 2 mois offerts via souscription offre Veepee fin 2018 (en provenance de chez Direct Assurance qui a des bons prix aussi mais franchises variables assez élevées et qui ne couvre pas les crevaisons hors autoroute même en formule tous risques hélas entre autres !) pour 417e remisés au lieu de 500e pour Clio 4 diesel de 2015</t>
  </si>
  <si>
    <t>30/10/2019</t>
  </si>
  <si>
    <t>sanfilipo-c-123798</t>
  </si>
  <si>
    <t>Je suis satisfaite du service global. Le site a tendance a être long et cela rallonge les démarches : il faut recharger la page, attendre plusieurs secondes...</t>
  </si>
  <si>
    <t>19/07/2021</t>
  </si>
  <si>
    <t>mer33-60826</t>
  </si>
  <si>
    <t>un service client complétement incompétent , et très difficile a contacté sans compté qu'il est impossible d'avoir a faire a un seul interlocuteur qui gère notre dossier. suite a une demande de résiliation de contrat du a l'arrét de mon activité et fermeture de ma société en date du 1/01/17,la cloture a été enregistré par les service de swisslife en date du 27/12/17 alor qu'il était prévenue de l'arret de mon activité depuis le mois de novembre 2016. éyant enregistré la demande de resiliation qu'au 27/12/17 swisslife me reclame les échéances entre le 1/1/17 et la date de fermeture enregisté.
malgré plusieur échange avec le service réclamation swisslife pour enregistré la cloture en date du 1/1/17, mon dossier n'est toujour pas traité a ce jour tous les documents sont en leur possesion depuis bien longtemp et je n'est toujour aucun retour de leur part et je ne peut les contacté car je suis balader d'une plateforme téléphonique a l'autre. je suis très mécontent du service client qui et incapable de gérer ou ignore mon dossier. une très mauvaise aventure que je déconseille fortement.</t>
  </si>
  <si>
    <t>25/01/2018</t>
  </si>
  <si>
    <t>monexperience-22-68197</t>
  </si>
  <si>
    <t>Ma fille, française résidente en France, 7 ans de permis et aucun sinistre responsable, s'est fait refuser la souscription d'un contrat d'assurance automobile au motif qu'elle travaille de l'autre côté de la frontière, en Belgique !  Incroyable d'injustice.</t>
  </si>
  <si>
    <t>30/10/2018</t>
  </si>
  <si>
    <t>manobtlr-61705</t>
  </si>
  <si>
    <t>Je suis cliente Assurance Auto auprès de Pacifica et autant dire que j'ai compris. Tout d'abord mon assurance complémentaire santé que j'avais souscrit chez eux je l'ai résilié ! La raison ? 2 ans pour avoir des remboursements basiques ! La raison ? Un 0 en trop dans la saisie qui empêchait la transmission de mes donnees ... 
Et l'assurance auto ? Victime d'une pierre dans mon phare j'ai fait marche mon bris de glace (je suis tout risque), super rien à ma charge, sauf que c'est considéré comme un sinistre responsable ! Super ! 
Je me suis fait explosé mon rétro la semaine dernière ! J'ai ete porté plainte ! Un témoin valide ma déposition et témoigne dans mon sens il a vue la scène ! La réponse de pacifica "ah oui mais nous ça ça ne compte pas" résultat ? La franchise et un sinistre responsable pour moi alors que je suis une VICTIME. 
Adios pacifica</t>
  </si>
  <si>
    <t>23/02/2018</t>
  </si>
  <si>
    <t>aurore-94031</t>
  </si>
  <si>
    <t>J.attends de consulter le devis pour voir le coût des franchises et le niveau des garanties dans le devis avant d.emettre un note sur le tarif.
Site facile à utiliser</t>
  </si>
  <si>
    <t>14/07/2020</t>
  </si>
  <si>
    <t>dianguina-d-130281</t>
  </si>
  <si>
    <t>je suis très satisfait du service et sur tout le prix me convient parfaitement merci et n'oubliez pas surtout le 20€ de parrainage je voudrais que contrat commence le 01/09/2021 mais le 03 aussi n'est pas mal merci</t>
  </si>
  <si>
    <t>fleury-l-135138</t>
  </si>
  <si>
    <t xml:space="preserve">Je suis satisfait du service et du qualité prix ,le conseiller m'a facilité la tâche. 
Je conseillerai à mon entourage les services de Direct Assurance. </t>
  </si>
  <si>
    <t>louis-b-122299</t>
  </si>
  <si>
    <t>pour la satisfaction, j'attends la fin de l;opétation. Par contre je reçois des mails contradictoires, une fois la visite de l'expert est le 07 juillet, une autre fois le 05</t>
  </si>
  <si>
    <t>faburel-l-131963</t>
  </si>
  <si>
    <t>L'envoi de mes documents s'est perdu
pas de carte verte définitive malgré des prélèvements mensuels honorés
moyennement satisfait prix cohérent avec le marche</t>
  </si>
  <si>
    <t>08/09/2021</t>
  </si>
  <si>
    <t>steph-116229</t>
  </si>
  <si>
    <t>j'attends depuis presque 3 mois un remboursement de la Mercer. C'est un parcours du combattant!!
Je dépose ma facture acquittée par l'hôpital sur l'espace internet. Un mois plus tard, je reçois un document sur mon espace : la Mercer me demande un bordereau AMC, et ne peut traiter mon dossier sans cela. (ce document n'est valable que pour les établissements privés, et j'ai été prise en charge par l'hôpital public... notons... un mois d'attente pour cette réponse...)
Surprise, mes documents sont au statut "traité" : rien n'est traité !
j'envoie un message, une réclamation, je reçois chaque un message automatique disant qu'ils sont surchargés, que ce n'est pas la peine d'écrire de nouveau tant que l'on n'est pas revenu vers moi (ce qui n'arrive...pas) 
J'appelle chaque semaine, on me dit que l'on va me répondre sous 10 jours ouvrés. Je rappelle 10 jours plus tard, on me dit que cette fois, on s'engage à me répondre sous 7 jours ouvrés, que la demande est appuyée, la personne laisse un commentaire. Je rappelle 7 jours plus tard, on me dit que la demande est appuyée en haute priorité, avec commentaire, et qu'on a 7 jours pour me répondre... que mon dossier et dans la main de la direction. Je rappelle aujourd'hui,  la personne m'indique qu'il va faire une demande pour que je sois rappelée, je lui explique que c'est ce qu'on me dit sans arrêt, mais qu'il ne se passe rien, et là il est surpris car il m'explique que mon dossier est vide... 
alors que depuis un mois j'appelle chaque semaine, et qu'on m'affirme laisser des commentaire etc dans mon dossier. C'est inadmissible de se moquer des gens comme cela ! surtout que l'on cotise pour les mutuelles, ce n'est pas un service mais un dû dêtre remboursé !
Aujourd'hui, je n'ai donc toujours pas l'ombre d'une réaction, d'un règlement, d'une facture que je leur ai pourtant transmise il y a presque 3 mois... ! c'est INADMISSIBLE !</t>
  </si>
  <si>
    <t>bubulle-66341</t>
  </si>
  <si>
    <t xml:space="preserve">fuyez  allianz meme quand vous vous blessez chez vous ça ne marche pas  completement nulle cette assurance J ai voulu aider un ami pousser son camion en panne je me suis déchiré le muscle du mollet mais eux trouvent que ce n' est pas un accident </t>
  </si>
  <si>
    <t>22/08/2018</t>
  </si>
  <si>
    <t>tartine03-99906</t>
  </si>
  <si>
    <t>Appel de la part de néoliane ah ben jamais j’irai . Comme je voulais plus d’explication je me suis faite insulter . Insulte car je ne voulais pas donner iban mais simplement lire le contrat</t>
  </si>
  <si>
    <t>09/11/2020</t>
  </si>
  <si>
    <t>karim-113826</t>
  </si>
  <si>
    <t>J ai mis 1 étoile car je pouvais pas mettre 0 étoile ....Pour encaisser l argent ils sont là..... Mais pour payer plus personne.
125 cm3 assure en tout risque avec protection conducteur j ai prix les plus haute garanti.... Et les plus cher.
Et suite à une chute sans tiers.  Avec une itt de 45 jours on m'a d abord propose une indemnité de 540€ j ai refusé on m'a ensuite propose 30 seconde 700€ et tout ça par téléphone sans courrier sans rien tout par téléphone .... 700€ pour un arrêt de travail de 45 jour ça c est pour le corporelle .... Mais rien pour le véhicule dont l esthétique a été abîmé .cherchez l erreur . J ai transmis à mon avocat pour une procédure a l amiable et si il y a pas moyen de s entendre on assignera......</t>
  </si>
  <si>
    <t>15/05/2021</t>
  </si>
  <si>
    <t>marine-m-133436</t>
  </si>
  <si>
    <t xml:space="preserve">Bon rapport qualité prix . 
Niveau d’assurance correcte au prix demander juste compliquer d’avoir un conseiller au téléphone pour finaliser le contrat </t>
  </si>
  <si>
    <t>virginie-f-130671</t>
  </si>
  <si>
    <t xml:space="preserve">On verra par la suite si je serais satisfaite mais pour le moment cela me convient parfaitement, le prix très attractif en temps que jeune conducteur c'est chouette.
merci  </t>
  </si>
  <si>
    <t>antony-v-128746</t>
  </si>
  <si>
    <t xml:space="preserve">Je suis satisfait des conditions 
Prix correct pour les assurances véhicules comme pour habitation 
Je recommande direct assurances 
Nous recherchons une assurance rapide et efficace 
</t>
  </si>
  <si>
    <t>papou-111482</t>
  </si>
  <si>
    <t xml:space="preserve">Le tarif annuel n'intègre pas une modulation prenant en compte l'utilisation très faible et uniquement saisonnière de la moto. On peut considérer que par rapport au temps d'utilisation, en ce qui me concerne, le tarif est proportionnellement très élevé. Donc je paie pour les autres. Mais les autres assureurs pratiquent le même système. Dommage. </t>
  </si>
  <si>
    <t>pierre-marie-l-107266</t>
  </si>
  <si>
    <t>Pas de retour de l'expert suite à mon sinistre. Je récupère donc mon véhicule pas complètement réparé et vais devoir encore vous joindre pour résoudre ce nouveau problème....
Dommage pour ce manque de communication de vos services.</t>
  </si>
  <si>
    <t>20/03/2021</t>
  </si>
  <si>
    <t>titou-dou--79999</t>
  </si>
  <si>
    <t xml:space="preserve">Très bon contact avec Caroline : à l'écoute et bienveillante
J'ai obtenu les informations que je souhaitais et le conseils adaptés à ma situation.
Je recommande cette mutuelle </t>
  </si>
  <si>
    <t>14/10/2019</t>
  </si>
  <si>
    <t>rudy-c-126099</t>
  </si>
  <si>
    <t xml:space="preserve">Service rapide et compréhensible
Satisfait des explications
Paiement sécurisé et large choix dans la date de prélèvement
Merci d'avoir un site simple et clair </t>
  </si>
  <si>
    <t>laetitia-b-117176</t>
  </si>
  <si>
    <t>La franchise est chère, et empeche de faire recours à l'assurance. donc je paie une assurance que je n'utiliserai pas, c'est dommage il faudrat une option sans franchise</t>
  </si>
  <si>
    <t>16/06/2021</t>
  </si>
  <si>
    <t>ficecream-71146</t>
  </si>
  <si>
    <t>A EVITER A TT PRIX ... FUIIIIIRRRRR</t>
  </si>
  <si>
    <t>10/02/2019</t>
  </si>
  <si>
    <t>sofian-106808</t>
  </si>
  <si>
    <t xml:space="preserve">Apres un dégâts des eaux l'assurance a cherché tout les pretextes inimaginable pour ne pas prendre en charge le sinistre. Des contradictions entre les conseillées pour nous décourager de toutes demandes de prise en charge. Une bonne assurance en agence et façade mais il faut pas avoir de problème. </t>
  </si>
  <si>
    <t>maymil-j-138107</t>
  </si>
  <si>
    <t xml:space="preserve">Interlocuteur très consciencieux, aimable et souriante , un plaisir de changer d'assurance dans ces conditions, de plus les tarifs sont relativement corrects .
</t>
  </si>
  <si>
    <t>pat-82195</t>
  </si>
  <si>
    <t>Pacifica assurance très réactif pour vous les prélèvements et pour le reste on peut s'asseoir dessus on vous prend pour des malhonnêtes. La pub va se faire . Le changement d'assurance et de banque simpose</t>
  </si>
  <si>
    <t>22/12/2019</t>
  </si>
  <si>
    <t>alexandre-d-115042</t>
  </si>
  <si>
    <t>probleme je n arrive pas a vous joindre depuis 3j essayer de me rappeler aux 06 25 90 10 57 je n arrive pas a declarer un sinistre ca m inquitete cordialement</t>
  </si>
  <si>
    <t>chloedo71-58811</t>
  </si>
  <si>
    <t xml:space="preserve">Je partage certains avis qui précisent une très bonne réception des hôtesses et un suivi sérieux des sinistres,
je recommande cette assurance dans mon entourage
</t>
  </si>
  <si>
    <t>15/11/2017</t>
  </si>
  <si>
    <t>dada59-86479</t>
  </si>
  <si>
    <t xml:space="preserve">Je suis scandalisée par le niveau d'amateurisme de cette pseudo compagnie d'assurance.
Suite à un sinistre non responsable, je me retrouve à devoir payer une franchise de 380 euros car ils ont été incapable d'identifié la contrepartie ,moi je pense qu'ils ont tout simplement pas fait leur job par flemme, alors que tout était clairement renseigner sur le constat amiable.
Je demande de recevoir le montant de l'indemnisation directement sur mon compte bancaire pour pouvoir effectuer les réparations sur mon véhicule et à chaque fois que j'appelle pour savoir ou ça et quand-est ce que je pourrais avoir le paiement on me sort des excuses farfelues.
Je demande à parler à un responsable mais comme par hasard ils sont toujours en réunion (à 13h50 la blague.)
Bref, aucun suivi des dossiers et des beaux parleurs pour retarder un maximum l'indemnisation des assurés.
A fuir car aucun professionnalisme et aucun service derrière dès que vous avez le moindre soucis.
J'attends impatiemment la fin de mon contrat pour résilier
</t>
  </si>
  <si>
    <t>gomeou-57758</t>
  </si>
  <si>
    <t>PEU SATISFAIT. TRES EXIGEANT MAIS LE CLIENT NOUS DOIT LUI AVOIR AUCUNE EXIGENCE. COURRIER DE RECLAMATION ENVOYE IL Y A 15 JOURS PAS DE REPONSE A CE JOUR. FRAIS DE DOSSIER OFFERTS EQUIVAUT A FRAIS DE DOSSIER OFFERTS CA ME PARAIT SIMPLE MAIS POUR DIRECT ASSURANCE CE N EST PAS AUSSI EVIDENT A PRIORI</t>
  </si>
  <si>
    <t>02/10/2017</t>
  </si>
  <si>
    <t>stevewlliam-61059</t>
  </si>
  <si>
    <t>Suivi de sinistre très mauvais. Ça fait 3 semaines mon véhicule a été remorqué et ils ne savent même pas me dire où se trouve mon véhicule</t>
  </si>
  <si>
    <t>02/02/2018</t>
  </si>
  <si>
    <t>david-w-107629</t>
  </si>
  <si>
    <t>personnes très accueillante et vous explique tous les démarches a suivre les tarif sont correcte.
la personne vous guide jusqu'au boue du projet.
cordialement Mr warter</t>
  </si>
  <si>
    <t>alexd-65382</t>
  </si>
  <si>
    <t>Profondément déçu par cette entreprise. Assuré tout-risque avec assistance comprise, j'ai dû moi-même payer 250€ de dépannage. Cela fait un an que j’attends le remboursement. 
Si on ajoute à cela l'inflation démentielle de la cotisation sur quelques années on comprend bien que le but finale n'est pas de produire un service pour la clientèle mais uniquement le profit. 
À titre indicatif: la première année je payais un peu plus de 300€, 4 ans plus tard j'en suis à pas loin de 750€. Bien entendu ilsvont perdre un client mais d'abord je suis déterminé à récupérer ce qu'ils me doivent quitte à aller en justice.
Sans compter j'ajouterai que bien que aimable le service client est totalement inutile et peut facilement vous faire perdre plusieurs heures pour un échange stérile de quelques minutes. 
C'est terriblement agaçant et déplorable.</t>
  </si>
  <si>
    <t>clark-98713</t>
  </si>
  <si>
    <t>On sait bien que la hantise des assureurs ce sont les contrats prévoyance et en particulier en cas de décès de parent, les rentes éducations des enfants jusqu'à leur 25 ans. AXA remporte la coupe pour l'incompétence de son service de gestion des rentes et pour le mépris du client. Chaque années ce sont les mêmes retards de réglement des rentes alors que l'on a transmis par courrier en temps voulu les pièces justificatives de scolarité : documents papiers perdus systématiquement de leur côté, réponses incohérentes sur le traitement du dossier - une semaine le dossier est soit disant traité, la semaine suivante la pièce n'a pas été reçue, il faut la retransmettre en urgence par mail et à chaque fois on vous ajoute 10 jours de délai pour le versement....Si "Know you can" est le nouveau slogan d'AXA, côté client c'est "Know they can't"...faire leur travail correctement. Pour le patron d'AXA ce slogan  "symbolise parfaitement l'ambition que nous avons de faire d'Axa un partenaire en mesure d'aider ses clients à atteindre leurs rêves." pour ma part mon rêve de parent seul est limité a gérer correctement mon budget familial contraint...et AXA ne m'y aide pas.</t>
  </si>
  <si>
    <t>13/10/2020</t>
  </si>
  <si>
    <t>reffas-t-134920</t>
  </si>
  <si>
    <t>Entièrement satisfaite des prix proposés et du service en ligne. L'accueil téléphonique est aussi très professionnel et très satisfaisant. Je recommanderai L'olivier Assurance autour de moi.</t>
  </si>
  <si>
    <t>cammae-106550</t>
  </si>
  <si>
    <t>suite à un accident non responsable au mois de septembre 2020 l'enfer démarre et pourtant j'avais vraiment l'impression d'être écouter. 6 mois plus tard je n'ai recu qu'un appel sur répondeur de ma conseillère Justine malgré mes demandes incessantes, J'ai du moi meme retrouver l'entreprise propriétaire du véhicule mener ma propre enquête et leur ai meme fourni le numero de téléphone du patron mais ce dernier n'a jamais été contacté. l'assurance me dit que pour faire appel au fond de garantie il leur maque le rapport d'expert qu'elle a réclamé à plusieurs reprises depuis 1 mois. bizarre en 1 appel émis à l'expert je le reçois au bout de 15 min par mail. je n'ai jamais à faire au meme interlocuteur. et là depuis le mois de janvier j'attend l'envoi des documents relatifs à cette accident qui me sont soient disant envoyés par mail le probleme c'est que je ne reçois que les enquêtes de satisfactions mais aucun document me permettant d'enfin pouvoir intenter une action en justice attendu par mon avocat. j'ai l'impression d'etre face à un mur administratif. en fait il ne faut surtout pas avoir de probleme sinon vous serez vraiment en galère</t>
  </si>
  <si>
    <t>bulbul-c-107226</t>
  </si>
  <si>
    <t xml:space="preserve">J'ai besoin de la nouvelle Attesttion d'assurance , mais on m'affiche que celui de l'an dernier. 
Merci de bien vouloir m'envoyer le nouveau svp.
Merci </t>
  </si>
  <si>
    <t>maxime-81408</t>
  </si>
  <si>
    <t>Du service client au prix, top top top !
Je n'ai pas d'accident pour l'instant mais la garantie est apparemment très bonne également.
Conseillers toujours très qualifiés, aimables et précis, explications claires dans les contrats.</t>
  </si>
  <si>
    <t>27/11/2019</t>
  </si>
  <si>
    <t>motard26-65944</t>
  </si>
  <si>
    <t xml:space="preserve">En ce qui concerne l'accueil et le conseil des courtières de l'agence Peyrac Assurance, j'en suis très satisfait sachant qu'elles ont su corriger et régulariser les erreurs du centre de gestion robotisé à la suite d'une remise.
D'où l'intérêt de privilégier d'avoir dans vos recherches, un vrai contact humain (agence avec pignon sur rue), surtout concernant les assureurs ! 
Cela suggère aussi qu'on peut espérer une bonne prise en considération en cas de sinistre ! (dans ce cas, la 5è étoile satisfaction serait attribuée) </t>
  </si>
  <si>
    <t>Peyrac Assurances</t>
  </si>
  <si>
    <t>16/01/2021</t>
  </si>
  <si>
    <t>didier-99854</t>
  </si>
  <si>
    <t>J’ai des prélèvements  sur un emprunt dont le remboursement est terminé depuis le mois de juin.
Je n’arrive à joindre personne au téléphone et pas de réponses à mes mails.
Je suis donc particulièrement insatisfait de cette compagnie fantôme quand on a besoin de les joindre mais trop présente pour des prélèvements indus.
Didier Cerf
Bial57@orange.fr</t>
  </si>
  <si>
    <t>08/11/2020</t>
  </si>
  <si>
    <t>virgile33-57888</t>
  </si>
  <si>
    <t xml:space="preserve">Je suis chez APRIL avec l'assurance Expatrié ainsi que plusieurs collègues d'une même entreprise, depuis maintenant 1.5 ans. Nous sommes plusieurs déçus voir révoltés par leurs pratiques. Mauvais calculs de leur part et négociation compliquée et chronophage pour le remboursement des sommes dues. Temps de réponse long voir réponse inexistante de leur part. Récemment 450€ de remboursements m'ont été refusés pour des frais dermatologiques. Attention de bien lire les clauses des contrats dans le détail, les informations sont biaisés sur leurs documents de "Garanties", n'indiquant pas la liste incroyable des exceptions de garanties. </t>
  </si>
  <si>
    <t>07/10/2017</t>
  </si>
  <si>
    <t>adrien-m-115674</t>
  </si>
  <si>
    <t xml:space="preserve">les tarifs augmentent tous les ans, de manière injustifiée, les clients fidèles ne sont pas récompensés, seuls les nouveaux clients bénéficient de tarifs intéressants. </t>
  </si>
  <si>
    <t>gma-85843</t>
  </si>
  <si>
    <t xml:space="preserve">ASSURANCE APRIL QUI SE JOUR DE  CES CLIENTS
Non seulement lorsqu'il vous arrive un problème cette assurance trouve tous les moyens pour pas vous rembourser , mais en plus impossible de résilier  alors qu'elle augmente ces prix de plus de 5 %
j'ai souhaité alors modifier mon contrat , encore un refus pour cause d'une demande de prise en charge qui reste coincé dans leur système informatique
Je n'ai jamais vu une assurance aussi peu scrupuleuse , c'est un vrai scandale !!
je suis client depuis plus de 2 ans et je ne conseille à personne l'assurance April  </t>
  </si>
  <si>
    <t>13/01/2020</t>
  </si>
  <si>
    <t>clement-r-128613</t>
  </si>
  <si>
    <t xml:space="preserve">C'est correct, ça me convient. En espérant que les garanties soient bien respectée. Et que le service client soit convenable. J ai déjà souscrit auparavant mais les prix augmentaient </t>
  </si>
  <si>
    <t>philippe-58116</t>
  </si>
  <si>
    <t>Vol de bijoux par effraction. Pour une bague de joaillier avec belle émeraude (plus de facture mais une photo) la Maif ne tient pas compte de notre estimation et nous rembourse 200€. On cotise depuis 30 ans...</t>
  </si>
  <si>
    <t>17/10/2017</t>
  </si>
  <si>
    <t>farah-c-113732</t>
  </si>
  <si>
    <t>Bonjour,
je viens de souscrire chez vous, pour le moment je suis satisfaite par la qualité du conseil en ligne.
Un grand merci à la conseillère Sophie</t>
  </si>
  <si>
    <t>chalange-g-115208</t>
  </si>
  <si>
    <t>Tres bon conseiller, tarifs tres correct par contre le site délire de temps en temps lors des devis en ligne et c'est assez penible.......................</t>
  </si>
  <si>
    <t>si-69589</t>
  </si>
  <si>
    <t xml:space="preserve">Sinistre datant du mois de septembre 2018, toujours pas indemnisé nous sommes fin décembre, délai de réponse trop long. Interlocuteurs téléphoniques arrogants et hautains.  
Je ne conseille absolument pas cette assurance. 
De plus très chère </t>
  </si>
  <si>
    <t>jonathan-p-131360</t>
  </si>
  <si>
    <t xml:space="preserve">Je viens tout juste de souscrire à Direct Assurance donc je ne peux pas garantir un bon service client ou autre mais ce que je peux dire, c'est que le site est UX friendly ! </t>
  </si>
  <si>
    <t>lolita1234567898-52827</t>
  </si>
  <si>
    <t>Mon expérience négative avec Direct Assurance : retard de paiement par chèque, relance par mail, résiliation. Pas d'appel-SMS pour vous prévenir. Le lendemain de la résiliation je m'active pour réparer mon retard de paiement : appels et courrier recommandé. Courrier retiré le 1er février. On est le 27 : pas de réponse mais une lettre de recouvrement : je dois payer toute l'année 2017 alors que je suis résilié depuis fin janvier. 600 euros en l'air. Bref 0 service. Je ne recommande pas du tout. L'assureur de ma ville avec vitrine est légèrement plus cher sur un an, mais très réactif et on peut discuter avec eux. Plus jamais direct assurance pour moi. Attention au service.</t>
  </si>
  <si>
    <t>27/02/2017</t>
  </si>
  <si>
    <t>sussu74-52029</t>
  </si>
  <si>
    <t>J'ai souscrit deux assurances auto, l'une pour la voiture principale, l'autre pour une voiture de loisir (Méhari). Pour cette dernière, j'ai déclaré mon fils de 31 ans (qui habite Paris, nous étant à Lyon, donc pour de l'occasionel pur) comme second conducteur, sans connaître précisément son Bonus/Malus, mais je savais que son coefficient B/M était inférieur à 1 (bonus). La commerciale m'a fait un contrat provisoire avec 0,9. Quand j'ai finalement produit un relevé où le coefficient était 0,95. Eurofil a alors immédiatement et sans autre communication, résilié ce contrat. Alors que: 1) on ne m'avait pas prévenu qu'un coefficient supérieur à 0,9 n'était pas accepté et 2) on aurait simplement pu me dire que mon fils n'était pas assurable chez eux, même temporairement. Au lieu de cela on m'a immédiatement envoyé une lettre recommandée avec accusé de réception, sans autre. Bonjour la relation commerciale: excellente avant la vente (conseillère aux petits oignons), détestable dès lors qu'on a signé ! Mépris des clients. Je fuis à la première occasion.</t>
  </si>
  <si>
    <t>sebastien-v-105626</t>
  </si>
  <si>
    <t>Je ne peux pas encore juger le service, mais la souscription est facile jusque là.
Seul l'avenir pourra m'indiquer la compétence des services proposés et le soutien en cas de défaut.
Mon avis pourra alors changer concernant la satisfaction.</t>
  </si>
  <si>
    <t>ndlb-59448</t>
  </si>
  <si>
    <t xml:space="preserve">n° client: 273835
Je suis scandalisée par votre manque de professionnalisme. En effet, j'ai souscrit chez vous une assurance le 22/10/17. J’avais un mois pour vous envoyer tous les documents nécessaires. Chose que j'ai fait, j'en ai la preuve car j'ai pris en photo sur le site quand tous les documents ont été reçu et validés.
Je pensais alors recevoir ma carte verte sauf que 10 jours après je n'ai pas de nouvelles de vous , je décide alors de vous contacter et c'est là qu'on m'apprends que vous cherchiez depuis 10 jours à récupérer un livret d'information auprès de mon ancienne assurance mais que vous n'y arriviez pas car " elle est toujours fermée". Je décide alors de m’en occuper et de leur envoyer un mail et je réussis à obtenir le fameux document en moins 20 minutes !! Du coup je vous renvoie  pour une seconde fois le livret d'information le 29/11 ( pour rappel je vous l‘avais déjà envoyé une première fois dans les délais et vous l’aviez validé !!) 
Donc, je pensais en avoir finit une bonne fois pour toute,  mais non hier je reçois un appel me disant que mon contrat est résilié temporairement par faute de documents fournis. Je vous envoie alors un mail pour savoir de quel document il s’agit On me réponds que VOUS n’aviez encore une fois pas réussi récupérer le livret d’information avec cette fois ci le motif de résiliation noté dessus. J’ai demande a mon assurance un livret d’information et il me l’ont envoyé aussitôt ? je ne suis pas censée savoir comment il se présente. De plus, je n’ai pas de besoin de motif de résiliation étant donné la loi Chatel et que cela faisait 4 ans que j’étais chez eux . Donc je ne comprends toujours pas l’intérêt de ce document ?
Donc depuis le 11/11/17 , date à laquelle vous aviez validé tous les documents envoyés et après vous avoir envoyé a maintes reprises des mails en vous demandant si vous aviez besoin d’autres documents, je suis tournée en bourrique par vos services !! 
</t>
  </si>
  <si>
    <t>06/12/2017</t>
  </si>
  <si>
    <t>renaud--97500</t>
  </si>
  <si>
    <t xml:space="preserve">Nullissime 
Vire pour un accident responsable du conducteur secondaire apres 14 ans sans sinistre Pour motif déménagement  
Ne défend pas bien ses assurés 
</t>
  </si>
  <si>
    <t>17/09/2020</t>
  </si>
  <si>
    <t>laurent-b-138132</t>
  </si>
  <si>
    <t xml:space="preserve">Très pratique
Devis en 10 min qui se fait très facilement des lors que vous avez tous les renseignements nécessaires à son élaboration
Je conseille ce site et cette assurance a tout le monde </t>
  </si>
  <si>
    <t>sandra-m-135313</t>
  </si>
  <si>
    <t xml:space="preserve">Rapidité poir souscrire 
Simplicité pour souscrire 
C'est parfait 
Rien à redire 
A voir à l'usage 
On peut revenir plusieurs fois sur le devis et prendre le temps de souscrire Uand on veut </t>
  </si>
  <si>
    <t>gorane-65992</t>
  </si>
  <si>
    <t>A la lecture des commentaires, je comprends à présent pourquoi j'ai du mal à entrer en contact avec mon organisme de prévoyance.</t>
  </si>
  <si>
    <t>jenaimarre-103855</t>
  </si>
  <si>
    <t>Depuis ma résiliation en septembre 2020, active assurance à continuer à me prélever durant trois mois. Je les ai alerté à plusieurs reprises par téléphone et e-mail. Depuis, en dépit d’une première mise en demeure, nous sommes en février et je n’ai Toujours pas été remboursé. Les personnes au téléphone ne suivent pas les dossier. Je dois faire quoi pour être remboursé? Aller au tribunal!!!!</t>
  </si>
  <si>
    <t>09/02/2021</t>
  </si>
  <si>
    <t>bachir-34-130397</t>
  </si>
  <si>
    <t xml:space="preserve">Direct assurance, l'assurance auto que je ne souhaiterais même pas à mon pire ennemie !!!
 Mon véhicule est a l'arrêt depuis le 8 août nous sommes le 31 août, je n'ai toujours pas l'avis de l'expert, 
J'ai souscrit à une assurance tout risque pour une Modus, je paye 650 € a l'année alors que j'ai le permis depuis 20 ans .
Sans véhicule pour travailler, je suis dans une merrrrrde pas possible. </t>
  </si>
  <si>
    <t>lalala-80020</t>
  </si>
  <si>
    <t xml:space="preserve">Appel téléphonique avec Sarah concernant la résiliation de mon contrat. </t>
  </si>
  <si>
    <t>leschaos22-102577</t>
  </si>
  <si>
    <t>Je suis assez content de notre assurance ,cela dit je n'ai  jamais déclaré de sinistre donc je ne connais pas la prise en charge ,mais concernant le paiement ,on nous adresse un mail pour effectuer le règlement de l'échéance ,c'est plutôt bien.
Pourriez vous mettre en place une assurance pour les véhicules qui roulent moins de 2000 kms par an ?
Je souhaiterais qu'un geste commercial soit effectué suite à la pandémie de la covid 19 ,car je ne n'utilise déjà pas beaucoup mon 2 roues sur l'année moins de 2000 kms/an ,alors avec les restrictions d'horaires et de sorties ,mon véhicule reste forcément au garage.</t>
  </si>
  <si>
    <t>aubry-a-52699</t>
  </si>
  <si>
    <t xml:space="preserve">Service client pas sérieux à éviter . Une conseillère qui vous dit dattendre 5Min et vous oublier 1h jusqu'à l'heure de la fermeture sans donner de nouvelle .
J'ai appeler trois fois jamais on traite ma demande 
TRÈS DÉÇU </t>
  </si>
  <si>
    <t>helene-69676</t>
  </si>
  <si>
    <t>Bonjour,
La MACIF est une assurance qui n'est là que pour encaisser  l'argent des assurés !!! Suite à un cambriolage survenu en avril 2018, une expertise a été réalisée ou plutôt bâclée...Une somme dérisoire nous a été versée. J'ai adressé à plusieurs reprises des courriers, car mes appels téléphoniques sont restés sans réponse, pour savoir pourquoi un  taux de vétusté de 80% a été  appliqué alors que dans notre contrat d'assurance  il est stipulé jusqu'à 70 %, pourquoi dans certains cas c'est la valeur à neuf qui est appliquée et d'autres fois la valeur d'occasion. Les dernières factures transmises à l'expert  n'ont même pas été prises en compte alors qu'elles sont bien nominatives, comme il nous l'a été demandé !!! La MACIF n'a jamais voulu donné d'explication. La seule réponse donnée est de missionner un expert à notre charge, si on veut contester le chiffrage. A croire que les assureurs s'engraissent grâce aux experts et les font engraisser. Cela est scandaleux!!! Je précise que cela fait 30 ans que nous sommes chez eux (4 véhicules assurés chez eux et habitation) avec un sinistre. La MACIF n'a aucune considération pour ses assurés, il est temps que nous partions de chez eux !!!</t>
  </si>
  <si>
    <t>26/12/2018</t>
  </si>
  <si>
    <t>resse-a-138507</t>
  </si>
  <si>
    <t>Prix un peu excessif mais meilleur garantie que la concurence, personelle sympa, je pense que c'est une bonne compagnie d'assurance et complète merci d'avance</t>
  </si>
  <si>
    <t>28/10/2021</t>
  </si>
  <si>
    <t>employeur-77281</t>
  </si>
  <si>
    <t>mon arrêt de travail n'a pas était pris en charge. 1 mois sans salarié, sans aucune prise en charge de l'ag2r.</t>
  </si>
  <si>
    <t>virginie-h-121486</t>
  </si>
  <si>
    <t>simple et efficace pour souscrire, déclarer un sinistre. Une assurance accessible à tous avec un bon rapport qualité/prix. L'application est facile à utiliser.</t>
  </si>
  <si>
    <t>29/06/2021</t>
  </si>
  <si>
    <t>akalia-67797</t>
  </si>
  <si>
    <t>Je suis assurée depuis 20 ans à la MAAF (voiture, moto, habitation) et pas de geste commercial alors que je n'ai jamais eu de sinistre, je trouve ça dommage et je trouve la relation client très impersonnelle...</t>
  </si>
  <si>
    <t>17/10/2018</t>
  </si>
  <si>
    <t>arsam-77862</t>
  </si>
  <si>
    <t>Assurance qui fait tout pour rendre la résiliation compliquée et difficile, résiliation impossible en ligne ou au téléphone, aucun bouton ou site pour pouvoir résilier, il ne se présentent même pas en ligne, conseillers qui rejetterons la faute sur vous, les contrats se renouvellent indéfiniment. aucun remboursement possible, même si vous n'avez jamais bénéficié de l'assurance, aucun remboursement pour un logement quitté il y a des mois, on continue même de vous prélever un mois après la résiliation.</t>
  </si>
  <si>
    <t>23/07/2019</t>
  </si>
  <si>
    <t>ahmed-k-106665</t>
  </si>
  <si>
    <t xml:space="preserve">Je ne suis pas du tous satisfait. 
J'ai déclaré un vandalisme de ma voiture qui est passé à un accident parking lors de ma discussion avec une conseillère juste pour ne pas réparer la voiture. A la fin il ne voulait pas me rendre la voiture, un conseiller qui me dit qu'elle est rapatrié chez garagiste X et un autre qui me chez garage Y.
Vraiment j'attendais pas à ça. </t>
  </si>
  <si>
    <t>quercy9113-32818</t>
  </si>
  <si>
    <t>Si je m'étais fié qu'aux commentaires je ne me serais pas assuré. Alors que le prix était plus intéressant.</t>
  </si>
  <si>
    <t>18/02/2020</t>
  </si>
  <si>
    <t>jules-58660</t>
  </si>
  <si>
    <t xml:space="preserve">Belle société avec une vrai relation client. </t>
  </si>
  <si>
    <t>07/11/2017</t>
  </si>
  <si>
    <t>fati-71928</t>
  </si>
  <si>
    <t xml:space="preserve">Bonjour , 
Le 13/02/2019 je me suis fais volé mes 2 plaques d'immatriculation et ils ont cassés une vitre pour qui puisse ouvrir la voiture c'était une tentative de vol a l'étranger ( pays bas ) moi je suis assuré en france du coup j'ai eu l'assistance macif de belgique depuis j'ai la voiture que le 6 mars car la voiture était récupérer par la police comme yavais pas de plaque et c'était une tentative de vol. Aujourd 'hui j'ai la voiture au tableau bord s'affiche service maintenant et contrôlez l'éclairage des feux police !!!! J'ai rappeller l'assistance pour que je puisse ramener la voiture au garage. J'ai un rdv que le 14mars et veulent pas prendre rdv avec le expert avant que je ramene la voiture au garage sa veut dire faut encore attendre!!!! Je suis trés trés  décu.
On paye tous les mois tous risque et quand on a des problème ils sont pas la soit ils disent vous avez pas cette protection ,on peut rien faire pour vous , dite nous se qu'on peut faire pour vous a chaque appel un mois je doit répéter  le probléme </t>
  </si>
  <si>
    <t>06/03/2019</t>
  </si>
  <si>
    <t>mimi-87480</t>
  </si>
  <si>
    <t xml:space="preserve">Cela va faire 4ans le 29 mars 2020que j'attends le remboursement de ma voiture suite à accident non responsable et indemnisation corporelle pour mon ex mari.
Nous sommes toujours en attente.
Cela fait des années que nous sommes assurés chez axa avec plusieurs contrats.
Je déconseille cette assurance axa fior et brandolin à langon 33210.
Très déçue </t>
  </si>
  <si>
    <t>21/02/2020</t>
  </si>
  <si>
    <t>regis68-61675</t>
  </si>
  <si>
    <t>Je me suis fais résilier parce-que j'ai eu 2 bris de glace (pare-brise) et un accrochage sur le parking de mon travail (non responsable avec tiers connu = pas de frais pour mon assurance) en 2 ans. 0 accident responsable en 19 ans de permis et je suis catalogué comme mauvais conducteur, j'suis un peu [beaucoup] dégouté. De plus, une fois résilier d'une assurance (peu importe les sinistres), beaucoup d'assurances vous refuse. Un assureur à qui j'ai demandé un devis m'a dit que j'étais le troisième dans ce cas depuis le début de l'année. Conclusion : un prix correct mais il faut pas avoir de sinistre, en gros une assurance qui sert à rien sinon à vous foutre dans la m.... .</t>
  </si>
  <si>
    <t>olalajenaimar-14354</t>
  </si>
  <si>
    <t>Par rapport à la couverture de risques (tous risques, assistance 0km, protection du conducteur) je dois dire que cet assureur est assez bien placé pour des prestations correctes et des prix également.</t>
  </si>
  <si>
    <t>14/03/2020</t>
  </si>
  <si>
    <t>mukoko-s-112447</t>
  </si>
  <si>
    <t xml:space="preserve">Le prix est attractif pour l'achat d'un premier véhicule,
Le service est bon à la souscription, en espérant que les sinistres seront tout aussi bien gérés. </t>
  </si>
  <si>
    <t>mafoa-g-122619</t>
  </si>
  <si>
    <t xml:space="preserve">Je suis satisfait du service téléphonique.
Les conseillers sont à l’écoute et très agréables. 
Les prix sont corrects mais malheureusement un peu élevé pour un jeune conducteur. 
</t>
  </si>
  <si>
    <t>pascal-77755</t>
  </si>
  <si>
    <t>je suis assuré depuis plusieurs années a la GMF mais j' ai changé d'assureur suite à une déclaration de sinistre traité avec 3 mois de retard . Les cotisations sont raisonnables mais le service sinistre est injoignable par téléphone mais aussi par mail que je leur ai adressé à plusieurs reprises et sont restés sans  réponse.</t>
  </si>
  <si>
    <t>19/07/2019</t>
  </si>
  <si>
    <t>tokilonko-60414</t>
  </si>
  <si>
    <t>Devis dentaire pour un onlay envoyé : réponse 160€ de remboursement
Facture correspondante envoyée : réponse 20€ de remboursé
Conclusion : à fuir si vous n’etes pas captif comme moi (mutuelle employeur)</t>
  </si>
  <si>
    <t>12/01/2018</t>
  </si>
  <si>
    <t>stephane-r-135507</t>
  </si>
  <si>
    <t>Assurance hypersport avec les garanties équivalentes à des assureurs dont nous tairons le nom.  Excellent rapport qualité prix. A voir dans le temps..</t>
  </si>
  <si>
    <t>tourstours-61202</t>
  </si>
  <si>
    <t>les techniques de vente par téléphone sont inacceptables (ils dérangent les gens inscrits sur BLOCTEL en prétextant une anomalie sur le dossier santé). Ils demandent la date de naissance et prétexte être en relation avec la CPAM. De qui se moque t on?</t>
  </si>
  <si>
    <t>07/02/2018</t>
  </si>
  <si>
    <t>alain-f-126599</t>
  </si>
  <si>
    <t xml:space="preserve">Ras ,simple rapide et efficace 
Je recommande vivement 
Le devis était clair et la validation rapide 
A l’écoute ,réactif et une bonne personnalisation du devis est possible 
</t>
  </si>
  <si>
    <t>pierric-101787</t>
  </si>
  <si>
    <t>je suis chez cet assureur depuis deux ans. j'ai constaté non seulement un excellent rapport qualité prix mais un suivi efficace et sympathique, aussi bien sur la souscription, renouvellement qu'en gestion de sinistre. je recommande vivement.</t>
  </si>
  <si>
    <t>christian-127144</t>
  </si>
  <si>
    <t xml:space="preserve">Globalement satisfait des services que ce soit par voie téléphonique ou en ligne.
CEPENDANT : insatisfaction des tarifs à savoir entre autre une augmentation de cotisation de 38% entre 2020 et 2021 . . . .du jamais vu ! ! !
A mon avis on fait les frais de la mise en place des fameux concepts du 100% de prise en charge concernant les postes auditif, dentaire et lunette; pour autant pour avoir des soins et équipements corrects concernant ces postes de dépense. . .rien n'a réellement changé. . car dans ce concept de prise en charge 100% on vous offre le minimum et résultat : cela a contribué à l'augmentation des cotisations ce qui ne va pas dans le sens des adhérents. 
</t>
  </si>
  <si>
    <t>gaels-66100</t>
  </si>
  <si>
    <t>Ce n'est pas ma première assurance, mais c'est la première qui m'offre ce niveau de réactivité. Le gros plus ? La qualité et la limpidité des échanges emprunts de bonne humeur. 
Je suis très satisfait et confiant, et j'espère pour longtemps.
G.S.</t>
  </si>
  <si>
    <t>09/08/2018</t>
  </si>
  <si>
    <t>gaboriaud-m-116728</t>
  </si>
  <si>
    <t>Conseillée par ma mère j'ai décidé de souscrire et suis très satisfaite du rapport garantie/prix ainsi que du service client très aimable, efficace et à l'écoute</t>
  </si>
  <si>
    <t>kosmal-e-113688</t>
  </si>
  <si>
    <t xml:space="preserve">Démarches très complexes pour s’assurer et pour réaliser un devis quasiment impossible et  pour payer notamment quand on a pas de carte bleue française </t>
  </si>
  <si>
    <t>bruce-m-134288</t>
  </si>
  <si>
    <t xml:space="preserve">Le site est simple et efficace. Je suis satisfait des prix . 
petit point négatif : une faute d'orthographe dans mon nom de famille sur mon assurance 
</t>
  </si>
  <si>
    <t>vlandry-85951</t>
  </si>
  <si>
    <t>Catastrophique ! Après un déménagement à l'étranger j'ai fait une demande de rachat de l'assurance vis Vivaccio souscrite pour mon fiel (toujours mineur) et c'est digne de Kafka, on me dit que le courrier recommandé comportant  avec toutes les pièces à été perdu.. ensuite on me demande une multitude d'autres pièces , certaines demandées en double et surement déjà reçue, le discours change sans arrêt, je désespère de récupérer mon argent.
Je ne pense pas que la CNP soit dans la légalité.. Faut il passer par les voies légales ?</t>
  </si>
  <si>
    <t>15/01/2020</t>
  </si>
  <si>
    <t>michael-l-107788</t>
  </si>
  <si>
    <t>Service incompétent, les versions varie selon les interlocuteurs, on recoit de fausses information alors que nous sommes en sinistre et on se retrouve à tout payer de notre poche, le service telephonique nous balade de numero en numero avec des infos encore contradictoire. Direct assurances se dedouane de son service depannage et inversement. en contrat depuis des années, enorme déception sur le service et le suivi. pas de réponse aux demandes etc...</t>
  </si>
  <si>
    <t>jeannot-77487</t>
  </si>
  <si>
    <t>Assurance 100% en ligne avec des tarifs très compétitifs et un excellent service client. Assuré depuis 2 ans, je recommande cette assurance pour la qualité des prestations offertes.</t>
  </si>
  <si>
    <t>cam-130945</t>
  </si>
  <si>
    <t xml:space="preserve">agence de proximité pratique 
les frais de mensualisations pourraient être offerts surtout lorsque l'on dédient plusieurs contrats pour notre cas  6 contrats !!! </t>
  </si>
  <si>
    <t>isabelle--123188</t>
  </si>
  <si>
    <t>Bonjour,  Je suis satisfaite de la gestion de  ma demande  de documents  par Maria qui s’est montrée agréable, compétente  et réactive. Merci à  elle.</t>
  </si>
  <si>
    <t>marimo2-49505</t>
  </si>
  <si>
    <t xml:space="preserve">La raison pour laquelle j'ai choisi direct assurance était son prix, étant mon premier véhicule, je voulais pouvoir être capable de payer mon assurance sans que cela ne creuse trop dans mon budget mais en dehors de l'aspect financier, le reste n'est pas terrible, les franchises sont pharaoniques et le service client est une plaie.
En effet, j'ai résilié mon contrat après un déménagement à l'étranger signifié par lettre recommandée. La résiliation a été prise en compte mais mon chèque de remboursement a été envoyé à mon ancienne adresse bien que j’eus signifié que je n'habitais plus dans le logement depuis plusieurs mois.
Après avoir appelé le service client, ils m'ont annoncé ne pas envoyer de courrier à l'étranger et que si je n'ai pas d'adresse en France, je ne peux pas recevoir de courrier de leur part. 
Quand j'ai tenté de leur expliquer l'absurdité de la situation puisque je n'habite effectivement plus en France et n'y ai donc pas d'adresse, la chargée de clientèle m'a simplement raccroché au nez.
Les numeros de téléphones ne sont pas non plus joignables depuis une ligne étrangères. </t>
  </si>
  <si>
    <t>souchon-p-111116</t>
  </si>
  <si>
    <t xml:space="preserve">le prix me convient .  J ai déclaré un sinistre , j ai renvoyé la facture  le 14 avril et je n ai toujours pas été régler merci de faire suivre. cordialement Philippe Souchon </t>
  </si>
  <si>
    <t>21/04/2021</t>
  </si>
  <si>
    <t>southfamilly-100107</t>
  </si>
  <si>
    <t>Jusqu'à présente, j'étais plutôt satisfait. Cette année, j'ai cédé un véhicule à la casse, avec la preuve de la cession, j'envoie les docs et j'appelle à de maintes reprises pour la résiliation, rien n'y fait ! "Seulement à la date d'échéance" c'est leur réponse, Rappelle : Mon véhicule n'existe plus et toutes démarches effectuées !!!!!
Récemment, je rappelle et le conseiller me prend pour un "neuneu" et ne veut rien savoir !
Dommage, j'avais en haute estime cette assurance !!!!
DOMMAGE, et TRES TRES DECU............</t>
  </si>
  <si>
    <t>15/11/2020</t>
  </si>
  <si>
    <t>philippe-d-116251</t>
  </si>
  <si>
    <t>Je suis satisfait du service et trouve que le personnel de GMF est bien réactif à mes questions ainsi qu'à mes demandes.
Merci à vous.
Bien cordialement.</t>
  </si>
  <si>
    <t>melya-102422</t>
  </si>
  <si>
    <t>Je voulais passer mon contrat auto au moins cher car mon véhicule a passé plus de temps au garage qu'entre mes mains et ils m'ont fait payer un an d'assurance je les déconseille fortement
 Voilà leur politique...</t>
  </si>
  <si>
    <t>10/01/2021</t>
  </si>
  <si>
    <t>vraimentdecu-112158</t>
  </si>
  <si>
    <t>j en ai vu des gens incompétents mais là on arrive à un point inégalé...
naze de chez naze
j ai perdu 1 an de remboursement de mutuelle santé parce que le lien entre la sécu et mutuelle n était pas fait ( carte reçue et on m a dit que c'était ok)
Nul nul nul</t>
  </si>
  <si>
    <t>mahamadou-122176</t>
  </si>
  <si>
    <t>Personnel très accueillant et très professionnel. Je confirme. La personne qui nous recu aujourd'hui est efficace et a repondu à nos attentes. Je tenais à le préciser. Merci</t>
  </si>
  <si>
    <t>joce-71176</t>
  </si>
  <si>
    <t xml:space="preserve">Toujours aussi incompétent.  Que ce soit pour régler un sinistre et maintenant avoir juste une attestation...3 semaines qu'on me dit qu'on me l'envoie par mail .Ou ils ont un problème de mail  ou......ils me prennent pour une c....e.
C'est probable car je suis tombée 2 fois sur une personne qui a été insolente voir vulgaire. Au fait une assurance quelque elle soit c bien une société de service auquelle on fait confiance ? </t>
  </si>
  <si>
    <t>salah-m-126397</t>
  </si>
  <si>
    <t>Tres bien pour vos services en ligne. aussi bien pour les prix que pour la facilité d'utilisation de votre site.
Je vous recommanderai à mon entourage</t>
  </si>
  <si>
    <t>gadon-l-110339</t>
  </si>
  <si>
    <t>Satisfait de la qualité de la conseillère que j'ai eu au téléphone, la personne a été très agréable et m'a bien orienté pour le choix de mon assurance.</t>
  </si>
  <si>
    <t>wendy-l-113665</t>
  </si>
  <si>
    <t xml:space="preserve">Je suis satisfaite du service apporté
Les prix me conviennent 
Bonne réactivité 
Conseiller agréable et patient 
Je vous remercie 
Cordialement, 
</t>
  </si>
  <si>
    <t>christopher--b-135102</t>
  </si>
  <si>
    <t xml:space="preserve">Simple pratique, de supers prix
Personnel dispo rapidement par téléphone
Très satisfait nos voiture sont assurés chez direct assurance
Continuez comme ça </t>
  </si>
  <si>
    <t>wilfried-f-133667</t>
  </si>
  <si>
    <t>Je ne suis pas content de devoir payer deux mensualités d'avance. Mais les pris paraissent correcte, à voir dans le temps ce que cela va donner. Plus le cash bac de récupérer.</t>
  </si>
  <si>
    <t>monsifrot-p-139317</t>
  </si>
  <si>
    <t>je suis satisfait de la procédure de signature du contrat suite devis trouvé par le site comparateur d'assurance malgré quelques difficultés informatiques ...</t>
  </si>
  <si>
    <t>09/11/2021</t>
  </si>
  <si>
    <t>lek-131283</t>
  </si>
  <si>
    <t xml:space="preserve">Bonjour
Je déconseille fortement
conseillère casi injoignable
Vraiment deçu
J'ai eu un sinistre depuis le 18 août nous sommes le 4 septembre je suis toujours en attente d'une réponse
Si jappel pas pour savoir l'avancement de mon dossier personne ne m'appelle
</t>
  </si>
  <si>
    <t>yann-b-130255</t>
  </si>
  <si>
    <t>Bonjour,Je. Suis satisfait du service et des tarifs et de l'efficacité de direct assurance merci beaucoup à vous de vos services et de la rapidité à traiter les dossiers</t>
  </si>
  <si>
    <t>emmanuel-b-123584</t>
  </si>
  <si>
    <t>Je suis satisfait du service. Très bon rapport qualité/prix. Site à proposer à de nombreux futurs clients. En souhaitant que ce ne soit pas un "mirage".</t>
  </si>
  <si>
    <t>pierre-132211</t>
  </si>
  <si>
    <t>Bonjour,
Les réponses à mes questions, ont été claire, alors que j'ai eu du mal à les poser.
Bravo pour la patience et l'amabilité de    Mariama.
Pierre AIME</t>
  </si>
  <si>
    <t>mamerco-137988</t>
  </si>
  <si>
    <t>avec mon contrat assistance panne 0 km , 3 interlocuteurs différents qui doivent à chaque fois se renseigner ,avec un temps d'attente de 15mn pour obtenir un semblant de réponse et pour m'envoyer dans un garage qui d'office ne réparera pas ma moto, au lieu de m'envoyer dans le garage de la marque (bien sur celui ci se situe à 60km) , ce qui à fini par être fait , mais non sans discuter  avec le 3em interlocuteur qui ne me comprenait pas ,20 secondes avant chaque réponse , je pense qu'il devait avoir un traducteur .finalement le garage de la marque à réparé aussitôt , et pas besoin pour l'assurance de me rapatrier à mon domicile , conclusion , très difficile de se faire "entendre" cela à duré 2 heures avant de partir avec le dépanneur au bon garage</t>
  </si>
  <si>
    <t>belle-j-137744</t>
  </si>
  <si>
    <t>Je suis satisfaite du service et de l'espace client assez bien fait.
J'ai été en contact téléphonique avec une de vos collaboratrices qui a été à l'écoute et très sympathique. Je suis néanmoins passée par le site des furets.com, les offres étant plus interessantes.
Et je trouve la franchise en cas de remplacement de pare-brise plutôt élevée.</t>
  </si>
  <si>
    <t>bouboune-128207</t>
  </si>
  <si>
    <t>Bonjour vous cherchez une assurance santé vous devez aller chez Santiane cela fait cinq ans que j'y suis et je n'ai qu'à me louer de leurs services on trouve toujours les prix élevés mais quand on en à besoin  c'est différent j'ai été hospitalisé cinq semaines sans avoir à débourser   le moindre centimes la rapidité des remboursements est parfaite le contact est très bon sauf un peu compliqué pour rentrer en relation téléphonique JE VOUS LA RECOMMANDE</t>
  </si>
  <si>
    <t>davides-90113</t>
  </si>
  <si>
    <t>J'ai voulu changer le contrat de mon fils pour assurer sa nouvelle voiture, leur système est fait pour vous faire avoir, il ne change pas le véhicule vous devez reprendre un autre contrat !!
Nous avons donc prit un autre contrat pour le nouveau véhicule et résilié par courrier scanné le premier, hors mon fils a envoyé le certificat de vente à la préfecture et n'a pas gardé d'exemplaire, l'assurance nous demande aussi une copie de la carte grise barrée !! Comme si on gardait ça en vendant une voiture. L'ancien contrat était sur mon RIB, le nouveau sur le RIB de mon fils, je bloque donc les prélèvements
2 mois après ils nous demande toujours les règlement de l'ancien contrat et ajoute même des frais, quand je réponds aux mails j'ai une réponse et quand j'explique l'affaire plus personne ne répond, il nous demande juste d'appeler un numéro surtaxé, ce qui est hors de question. 
Je me rends compte maintenant que sur internet tout le monde se plaint de ne pas pouvoir résilier son contrat. Le système est donc généralisé et fait pour faire payer les gens.
Bref je lance une procédure judiciaire contrecompagnie.</t>
  </si>
  <si>
    <t>02/06/2020</t>
  </si>
  <si>
    <t>romain-d-130558</t>
  </si>
  <si>
    <t>La souscription est rapide et le tarif attractif.
Rien à redire au lendemain de la souscription
Mon avis pourra être plus complet par la suite une fois que les premiers échanges avec l'assureur auront eu lieu</t>
  </si>
  <si>
    <t>francis-b-129764</t>
  </si>
  <si>
    <t xml:space="preserve">
Très bien et rapide satisfaction au niveau du prix.
Voir la suite au niveau de l'assurance si satisfaction Pas de raison je pense que tout se passera bien</t>
  </si>
  <si>
    <t>malek-92475</t>
  </si>
  <si>
    <t>Rapidité de la réponse et simplicité de la démarche, pour ce qui est du prix il est convenable, à voir si on continue définitivement avec direct assurance</t>
  </si>
  <si>
    <t>27/06/2020</t>
  </si>
  <si>
    <t>egletons19-49616</t>
  </si>
  <si>
    <t>actuellement en galère, je suis handicapé et j ai demandé un secours solidarité handicap pour aménagé ma voiture pour conduire . j ai reçu un courrier fin octobre me demandant l accord ou le refus de la cpam. Je lai adressé le 4 novembre par lettre suivie et j'ai vu qu'Intériale a reçu mon courrier le 8 novembre. ET bien je recois le même courrier en date du 18 novembre me re demandant la même chose. Quand a la plateforme on appel on tombe sur une personne qui ne dit pas son nom et plus plupart sont moyennement aimable, quand a la réponse il la regarde sur leur ordinateur. Moralité j'ai demandé ce secours en septembre et je n ai toujours pas de réponse définitive. De plus je suis actuellement en arrêt de maladie depuis plus de 3 mois, je dois envoyé mes documents pour le maintien de salaire et primes, j ai très peur que cela fonctionne aussi mal que ma demande d'aide de secours. Merci Interiale de me mettre dans une énorme galère étant chargé de famille et père de deux enfants très jeunes.</t>
  </si>
  <si>
    <t>27/11/2016</t>
  </si>
  <si>
    <t>kinou-125187</t>
  </si>
  <si>
    <t>Widad a aimablement répondu à mes questions, je n'avais pas encore reçu ma carte provisoire de tiers payant ni mon échéancier(en fait retrouvés car classés en indésirables dans ma boîte mail) je ne serai assurée qu'à la fin du mois d'aout, donc je ne sais pas encore si cette assurance santé me convient;</t>
  </si>
  <si>
    <t>azelma-111847</t>
  </si>
  <si>
    <t>Tout d'abord, comment se fait il qu'il y ait autant d"avis douteux" ??? Moi, je trouve cela bizarre. Bref. Mon chien, âgé de 10 ans est assuré depuis ses 7 ans 1/2 chez Assur O'poil. Je suis remboursée à hauteur de 60 %. Mon chien n'est pas malade, je lui fais donc une visite annuelle coûtant 46 euros et a eu cette année un détartrage 89 euros (le 12 mai et le 21 mai). J'expédie mes feuilles dès le 21 mai, pour ne pas oublier. Le 14 juin n'ayant aucune nouvelle et aucune trace de la réception des feuilles  sur mon compte client, j'appelle. Mon interlocuteur me dit que je vais recevoir mes feuilles en retour, apparemment il manque quelque chose, les feuilles sont expédiées depuis le 2-3 juin !!! Le 15, j'adresse un mail : aucune réponse!!!Aujourd'hui, 17 juin, toujours rien. Assurance à éviter d'autant que les mensualités sont passées de 23 à 27 euros ... sans me prévenir. Ils sont bons pour prendre notre argent mais pour rembourser c'est autre chose!!! Je quitte cette assurance. Cet avis n'est pas douteux mais bien réel d'une cliente en colère...</t>
  </si>
  <si>
    <t>ener-96763</t>
  </si>
  <si>
    <t>Aucune communication possible avec les services ( mort cérébrale). Depuis 3 semaines aucun conseiller en ligne, Le service client une demie heure d'attente et toujours personne. J'ai tout essayé je cherche une autre compagnie...</t>
  </si>
  <si>
    <t>faisal-s-113329</t>
  </si>
  <si>
    <t xml:space="preserve">jais payer 16 euros pour avoir déclarer un cintre don jetais pas responsable 
jais payer 40 euros de frai de dossier les conçurent ne font pas payer 
personne ma parler de mais avantage  point bonus 
</t>
  </si>
  <si>
    <t>djidji-69801</t>
  </si>
  <si>
    <t>Après avoir passé 3 semaines à obtenir des devis auto et scooter, on me refuse de souscrire en agence (Bois colombes) pour un motif qui n'avait absolument pas été évoqué durant les différents appels. Pas très sérieux !</t>
  </si>
  <si>
    <t>thierry-c-137805</t>
  </si>
  <si>
    <t>Le conseiller qui ma reçu était d'une amabilité exemplaire et d'une rare efficacité. Il a su répondre a toutes mes questions avec patience, délicatesse et bonne humeur. Merci</t>
  </si>
  <si>
    <t>rene-a-110332</t>
  </si>
  <si>
    <t>tres bien  R A S prix très bien satisfaction rien a redire de plus, conseillers l'écoute je conseille direct Assurance. site internet  le top je remercie</t>
  </si>
  <si>
    <t>bouazid-s-134498</t>
  </si>
  <si>
    <t>Rapport qualité prix correct à voir sur le long terme car c'est mon premier contrat chez vous . J'espère que votre politique se distingue des autres assurances .</t>
  </si>
  <si>
    <t>pkz-50114</t>
  </si>
  <si>
    <t>Passer l'age de 28 ans la MAIF augmente son tarif de plus de 50 % ! Après demande d'explication on perd le tarif jeune à partir de cet age ! La Maif devient alors la plus cher du marché largement la MAAF !</t>
  </si>
  <si>
    <t>10/12/2016</t>
  </si>
  <si>
    <t>tamerlan-65397</t>
  </si>
  <si>
    <t>Apres m avoir reclame 4 fois un arrete maintenant on me ballade en me disant que mon dossier est en cours de traitement....et cela depuis le mois d avril2018....Medames etMessieurs d interiale savez vous que je survie avec 730euros alors les pates e et patates je n en peux plus....penchez vous sur mon dossier afin que je percoive un complement d invalidite .Quand vous nous faites l article pour que nous adherions a votre mutuelle ayez l obligeance de nous prevenir que vous faites trainer en longueur et rechignez a nous indemniser en cas de sinistre!!!!!</t>
  </si>
  <si>
    <t>emmanuel-eustache-134995</t>
  </si>
  <si>
    <t>l'amabilité, la courtoisie et la disponibilité du conseillé, la réponse a mes question, et le rapport qualité/prix bref, je recommande sans hésiter l'olivier assurance.</t>
  </si>
  <si>
    <t>emi54-87440</t>
  </si>
  <si>
    <t>Je suis ravie neoliane est très bien</t>
  </si>
  <si>
    <t>adrien-s-122390</t>
  </si>
  <si>
    <t xml:space="preserve">Je suis satisfait, le prix mensuel de mon assurance est semblable au prix pratiqués par la concurrence et les services proposés sont tout à fait satisfaisant. </t>
  </si>
  <si>
    <t>anlamina-a-125722</t>
  </si>
  <si>
    <t xml:space="preserve">Je suis satisfait le prix me convient rapide et efficace merci beaucoup je peux même conseiller à des amis à très bientôt vraiment rapide comme assurance </t>
  </si>
  <si>
    <t>xavier--r-109847</t>
  </si>
  <si>
    <t>Contrat non conforme à la conversation téléphonique; Une garantie retirée entre-temps, (pack sérénité) mais tarif inchangé. Mais je m'en suis aperçu. Pitoyable fonctionnement commercial</t>
  </si>
  <si>
    <t>si-114959</t>
  </si>
  <si>
    <t xml:space="preserve">Je suis satisfait  très  bon prix  merci  beaucoup  je recommande  vivement  cette assurance  les prix  sont correct  merci  beaucoup  encore  je recommande  les prix  sont intéressants </t>
  </si>
  <si>
    <t>kurt-u-137112</t>
  </si>
  <si>
    <t>Je suis très satisfait et c'est très rapide recommander 
Et le prix est très correct 
Je suis satisfait et c'est rapide et le prix est très correct Nike</t>
  </si>
  <si>
    <t>12/10/2021</t>
  </si>
  <si>
    <t>stephanie-g-105976</t>
  </si>
  <si>
    <t>je suis satisfaite du service et des prix . les conseillés sont très professionnels et à l'écoute du client. Très réactif lors d'un changement de contrat sans des tonnes de documents à remplir.
Simple et éfficace.</t>
  </si>
  <si>
    <t>justine-t-115998</t>
  </si>
  <si>
    <t>Je trouve que les prix sont chers vu le contexte.
Et cette année encore, je suis surprise du montant sachant que je n'ai pas eu d'accident sur N-1. Non seulement je m'attendais à payer moins cher que l'année dernière mais surtout je m'attendais à payer moins cher que ma première année alors que j'étais pour le coup toute jeune conductrice... je suis un peu déçue.
Après je suis globalement satisfaite du service parce que quand on n'a pas de problème et qu'on n'a donc pas besoin de vous solliciter ben forcément tout va bien.</t>
  </si>
  <si>
    <t>dylan-71683</t>
  </si>
  <si>
    <t xml:space="preserve">Je suis tres tres  deçu de la maaf chez eux depuis 3 ans jamais eu de probleme Ah mais des que mon prelevement ne passe pas sur mon compte Mais je vais le regle en agence en cheque et dès que mon cheque et encaisse repartir sur un prelevement La dame de l agence me refuse le droit au prelevement parce que j ai eu un impaye Plus jamais chez eux il nous verron plus jamais il pense a argent avant les clients  </t>
  </si>
  <si>
    <t>27/02/2019</t>
  </si>
  <si>
    <t>toutdego-96327</t>
  </si>
  <si>
    <t>Je ne peux être que satisfait. Mon but étant de payer le moins cher possible. Quant à l'utilisation de mon contrat, je ne peux rien en dire, je n'ai jamais eu l'occasion de solliciter mon assureur pour un dommage. Pour l'instant c'est le seul assureur que j'ai trouvé et qui me permet d'assurer mon véhicule en leasing au tiers maxi, tous les autres c'est tous risques.</t>
  </si>
  <si>
    <t>15/08/2020</t>
  </si>
  <si>
    <t>melanie-r-124730</t>
  </si>
  <si>
    <t>Je viens d'être victime d'un vol de pot catalytique, ma voiture n'est plus utilisable, le service sinistre m'annonce que je ne suis pas couverte. Je trouve qu'il y a toujours une excuse pour ne pas être couvert.</t>
  </si>
  <si>
    <t>oceane-70307</t>
  </si>
  <si>
    <t>après un incident en tord et un a 50/50, la Macif arrête mon contrat alors que je suis chez eux depuis longtemps et que je payais une somme exorbitante. ceci a été fait sans aucune explication. en plus, ils estiment que le dernier incident est illisible et ils ne m'ont pas renvoyé le constat.</t>
  </si>
  <si>
    <t>thi-minh-thoa-h-121523</t>
  </si>
  <si>
    <t>je suis très satisfaite du service. Le conseiller est super réactif et disponible. Les tarifs sont très compétitifs par rapport a note assurance pret immo .</t>
  </si>
  <si>
    <t>gratienne-42814</t>
  </si>
  <si>
    <t>Perp  ancre. Ils nous renseignent n importe  comment au tel ! Vous demandent 2×les mêmes  papiers (RIB,photocopie carte d'identité  ) Vous demandent tout un tas de trucs pour débloquer l argent....Un mois au moins d attente...Ne se posent pas la question de notre besoin. Ne font pas tant de manières pour encaisser les mensualités, quand  c était le cas.??</t>
  </si>
  <si>
    <t>marina-a-124500</t>
  </si>
  <si>
    <t xml:space="preserve">Super cool, des prix inférieurs à la concurrence ! J’attends de voir ce que ça donne mais je pense que c’est une bonne chose !!!
Merci beaucoup amv assurance </t>
  </si>
  <si>
    <t>denada-109594</t>
  </si>
  <si>
    <t>parfait et très sympathique, je n'ai pas testé en cas de sinistre mais je les joins facilement pour traiter mon dossier et les prix sont très compétitifs par rapport aux autres assureurs</t>
  </si>
  <si>
    <t>zaouche-l-114310</t>
  </si>
  <si>
    <t>le prix est très attractif, le devis est conforme au prix que j'ai payé. j'espère juste que tout se passera bien si un soucis arrive (espérons jamais)</t>
  </si>
  <si>
    <t>pierre-emile-g-109845</t>
  </si>
  <si>
    <t xml:space="preserve">très difficile de comprendre la facturation des différentes options et de modifier son contrat. les documents ne comprennent pas suffisamment d'informations er sont difficiles à trouver. </t>
  </si>
  <si>
    <t>zbouziane-51340</t>
  </si>
  <si>
    <t>Pendant un mois déjà, j'ai appelé Active Assurance sur leur numéro surtaxé 1 fois par semaine pour demander qu'on m'envoie la carte verte. A chaque fois, on m'assure l'envoyer dans la semaine. Mais je n'ai toujours rien reçu à ce jour. Je ne comprends pas cette attitude. Je commence à sérieusement songer à résilier ce contrat. D'ailleurs, je ne conseille pas cet assureur !</t>
  </si>
  <si>
    <t>16/01/2017</t>
  </si>
  <si>
    <t>jean-pierre-g-129663</t>
  </si>
  <si>
    <t xml:space="preserve">Bon prix, parmi une des moins chère pour les mêmes prestations proposées de partout. 
Pas d’options supplémentaires et facultatives concernant :
- rachat de franchise
- prêt de véhicule avec l’assistance panne
- valeur majoré
À voir dans le temps, si il y a un éventuel problème, si ils répondent présents. </t>
  </si>
  <si>
    <t>beghid-dehemchi-h-116714</t>
  </si>
  <si>
    <t>Je suis très satisfaite niveau prix, les conseillers sont très professionnels.tres bon accueil et très réactifs. Je ne suis pas déçu pour le moment.je recommandé cette assurance.</t>
  </si>
  <si>
    <t>dupont75-53071</t>
  </si>
  <si>
    <t xml:space="preserve">Service client incompétent au possible ! Remboursement long, et souscription chaotique ! Jamais je n'ai eu autant de problème pour la souscription d'un produit, incompréhensible ! </t>
  </si>
  <si>
    <t>08/03/2017</t>
  </si>
  <si>
    <t>elise-d-116705</t>
  </si>
  <si>
    <t>simple pratique rapide
satisfaite des informations ainsi que des tarifs
le site est facile lisible
service client efficace à l'écoute et facile à joindre</t>
  </si>
  <si>
    <t>dimouchy-p-128425</t>
  </si>
  <si>
    <t xml:space="preserve">Merci. Je suis très satisfait du service et de la rapidité de vos réponses. Les prix sont très intéressants. Je vous remercie encore pour vos propositions. Cordialement. </t>
  </si>
  <si>
    <t>18/08/2021</t>
  </si>
  <si>
    <t>djen-67157</t>
  </si>
  <si>
    <t>Bonne prestation, bonne prise en charge par les conseillers
Bonne prestation, bonne prise en charge par les conseillers
Bonne prestation, bonne prise en charge par les conseillers
Bonne prestation, bonne prise en charge par les conseillers</t>
  </si>
  <si>
    <t>zonzlard-60451</t>
  </si>
  <si>
    <t>Bonjour,
Le 20 novembre nous avons été victime d’un cambriolage , 1 mois plus tard le 20 Décembre nous avons eu le passage de l’expert qui nous a indiqué qu’on serait recontacté dans 10 15 jours maximum par l’assurance pour enfin être indemnisé. 23 jours plus tard toujours rien , obligé d’appeler plus de 20 fois par jour pour ne jamais tomber sur un conseillé et quand par chance on a enfin quelqu’un en ligne on nous dis que la personne chargé de notre dossier est en pause déjeuner mais qu’il nous rappèlera tout de suite après , le pauvre à du se perdre dans son assiette car on attend toujours son appel ...</t>
  </si>
  <si>
    <t>Sogessur</t>
  </si>
  <si>
    <t>13/01/2018</t>
  </si>
  <si>
    <t>letreblig-121163</t>
  </si>
  <si>
    <t xml:space="preserve">Continue à prélever des contrats annulés en temps et en heure. Met plus de 2 semaines à rembourser. Trouve normal de garder l'argent tout ce temps sans même s'excuser ce qui sur des primes annuelles représente un bon montant et peut mettre l'assuré en difficulté financière.   </t>
  </si>
  <si>
    <t>youness-o-127677</t>
  </si>
  <si>
    <t xml:space="preserve">Je suis satisfait de le site direct et la semplicite de la procédure je vous préfère la mensualité tout risque plus comme ça j'ai opté pour le tiers maxi. </t>
  </si>
  <si>
    <t>teo10-61223</t>
  </si>
  <si>
    <t xml:space="preserve">MENSONGES 
Je fait un devis qui tombe à 664 euros par ans en tout risque la conseillère m’appelle et me demande si les informations sont juste et là elle me ressort mon devis mais qui a doublé et qui passe à 1200 euros par ans 
J’ai refait le devis en même temps qu’elle pour être sûr donc nous mettions les meme choses et là je retombe sur 664 euros et elle 1200 
On me rappelle pour savoir ma satisfaction avec un devis qui double du prix annoncer vous nous prenez pour des pigeons ou quoi ?
Sa sens la publicité mensongère a plein nez tout sa </t>
  </si>
  <si>
    <t>04/05/2018</t>
  </si>
  <si>
    <t>tamim-71331</t>
  </si>
  <si>
    <t xml:space="preserve">Je suis en AT depuis 3 ans
AG2R a traité mon dossier seulement 1 an et demi après mon arrêt de travail pour un complément de salaire à zéro euro
Leur méthode de calcul est faite dans le but de ne rien verser
AG2R procède à des retenues sur nos salaires cotisations mais ne reverse rien quand on est en AT
Des Accords Nationaux
Je ne pense pas être un râleur et je suis toujours resté courtois au Tel mais leur service client est incompétent 
Conseillers obséquieux
Je demande des infos sur mon dossier on me remballe et le conseiller me dit que toute façon leur société est costaud 
Les services sont cloisonnés à l extrême 
Cette situation est difficile 
Grave accident de travail et derrière le service de prévoyance n assure rien
</t>
  </si>
  <si>
    <t>15/02/2019</t>
  </si>
  <si>
    <t>ben-51149</t>
  </si>
  <si>
    <t>Je viens d'avoir un accident, 10 jours après je n'ai toujours pas de nouvelles de ma voiture (peugeot 3008), je paie plus de 1300 Euros de cotisation par an. En appelant l'assistance de l'assurance (minimum 30 min d'attente), on m'explique qu'il ne trouve pas de garages et qu ils ne peuvent rien faire, ma voiture est toujours dans un hangar du remorqueur, celui ci m'a appelé car il s'étonnait que ma voiture était encore chez lui, il m'a confirmé que les autres voitures ayant un accident le même jour étaient parties dans un garage depuis 4-5 jours. Aussi je n'ai aucune voiture de prêt, alors que j'ai souscrit le pack Tranquillité qui nous garantit une voiture de prêt, mais voilà ils nous prêtent la voiture qu'une fois les réparations commencées, déjà qu elle n'ai pas encore dans un garage, il faut que l'expert passe et ensuite les travaux commencent, donc je ne suis pas prêt de l'avoir ma voiture...et de plus cela dépend de la disponibilité des voitures de prêts du garagistes....
A oui j ai oublié de dire que j'ai souscrit un contrat avec l'option tournée régulière, c'est à dire que j'utilise ma voiture pour ma profession.
J ai l'impression qu on se paie ma tête, enfin ce n'est plus une impression.</t>
  </si>
  <si>
    <t>10/01/2017</t>
  </si>
  <si>
    <t>marianna-113783</t>
  </si>
  <si>
    <t xml:space="preserve">Service très décevant! Je les contacte par téléphone, on me renvoie sur le site. J'envoie les documents demandés et aucune réponse. Par téléphone on ne réponde pas à mes questions liées au remboursement d'acte médicaux et on essaye de me vendre une assurance prêt. Service inutile. Perte de confiance. Quel regret d'être adhérente à Harmonie Mutuelle. Depuis le 23 avril (bientôt un mois) je n'ai pas eu de réponse à ma demande d'estimation de prise en charge. je déconseille fortement cette Mutuelle, pas sérieuse! </t>
  </si>
  <si>
    <t>andrine-m-109632</t>
  </si>
  <si>
    <t xml:space="preserve">Je viens de contacter un de vos conseillers, je demande un devis tout risque, la personne m'annonce 122€ tout risque, et me propose une option connecté à 128€ en disent que je peux être remboursé jusqu'à 64€ par moi en fonction de ma conduite,.
Pendent la conversation le monsieur me dit 
je vous ai envoyé un lien par sms vous pouvez payer directement, 
je paie et 2mn après je découvre qu'il m'a envoyé un contrat tiers.
Je ne trouve pas normale ce type d'erreur,  si je faisais pas attention à ca, la compagnie de leasing aurait refuser de me donner la voiture demain.
Merci quand-meme </t>
  </si>
  <si>
    <t>rached-d-132283</t>
  </si>
  <si>
    <t xml:space="preserve">Merci à mon conseiller Benjamin A. qui est toujours très aimable et très professionnel. J'ai déjà recommandé Zen up et tout le monde en est satisfait. </t>
  </si>
  <si>
    <t>mime1948-69498</t>
  </si>
  <si>
    <t>Accueil peu agréable fait par une personne supportant mal le dialogue et les remarques de ses interlocuteurs.
Ne donne pas envie de souscrire un crédit ...</t>
  </si>
  <si>
    <t>18/12/2018</t>
  </si>
  <si>
    <t>sandymarin-agf-51668</t>
  </si>
  <si>
    <t>Bonjour, je suis client chez euroassurance depuis plusieurs années pour mon deux roues. J ai au départ , pris cette assurance car au niveau tarif, ils me paraissaient le mieux placés....Je n' ai eu aucun sinistre durant les deux quatre premières années et tout s est très bien passé ( ils ont prélevés mes cotisations normalement et je recevais les vignettes d assurance en temps et en heure) jusqu'au jour où j ai eu un sinistre dans lequel ma responsabilité n était pas engagée....Sauf que le véhicule adverse m à laissé ses coordonnées mais pas ses références d assurance.....Je n' ai évidemment jamais pu recontacter cette personne de mauvaise foi dont j avais cependant le nom et prenom....Et j ai donc transmis le numéro de plaque d immatriculation et l identité du conducteur du véhicule à euroassurance, qui m à indiqué que il ne feraient aucune démarche pour retrouver l assureur de ce véhicule et que je devais donc payer la franchise dans son intégralité (alors qu ils ont la possibilité de faire appel au fichier AGIRA pour ce genre de cas)......J ai donc demandé à ce qu'ils me fassent parvenir un remboursement sur rapport d expertise afin que je procéde moi même aux réparations de mon véhicule car je ne souhaitais pas payer une franchise pour un sinistre dans lequel je ne suis pas responsable et ils ont refusé cette demande. Je trouve ça aberrant qu ils soient là pour prélever les cotisations par contre quand il faut payer il n y a plus personne !! Je ne recommande donc pas cette assurance car je pense que leur gestion des sinistres est bien trop mauvaise !! Et vais donc envoyer bientôt ma lettre de résiliation !</t>
  </si>
  <si>
    <t>25/01/2017</t>
  </si>
  <si>
    <t>duchemin-108305</t>
  </si>
  <si>
    <t>Je crois que mes réponses prix et satisfaction sont significatif ! Maintenant, c'est vous qui voyez. Si vous avez de l'argent à perde, c'est le bon investissement.</t>
  </si>
  <si>
    <t>28/03/2021</t>
  </si>
  <si>
    <t>minka-53416</t>
  </si>
  <si>
    <t>Je suis en invalidité à 66,6 % catégorie 2. Dernièrement, j'ai reçu un courrier de CARDIF m'indiquant que j'étais convoqué devant le médecin de l'assurance pour une expertise médicale. Je suis donc allée à ce rendez-vous. Après un mois, je contacte CARDIF pour avoir des nouvelles concernant mon rendez-vous avec l'expert, et c'est là qu'un interlocuteur m'annonce que mon dossier n'est plus pris en charge, car l'expert à qualifié mon taux d'incapacité professionnel à 100 % et un taux d'incapacité fonctionnelle à 30%. Ceci est inadmissible, et c'est pour cela que je tiens à pousser un cri d'alerte à CARDIF. J'ai envoyé un AR au service qualité réclamation comme quoi je contestais cette décision vu mon état de santé (maladie dégénérative). A ce jour, je n'ai toujours pas de nouvelles et je ne compte pas en rester là et je consulte mon avocat pour les mettre en demeure. Je déconseille à quiconque qui souhaiterait souscrire un contrat d'assurance chez CARDIF en plus les interlocuteurs sont désagréables au téléphone.</t>
  </si>
  <si>
    <t>20/03/2017</t>
  </si>
  <si>
    <t>jeremie08-63727</t>
  </si>
  <si>
    <t>Je suis scandalisée d une telle assurance,je vient  d' avoir un sinistre la mon toit envolè  mes chambres innondés ,au tel on me dit espert sous 7 jours ouvrés et la on me sort sous 1 jours je vie comment avec trois enfants franchement nul comme assurenc je vais virer mes contrat laba degouter du temps attente au tel nous prend pour des bleu</t>
  </si>
  <si>
    <t>02/05/2018</t>
  </si>
  <si>
    <t>serrano-ruiz-v-139366</t>
  </si>
  <si>
    <t>satisfait par le service mais trop tatillon sur les dates des sinistres précédents surtout quand ceux ci sont mineurs, plus value automatique dommage !</t>
  </si>
  <si>
    <t>adrien-b-131002</t>
  </si>
  <si>
    <t>RAPIDE ET PRATIQUE 
prix correcte après comparatif 
seul bémol la protection du conducteur
sauf les explication pourquoi je pai plus cher la première fois</t>
  </si>
  <si>
    <t>etienne-d-135051</t>
  </si>
  <si>
    <t>Les prix me conviennent Je suis très heureux d'être chez direct assurance merci de votre accompagnement. Je compte sur vous pour aujourd'hui et a l'avenir merci beaucoup.</t>
  </si>
  <si>
    <t>souaidi-133007</t>
  </si>
  <si>
    <t>Je suis très.contante du conseiller  monsieur RAWANE  il étais à l'ecoutede se que je lui es demandé, il m'a bien renseigné  de e que je voulez  savoir  pour moi  un bon conseiller. Merci</t>
  </si>
  <si>
    <t>cyril-b-133158</t>
  </si>
  <si>
    <t xml:space="preserve">Le prix me convient comparé à d'autres assurances 
Facile de souscription via internet 
Pratique et rapide 
Résiliation de mon assurance actuelle effectuée par direct assurance c'est parfait </t>
  </si>
  <si>
    <t>deyan-b-135343</t>
  </si>
  <si>
    <t>Je suis satisfait du service de direct assurance. Pas d'autres remarques particulières à ajouter, c'est simple et rapide. La souscription à été effectuée en quelques minutes seulement.</t>
  </si>
  <si>
    <t>doudou77-76410</t>
  </si>
  <si>
    <t xml:space="preserve">Bonjour
Je suis très mécontent de vos services après plusieurs années d engagement
Je m explique... j'ai contacté plusieurs fois par mail et par téléphone des conseillers pour arrêter mon assurance d'un scooter obsolète... Je m explique ce scooter a été démonté (roue carter d'huile et essence etc.. )  donc il est pour le moment inutilisable... il ne comporte plus aucun risque ! Je ne compte pas le mettre a la casse il est dans un de mes box bref on me répond tjs la même réponse bateau et robotisé par mail (6 fois de suite quand même) comme quoi je  doit envoyer un nouveau justificatif d assurance hors je ne souhaite pas le reeassurer.. Et le pire était les échanges téléphoniques d'une incompétence incroyable ! Le 1er me demandant un justificatif d accident... Euh... Et la 2eme encore pire qui me dit que 'assurance n'est plus sans engagements ??? Et qu'il me faut un justificatif de démontages par un garage ?? La blague !!!
Bref deux points 
J'ai signé un contrat SANS ENGAGEMENT (Vous ne pouvez pas changer les règles comme cela c'es d'ailleurs bien indiqué sur votre site
Et deuxième point on me demande tjs de me justifier !!!! Alors que c'est tjs bien indiqué sur votre sans justificatif 
Et encore ici je suis obligé de me justifier !! 
Ci joint les screenshot de votre site !
Je demande donc l arrêt immédiate de mon assurance sous peine d'alerter ma protection juridique et demander des dommages et intérêt pour le temps consacré 
Moi qui comptait assurer ma nouvelle voiture prochainement chez vous c'est raté ! </t>
  </si>
  <si>
    <t>02/06/2019</t>
  </si>
  <si>
    <t>nelly-f-123065</t>
  </si>
  <si>
    <t>Les prix semblent très corrects par rapport a mon ancienne assurance, et la démarche est très simple. Reste maintenant a voir dans la pratique. Mais pour l'instant, je suis plutôt satisfaite</t>
  </si>
  <si>
    <t>jose-80926</t>
  </si>
  <si>
    <t>Les faits : Mon voisin casse ma clôture accidentellement avec son véhicule. déclaration d'assurance. Expertise avec les deux assurances. résultat je dois payer une franchise de 120 euros à l'artisan, qui me demande au passage de lui fournir l'électricité et l'eau.
Discutions houleuses avec l'expert salarié de la Maaf. Il tente de requalifier mon contrat d'assurance qui comme par hasard n'est plus bon. et m'en colle pour une centaine d'euros en plus, ben ma foi.
Le voisin s'en tire bien. Je suis obligé de tous régler alors que je ne suis que victime d'un tiers identifié en plus! et qui ne conteste en rien. Mais c'est moi qui doit payer. C'est n'importe quoi. Et l'expert qui ne comprend pas que je ne veux (par principe) et peux pas (je ne suis pas là de la semaine) donner de l'élec et de l'eau. Je pense honnêtement  changer d'assurance même pour plus cher s'il le faut. je suis très très déçu, comme beaucoup apparemment.</t>
  </si>
  <si>
    <t>12/11/2019</t>
  </si>
  <si>
    <t>bapcol-125297</t>
  </si>
  <si>
    <t xml:space="preserve">Très bien reçue par Aminata. Elle a résolu le problème que j avais pour activer mon espace adhérent. Je ne suis nouvellement inscrite. Prix raisonnable </t>
  </si>
  <si>
    <t>chouchou-57584</t>
  </si>
  <si>
    <t>très bon rapport qualité / prix.Assuré depuis janvier rien à redire, les conseillers sont très agréables et à l'écoute de ce qu'on recherche que ce soit avant de souscrire ou aprés.Dépannage avec mondial assistance en moins de 40 min, très professionnel.</t>
  </si>
  <si>
    <t>25/09/2017</t>
  </si>
  <si>
    <t>yuxia-b-131033</t>
  </si>
  <si>
    <t xml:space="preserve">La conseillère est bien gentille
Le prix me convient également c’est super 
Je recommande j’espère que ce sera une belle expérience niveau du prix est beaucoup moins cher que les autres assureurs </t>
  </si>
  <si>
    <t>stef-76865</t>
  </si>
  <si>
    <t>Une honte ! Apres l incendie de mon véhicule, il y a 2 moi ,l expert a donné une première expertise ( court circuit) une semaine après la Maaf veut une analyse des fluides ,2 semaines après résultat huilés ok .l expert prend contact 10 jours après pour que l on fixe le montant de l indemnisation ,nous trouvons un accord et valide le prix mais maintenant la Maaf redemande des expertise supplémentaires ! Cela fait 2 mois sans véhicule et l on me balade de service en service sans réponse concrète ! Je pense tout simplement que la Maaf ne veulent pas payer et que cela est inadmissible ! Quand on paye sans problème tout les mois tout va bien mais après un sinistre on ne veut pas vous indemniser et on vous laisse sans voiture ni argent !! Je compte prendre un Rdv avec un avocat pour régler la situation</t>
  </si>
  <si>
    <t>18/06/2019</t>
  </si>
  <si>
    <t>leon-98314</t>
  </si>
  <si>
    <t>AXA FAIT PAYER LES MORTS...
Ma mère ( décédée ) répond à la la société EFFICO de TOURS mandatée par AXA ASSURANCE afin de recouvrir une assurance souscrite en vie... ; 
"C'est avec plaisir qu'une voisine m'a apporté votre courrier, trouvé la boite à lettre débordant de publicité détrempées...Aujourd'hui je suis à l'autre bout du village. je m'y trouve bien seule...le lieu est bien éclairé et protégé des vents d'un joli mur de pierres mais la solitude y est grande...les  journées y sont longues...mon mari est mort...je sais que mes proches pensent à moi. 
Je me revois le 7 janvier dernier, dans mon lit d'hôpital pour un bilan.Je venais de prendre mon petit déjeuner et je me suis assoupie vers neuf heures. C'est à onze heures que l'on a constaté mon décès. Une crise cardiaque...
Je repose allée B, emplacement 23, je serais très heureuse si vous me rendiez visite et je vous informe que la parcelle 24 est libre, nous pourrions être voisins.
AXA a déja été informé en RAR...deux fois...
Ma maman est MORTE DEPUIS PRES D'UN AN et 2 RAR à AXA.
HONTE à AXA ASSURANCE...</t>
  </si>
  <si>
    <t>04/10/2020</t>
  </si>
  <si>
    <t>bordes-s-117610</t>
  </si>
  <si>
    <t>Je suis satisfait du service en ligne et téléphonique.
Le rapport prix pour un jeune conducteur est assez abordable.
Je recommande L’olivier assurance.</t>
  </si>
  <si>
    <t>19/06/2021</t>
  </si>
  <si>
    <t>hemmerle-g-130552</t>
  </si>
  <si>
    <t>Lors de la souscription du 2eme contrat par le / la conjoint(e) il serait bien de préciser dès le départ que le contrat serait rattaché au compte du conjoint plutôt que de le découvrir a posteriori</t>
  </si>
  <si>
    <t>sur-saut-92597</t>
  </si>
  <si>
    <t>Malgré de multiples tentatives écrites et orales (courtoises) de démêler les fils d'une situation simple mais devenue inextricable du fait des défaillances et silences de MAIF, j écris ce jour à la direction générale pour les dénoncer ainsi que pour exprimer mon dégoût du mépris avec  lequel est traitée une sociétaire (45ans d'ancienneté!). Que l'on abandonne sans autre état d'âme... puisque MAIF a perdu ses valeurs d'origine ..et nonobstant ses déclarations ! Merci aux sociétaires qui ont engagé une action judiciaire de se faire connaître.</t>
  </si>
  <si>
    <t>29/06/2020</t>
  </si>
  <si>
    <t>cjf-97823</t>
  </si>
  <si>
    <t>J ai une assurance auto sogessur de sans aucunes franchise que je paye très cher or a la grande surprise lors d un bris de glace j ai du payer 20 pour cent de la facture soit 80 euros sogessur ne veut pas me rembourser très sérieux dans un mois je ne serais plus assurer chez cette compagnie qui ne respectent pas ces obligations et fait des contrats sans franchise qui ne en sont pas ne vous assurez pas chez eus</t>
  </si>
  <si>
    <t>24/09/2020</t>
  </si>
  <si>
    <t>krys34-96609</t>
  </si>
  <si>
    <t xml:space="preserve">J'ai jamais eu de soucis et toujours etait bien remboursé lorsque mon chien a ete bien malade. Cotisation un poil chère mais réactivité presente.
Perso satisfaite </t>
  </si>
  <si>
    <t>24/08/2020</t>
  </si>
  <si>
    <t>fati-98297</t>
  </si>
  <si>
    <t>Après 37 ans je quitte la Macif à la suite de plusieurs déceptions. Seuls le  manque de temps de consulter d'autres assurances, m'a empêchée de partir. Trop de mauvaises surprises. Mauvais accueil en agence on vous donne un rendez-vous et lorsque vous arrivez la personne vous dit qu'elle n'est pas disponible et qu'un collègue va vous prendre 'entre deux rendez-vous vite fait". Irrespect du client. Je rappelle que je suis une cliente sans aucun problème mais dès que j'ai un incident ou un sinistre c'est toute une histoire, la macif par l'intermédiaire de l'expert, fait tout pour ne pas vous dédommager. Le service réclamation client ne vous répond même pas. Aujourd'hui je m'en vais ailleurs. Un conseil faites comme moi.</t>
  </si>
  <si>
    <t>03/10/2020</t>
  </si>
  <si>
    <t>jeremy59-96188</t>
  </si>
  <si>
    <t>Je suis propriétaire d'une flotte de véhicules automobiles qui était assuré chez Axa assurance il mon fais croire que je faisais une affaire chez eux mais c'est eux qui ont fait une affaire avec moi en me proposant des offres 2 fois plus cher que leur concurrents et quand je voulais partir de chez eux c'était le parcours du combattant plus jamais je n'assurerai chez eux de plus des augmentations des cautisations chaque année injustifié je ne recommande pas cette assurance</t>
  </si>
  <si>
    <t>flotte-automobile</t>
  </si>
  <si>
    <t>11/08/2020</t>
  </si>
  <si>
    <t>mic-54375</t>
  </si>
  <si>
    <t>Mutuelle à fuir. Chère. Remboursements insuffisants. Mépris total du client. Il faut des mois pour obtenir ses allocations journalières. Le prélèvement de la cotisation sur le salaire se fait n'importe comment et ensuite on réclame des sommes exorbitantes à payer dans un délai d'un mois.</t>
  </si>
  <si>
    <t>29/04/2017</t>
  </si>
  <si>
    <t>maylia-63603</t>
  </si>
  <si>
    <t xml:space="preserve">Vol d'un bijou avec agression, expert nommé par la MAIF pour évaluer la valeur vénale qui se base sur un hypothétique plafond de garantie plutôt que de considérer les caractéristiques et la valeur marchande de l'objet. La MAIF le suit et propose une indemnisation à hauteur de 70% de la valeur marchande effective pour un bijou de qualité joaillière artisanale acheté 16 mois auparavant. Aucun dialogue possible avec le charge de clientèle. A fuir. </t>
  </si>
  <si>
    <t>06/05/2018</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</si>
</sst>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9.57"/>
    <col customWidth="1" min="9" max="26" width="8.71"/>
  </cols>
  <sheetData>
    <row r="1">
      <c r="A1" s="1" t="s">
        <v>0</v>
      </c>
      <c r="B1" s="1" t="s">
        <v>1</v>
      </c>
      <c r="C1" s="1" t="s">
        <v>2</v>
      </c>
      <c r="D1" s="1" t="s">
        <v>3</v>
      </c>
      <c r="E1" s="1" t="s">
        <v>4</v>
      </c>
      <c r="F1" s="1" t="s">
        <v>5</v>
      </c>
      <c r="G1" s="1" t="s">
        <v>6</v>
      </c>
      <c r="H1" s="1" t="s">
        <v>7</v>
      </c>
      <c r="I1" s="1" t="s">
        <v>8</v>
      </c>
      <c r="J1" s="1" t="s">
        <v>9</v>
      </c>
      <c r="K1" s="1" t="s">
        <v>10</v>
      </c>
    </row>
    <row r="2">
      <c r="A2" s="2">
        <v>3.0</v>
      </c>
      <c r="B2" s="2" t="s">
        <v>11</v>
      </c>
      <c r="C2" s="2" t="s">
        <v>12</v>
      </c>
      <c r="D2" s="2" t="s">
        <v>13</v>
      </c>
      <c r="E2" s="2" t="s">
        <v>14</v>
      </c>
      <c r="F2" s="2" t="s">
        <v>15</v>
      </c>
      <c r="G2" s="2" t="s">
        <v>16</v>
      </c>
      <c r="H2" s="2" t="s">
        <v>17</v>
      </c>
      <c r="I2" s="2" t="str">
        <f>IFERROR(__xludf.DUMMYFUNCTION("GOOGLETRANSLATE(C2,""fr"",""en"")"),"Hello, I was approached on the phone, the person told me that Néoliane was mandated by the SECU and the CPAM for the management of hospital costs. No luck I am operating next week and I know that the costs are touched. I took notes from their proposal and"&amp;" as they did not like that I asked for details, they hung me up with the nose. You are not close to seeing me at home. Signed an insure for the Macif")</f>
        <v>Hello, I was approached on the phone, the person told me that Néoliane was mandated by the SECU and the CPAM for the management of hospital costs. No luck I am operating next week and I know that the costs are touched. I took notes from their proposal and as they did not like that I asked for details, they hung me up with the nose. You are not close to seeing me at home. Signed an insure for the Macif</v>
      </c>
    </row>
    <row r="3">
      <c r="A3" s="2">
        <v>4.0</v>
      </c>
      <c r="B3" s="2" t="s">
        <v>18</v>
      </c>
      <c r="C3" s="2" t="s">
        <v>19</v>
      </c>
      <c r="D3" s="2" t="s">
        <v>20</v>
      </c>
      <c r="E3" s="2" t="s">
        <v>21</v>
      </c>
      <c r="F3" s="2" t="s">
        <v>15</v>
      </c>
      <c r="G3" s="2" t="s">
        <v>22</v>
      </c>
      <c r="H3" s="2" t="s">
        <v>23</v>
      </c>
      <c r="I3" s="2" t="str">
        <f>IFERROR(__xludf.DUMMYFUNCTION("GOOGLETRANSLATE(C3,""fr"",""en"")"),"I am satisfied with the service and the prices offered. Also very satisfied with the good reception, speed and advice of the phone advisor. Flawless.")</f>
        <v>I am satisfied with the service and the prices offered. Also very satisfied with the good reception, speed and advice of the phone advisor. Flawless.</v>
      </c>
    </row>
    <row r="4">
      <c r="A4" s="2">
        <v>1.0</v>
      </c>
      <c r="B4" s="2" t="s">
        <v>24</v>
      </c>
      <c r="C4" s="2" t="s">
        <v>25</v>
      </c>
      <c r="D4" s="2" t="s">
        <v>26</v>
      </c>
      <c r="E4" s="2" t="s">
        <v>14</v>
      </c>
      <c r="F4" s="2" t="s">
        <v>15</v>
      </c>
      <c r="G4" s="2" t="s">
        <v>27</v>
      </c>
      <c r="H4" s="2" t="s">
        <v>28</v>
      </c>
      <c r="I4" s="2" t="str">
        <f>IFERROR(__xludf.DUMMYFUNCTION("GOOGLETRANSLATE(C4,""fr"",""en"")"),"I was forced to adhere to a pack telling me that hospital insurance was included the processing of the file set 7 months ... so no refund nothing then I have a mandatory business mutual .... and they Reclaiming me 260 € for the future year with an adhesio"&amp;"n to an insurance that I have never asked for of course the termination is not enough it is a hell .... for a year nothing has resolved and on the phone does not understand What extent I am demuni and tell me to make the searches myself is scandalous !!!")</f>
        <v>I was forced to adhere to a pack telling me that hospital insurance was included the processing of the file set 7 months ... so no refund nothing then I have a mandatory business mutual .... and they Reclaiming me 260 € for the future year with an adhesion to an insurance that I have never asked for of course the termination is not enough it is a hell .... for a year nothing has resolved and on the phone does not understand What extent I am demuni and tell me to make the searches myself is scandalous !!!</v>
      </c>
    </row>
    <row r="5">
      <c r="A5" s="2">
        <v>2.0</v>
      </c>
      <c r="B5" s="2" t="s">
        <v>29</v>
      </c>
      <c r="C5" s="2" t="s">
        <v>30</v>
      </c>
      <c r="D5" s="2" t="s">
        <v>31</v>
      </c>
      <c r="E5" s="2" t="s">
        <v>21</v>
      </c>
      <c r="F5" s="2" t="s">
        <v>15</v>
      </c>
      <c r="G5" s="2" t="s">
        <v>32</v>
      </c>
      <c r="H5" s="2" t="s">
        <v>33</v>
      </c>
      <c r="I5" s="2" t="str">
        <f>IFERROR(__xludf.DUMMYFUNCTION("GOOGLETRANSLATE(C5,""fr"",""en"")"),"Macif member since 1972 bonuses at 50 and 4 contracts increasing to sponsor hobbies no added value to members. Which awaits an information statement of contracts to repeat since October 7, in order to allow investigations to date no response or reception "&amp;"of these documents.")</f>
        <v>Macif member since 1972 bonuses at 50 and 4 contracts increasing to sponsor hobbies no added value to members. Which awaits an information statement of contracts to repeat since October 7, in order to allow investigations to date no response or reception of these documents.</v>
      </c>
    </row>
    <row r="6">
      <c r="A6" s="2">
        <v>5.0</v>
      </c>
      <c r="B6" s="2" t="s">
        <v>34</v>
      </c>
      <c r="C6" s="2" t="s">
        <v>35</v>
      </c>
      <c r="D6" s="2" t="s">
        <v>36</v>
      </c>
      <c r="E6" s="2" t="s">
        <v>21</v>
      </c>
      <c r="F6" s="2" t="s">
        <v>15</v>
      </c>
      <c r="G6" s="2" t="s">
        <v>37</v>
      </c>
      <c r="H6" s="2" t="s">
        <v>38</v>
      </c>
      <c r="I6" s="2" t="str">
        <f>IFERROR(__xludf.DUMMYFUNCTION("GOOGLETRANSLATE(C6,""fr"",""en"")"),"I have been in Maif for over 40 years and am very very happy. I am not saying that there is not a few problems sometimes but the advisers are keen to solve the problems at best!
WELL DONE")</f>
        <v>I have been in Maif for over 40 years and am very very happy. I am not saying that there is not a few problems sometimes but the advisers are keen to solve the problems at best!
WELL DONE</v>
      </c>
    </row>
    <row r="7">
      <c r="A7" s="2">
        <v>5.0</v>
      </c>
      <c r="B7" s="2" t="s">
        <v>39</v>
      </c>
      <c r="C7" s="2" t="s">
        <v>40</v>
      </c>
      <c r="D7" s="2" t="s">
        <v>41</v>
      </c>
      <c r="E7" s="2" t="s">
        <v>21</v>
      </c>
      <c r="F7" s="2" t="s">
        <v>15</v>
      </c>
      <c r="G7" s="2" t="s">
        <v>42</v>
      </c>
      <c r="H7" s="2" t="s">
        <v>42</v>
      </c>
      <c r="I7" s="2" t="str">
        <f>IFERROR(__xludf.DUMMYFUNCTION("GOOGLETRANSLATE(C7,""fr"",""en"")"),"Very satisfied with direct insurance.
Never had a problem whether to solve a disaster or other.
I recommend my eyes closed.
I have been a client for 3 years.")</f>
        <v>Very satisfied with direct insurance.
Never had a problem whether to solve a disaster or other.
I recommend my eyes closed.
I have been a client for 3 years.</v>
      </c>
    </row>
    <row r="8">
      <c r="A8" s="2">
        <v>5.0</v>
      </c>
      <c r="B8" s="2" t="s">
        <v>43</v>
      </c>
      <c r="C8" s="2" t="s">
        <v>44</v>
      </c>
      <c r="D8" s="2" t="s">
        <v>45</v>
      </c>
      <c r="E8" s="2" t="s">
        <v>14</v>
      </c>
      <c r="F8" s="2" t="s">
        <v>15</v>
      </c>
      <c r="G8" s="2" t="s">
        <v>46</v>
      </c>
      <c r="H8" s="2" t="s">
        <v>47</v>
      </c>
      <c r="I8" s="2" t="str">
        <f>IFERROR(__xludf.DUMMYFUNCTION("GOOGLETRANSLATE(C8,""fr"",""en"")"),"I find it very good and very well informed compared to other mutuals on other site. Please tell me how I receive the mutual card")</f>
        <v>I find it very good and very well informed compared to other mutuals on other site. Please tell me how I receive the mutual card</v>
      </c>
    </row>
    <row r="9">
      <c r="A9" s="2">
        <v>4.0</v>
      </c>
      <c r="B9" s="2" t="s">
        <v>48</v>
      </c>
      <c r="C9" s="2" t="s">
        <v>49</v>
      </c>
      <c r="D9" s="2" t="s">
        <v>41</v>
      </c>
      <c r="E9" s="2" t="s">
        <v>21</v>
      </c>
      <c r="F9" s="2" t="s">
        <v>15</v>
      </c>
      <c r="G9" s="2" t="s">
        <v>50</v>
      </c>
      <c r="H9" s="2" t="s">
        <v>51</v>
      </c>
      <c r="I9" s="2" t="str">
        <f>IFERROR(__xludf.DUMMYFUNCTION("GOOGLETRANSLATE(C9,""fr"",""en"")"),"Much cheaper than my current insurance (MMA) for all risks: almost half price. Interesting. I will see the service. I discovered this in Showroomprivé.")</f>
        <v>Much cheaper than my current insurance (MMA) for all risks: almost half price. Interesting. I will see the service. I discovered this in Showroomprivé.</v>
      </c>
    </row>
    <row r="10">
      <c r="A10" s="2">
        <v>5.0</v>
      </c>
      <c r="B10" s="2" t="s">
        <v>52</v>
      </c>
      <c r="C10" s="2" t="s">
        <v>53</v>
      </c>
      <c r="D10" s="2" t="s">
        <v>20</v>
      </c>
      <c r="E10" s="2" t="s">
        <v>21</v>
      </c>
      <c r="F10" s="2" t="s">
        <v>15</v>
      </c>
      <c r="G10" s="2" t="s">
        <v>54</v>
      </c>
      <c r="H10" s="2" t="s">
        <v>55</v>
      </c>
      <c r="I10" s="2" t="str">
        <f>IFERROR(__xludf.DUMMYFUNCTION("GOOGLETRANSLATE(C10,""fr"",""en"")"),"The prices suit me, and it's great since I can be assured independently as a young driver.")</f>
        <v>The prices suit me, and it's great since I can be assured independently as a young driver.</v>
      </c>
    </row>
    <row r="11">
      <c r="A11" s="2">
        <v>2.0</v>
      </c>
      <c r="B11" s="2" t="s">
        <v>56</v>
      </c>
      <c r="C11" s="2" t="s">
        <v>57</v>
      </c>
      <c r="D11" s="2" t="s">
        <v>36</v>
      </c>
      <c r="E11" s="2" t="s">
        <v>58</v>
      </c>
      <c r="F11" s="2" t="s">
        <v>15</v>
      </c>
      <c r="G11" s="2" t="s">
        <v>59</v>
      </c>
      <c r="H11" s="2" t="s">
        <v>60</v>
      </c>
      <c r="I11" s="2" t="str">
        <f>IFERROR(__xludf.DUMMYFUNCTION("GOOGLETRANSLATE(C11,""fr"",""en"")"),"Very disappointed with customer relations: member for 35 years, I have one day received an appeal from an advisor who asked me to change with my spouse so that he was holder because he was held because he was the holder because he was holder because he wa"&amp;"s holder because he was holder because he was holder. What we have done on advice because more advantageous by a few euros. Except that what advisor did not tell us is that suddenly he made the contract set off to zero, we are new members .... with all th"&amp;"e deficiencies induced. Despite a complaint letter, we had written confirmation that the deficiency was maintained.
Distressing and frankly not up to the announcements.")</f>
        <v>Very disappointed with customer relations: member for 35 years, I have one day received an appeal from an advisor who asked me to change with my spouse so that he was holder because he was held because he was the holder because he was holder because he was holder because he was holder because he was holder. What we have done on advice because more advantageous by a few euros. Except that what advisor did not tell us is that suddenly he made the contract set off to zero, we are new members .... with all the deficiencies induced. Despite a complaint letter, we had written confirmation that the deficiency was maintained.
Distressing and frankly not up to the announcements.</v>
      </c>
    </row>
    <row r="12">
      <c r="A12" s="2">
        <v>1.0</v>
      </c>
      <c r="B12" s="2" t="s">
        <v>61</v>
      </c>
      <c r="C12" s="2" t="s">
        <v>62</v>
      </c>
      <c r="D12" s="2" t="s">
        <v>63</v>
      </c>
      <c r="E12" s="2" t="s">
        <v>14</v>
      </c>
      <c r="F12" s="2" t="s">
        <v>15</v>
      </c>
      <c r="G12" s="2" t="s">
        <v>64</v>
      </c>
      <c r="H12" s="2" t="s">
        <v>28</v>
      </c>
      <c r="I12" s="2" t="str">
        <f>IFERROR(__xludf.DUMMYFUNCTION("GOOGLETRANSLATE(C12,""fr"",""en"")"),"I add my dissatisfaction to the disarray of this mutual, I would rather say mercenaries and incapable. Newly adherent, dental quote sent on 03/25/2021, so far no answers despite the reminders.
Inevitably there is a solution to terminate and denounce them"&amp;". It cannot continue like that to take our money for free and without services.")</f>
        <v>I add my dissatisfaction to the disarray of this mutual, I would rather say mercenaries and incapable. Newly adherent, dental quote sent on 03/25/2021, so far no answers despite the reminders.
Inevitably there is a solution to terminate and denounce them. It cannot continue like that to take our money for free and without services.</v>
      </c>
    </row>
    <row r="13">
      <c r="A13" s="2">
        <v>2.0</v>
      </c>
      <c r="B13" s="2" t="s">
        <v>65</v>
      </c>
      <c r="C13" s="2" t="s">
        <v>66</v>
      </c>
      <c r="D13" s="2" t="s">
        <v>67</v>
      </c>
      <c r="E13" s="2" t="s">
        <v>21</v>
      </c>
      <c r="F13" s="2" t="s">
        <v>15</v>
      </c>
      <c r="G13" s="2" t="s">
        <v>68</v>
      </c>
      <c r="H13" s="2" t="s">
        <v>69</v>
      </c>
      <c r="I13" s="2" t="str">
        <f>IFERROR(__xludf.DUMMYFUNCTION("GOOGLETRANSLATE(C13,""fr"",""en"")"),"To flee. No customer respect - Radiation after 18 years of loyalty. What was not my surprise today when I went to MN Agency Maaf to make a car quote for the car I want to buy. They do not want to secure any risk, offer me insurance to the third party (and"&amp;" again this will be subject to authorization). I have been a customer Maaf for 18 years for the cars and a few years for my pavilion. I did not often have an accident during this period but recently since 2017, I had two non -responsible ice creams, a non"&amp;" -responsible accident and a responsible accident. So, if I summarize, only one accident responsible in 2015. I will have to leave to make sure but I leave them pure the house too. Not to mention that I have already been very badly welcomed in the past ye"&amp;"ars. They are unpleasant and arrogant. I stayed for the guarantees and the lifetime bonus. It is disgusting and I am shocked by their attitude but I console myself by knowing that there is cheaper elsewhere.")</f>
        <v>To flee. No customer respect - Radiation after 18 years of loyalty. What was not my surprise today when I went to MN Agency Maaf to make a car quote for the car I want to buy. They do not want to secure any risk, offer me insurance to the third party (and again this will be subject to authorization). I have been a customer Maaf for 18 years for the cars and a few years for my pavilion. I did not often have an accident during this period but recently since 2017, I had two non -responsible ice creams, a non -responsible accident and a responsible accident. So, if I summarize, only one accident responsible in 2015. I will have to leave to make sure but I leave them pure the house too. Not to mention that I have already been very badly welcomed in the past years. They are unpleasant and arrogant. I stayed for the guarantees and the lifetime bonus. It is disgusting and I am shocked by their attitude but I console myself by knowing that there is cheaper elsewhere.</v>
      </c>
    </row>
    <row r="14">
      <c r="A14" s="2">
        <v>4.0</v>
      </c>
      <c r="B14" s="2" t="s">
        <v>70</v>
      </c>
      <c r="C14" s="2" t="s">
        <v>71</v>
      </c>
      <c r="D14" s="2" t="s">
        <v>72</v>
      </c>
      <c r="E14" s="2" t="s">
        <v>21</v>
      </c>
      <c r="F14" s="2" t="s">
        <v>15</v>
      </c>
      <c r="G14" s="2" t="s">
        <v>73</v>
      </c>
      <c r="H14" s="2" t="s">
        <v>74</v>
      </c>
      <c r="I14" s="2" t="str">
        <f>IFERROR(__xludf.DUMMYFUNCTION("GOOGLETRANSLATE(C14,""fr"",""en"")"),"Excellent value for money and always friendly and professional reception of interlocutors. I have little or not the impression of being ""forced"" to take a service that is not useful to me. The site is also easy to use. Only downside: the GMF space in my"&amp;" city has been deleted.")</f>
        <v>Excellent value for money and always friendly and professional reception of interlocutors. I have little or not the impression of being "forced" to take a service that is not useful to me. The site is also easy to use. Only downside: the GMF space in my city has been deleted.</v>
      </c>
    </row>
    <row r="15">
      <c r="A15" s="2">
        <v>1.0</v>
      </c>
      <c r="B15" s="2" t="s">
        <v>75</v>
      </c>
      <c r="C15" s="2" t="s">
        <v>76</v>
      </c>
      <c r="D15" s="2" t="s">
        <v>26</v>
      </c>
      <c r="E15" s="2" t="s">
        <v>14</v>
      </c>
      <c r="F15" s="2" t="s">
        <v>15</v>
      </c>
      <c r="G15" s="2" t="s">
        <v>77</v>
      </c>
      <c r="H15" s="2" t="s">
        <v>78</v>
      </c>
      <c r="I15" s="2" t="str">
        <f>IFERROR(__xludf.DUMMYFUNCTION("GOOGLETRANSLATE(C15,""fr"",""en"")"),"After years within this mutual, I was particularly revolted by the care of people benefiting from a 100%. Indeed, this situation almost reduces the reimbursements of the mutual and, while other mutuals in this situation, proposes to lower the amount of th"&amp;"e contribution, mutual harmony does not respond to requests on this point.
Having carried out a research for my situation and those of people in disability, I discovered complementary health; ""The atmosphere"" whose services and services are designed fo"&amp;"r the Invalides. My monthly subscription drops by 35 euros/month and the guarantees offered are incredible with regard to what I have known by having the level of optimum guarantee at Harmonie Mutuelle.")</f>
        <v>After years within this mutual, I was particularly revolted by the care of people benefiting from a 100%. Indeed, this situation almost reduces the reimbursements of the mutual and, while other mutuals in this situation, proposes to lower the amount of the contribution, mutual harmony does not respond to requests on this point.
Having carried out a research for my situation and those of people in disability, I discovered complementary health; "The atmosphere" whose services and services are designed for the Invalides. My monthly subscription drops by 35 euros/month and the guarantees offered are incredible with regard to what I have known by having the level of optimum guarantee at Harmonie Mutuelle.</v>
      </c>
    </row>
    <row r="16">
      <c r="A16" s="2">
        <v>4.0</v>
      </c>
      <c r="B16" s="2" t="s">
        <v>79</v>
      </c>
      <c r="C16" s="2" t="s">
        <v>80</v>
      </c>
      <c r="D16" s="2" t="s">
        <v>41</v>
      </c>
      <c r="E16" s="2" t="s">
        <v>21</v>
      </c>
      <c r="F16" s="2" t="s">
        <v>15</v>
      </c>
      <c r="G16" s="2" t="s">
        <v>81</v>
      </c>
      <c r="H16" s="2" t="s">
        <v>51</v>
      </c>
      <c r="I16" s="2" t="str">
        <f>IFERROR(__xludf.DUMMYFUNCTION("GOOGLETRANSLATE(C16,""fr"",""en"")"),"Price satisfactory, just a pity that the first monthly payment which corresponds to 2 months of contributions was not mentioned until the end of the course.
Otherwise nothing to say, everything else seems very correct.")</f>
        <v>Price satisfactory, just a pity that the first monthly payment which corresponds to 2 months of contributions was not mentioned until the end of the course.
Otherwise nothing to say, everything else seems very correct.</v>
      </c>
    </row>
    <row r="17">
      <c r="A17" s="2">
        <v>4.0</v>
      </c>
      <c r="B17" s="2" t="s">
        <v>82</v>
      </c>
      <c r="C17" s="2" t="s">
        <v>83</v>
      </c>
      <c r="D17" s="2" t="s">
        <v>41</v>
      </c>
      <c r="E17" s="2" t="s">
        <v>21</v>
      </c>
      <c r="F17" s="2" t="s">
        <v>15</v>
      </c>
      <c r="G17" s="2" t="s">
        <v>84</v>
      </c>
      <c r="H17" s="2" t="s">
        <v>23</v>
      </c>
      <c r="I17" s="2" t="str">
        <f>IFERROR(__xludf.DUMMYFUNCTION("GOOGLETRANSLATE(C17,""fr"",""en"")"),"22euro of file fees to indicate another address (moving) It is expensive paid, otherwise very practical site no need to contact advisor.")</f>
        <v>22euro of file fees to indicate another address (moving) It is expensive paid, otherwise very practical site no need to contact advisor.</v>
      </c>
    </row>
    <row r="18">
      <c r="A18" s="2">
        <v>1.0</v>
      </c>
      <c r="B18" s="2" t="s">
        <v>85</v>
      </c>
      <c r="C18" s="2" t="s">
        <v>86</v>
      </c>
      <c r="D18" s="2" t="s">
        <v>72</v>
      </c>
      <c r="E18" s="2" t="s">
        <v>21</v>
      </c>
      <c r="F18" s="2" t="s">
        <v>15</v>
      </c>
      <c r="G18" s="2" t="s">
        <v>87</v>
      </c>
      <c r="H18" s="2" t="s">
        <v>88</v>
      </c>
      <c r="I18" s="2" t="str">
        <f>IFERROR(__xludf.DUMMYFUNCTION("GOOGLETRANSLATE(C18,""fr"",""en"")"),"To flee! But then without turning around!
I fell out of breakdown at 11:30 am. I am ballad from one agency to another because no small category vehicle available and the assistance did not want to settle a range above (not to mention the time of waiting "&amp;"taxi 1h30) ..... breef I left with a Vehicle at 5.30 p.m. and a deductible at 1200 euros after waiting for 3 taxis and being made in 3 agencies !!!! In addition Economic range vehicle (it is in the contract m A t we say). I have a 4 × 4 and I pay 150 euro"&amp;"s per month !!!!!
It is too much of too much I go !!!!")</f>
        <v>To flee! But then without turning around!
I fell out of breakdown at 11:30 am. I am ballad from one agency to another because no small category vehicle available and the assistance did not want to settle a range above (not to mention the time of waiting taxi 1h30) ..... breef I left with a Vehicle at 5.30 p.m. and a deductible at 1200 euros after waiting for 3 taxis and being made in 3 agencies !!!! In addition Economic range vehicle (it is in the contract m A t we say). I have a 4 × 4 and I pay 150 euros per month !!!!!
It is too much of too much I go !!!!</v>
      </c>
    </row>
    <row r="19">
      <c r="A19" s="2">
        <v>2.0</v>
      </c>
      <c r="B19" s="2" t="s">
        <v>89</v>
      </c>
      <c r="C19" s="2" t="s">
        <v>90</v>
      </c>
      <c r="D19" s="2" t="s">
        <v>91</v>
      </c>
      <c r="E19" s="2" t="s">
        <v>14</v>
      </c>
      <c r="F19" s="2" t="s">
        <v>15</v>
      </c>
      <c r="G19" s="2" t="s">
        <v>92</v>
      </c>
      <c r="H19" s="2" t="s">
        <v>93</v>
      </c>
      <c r="I19" s="2" t="str">
        <f>IFERROR(__xludf.DUMMYFUNCTION("GOOGLETRANSLATE(C19,""fr"",""en"")"),"Following the subscription of a mutual for my husband and my son at Malakoff via the Santiane site and a mutual quote for me, we ended up without having asked for a mutual/IJH pack at Malakoff/Epsil. A few weeks later, the deadline of 14 days spent, we fo"&amp;"und that this contract did not correspond to what we had asked. My husband managed to terminate his Malakoff mutual contract, my son not yet, I who had not asked for anything, it was also over for Malakoff. On the other hand, nothing to do with Epsil desp"&amp;"ite the many telephone, emails and mail exchanges. We signed we keep! This pack was imposed on us without being informed and we can terminate Malakoff but not Epsil. I say we have been abused. In addition, the Epsil samples were done on my account when I "&amp;"was not a customer! On the phone, never the same interlocutor, and Santiane and Epsil refer the ball. Watch out for salespeople, very strong to sell. I will no longer contract anything by internet, you have to have someone opposite. Never received paper c"&amp;"ontracts, than emails. A little light. To flee")</f>
        <v>Following the subscription of a mutual for my husband and my son at Malakoff via the Santiane site and a mutual quote for me, we ended up without having asked for a mutual/IJH pack at Malakoff/Epsil. A few weeks later, the deadline of 14 days spent, we found that this contract did not correspond to what we had asked. My husband managed to terminate his Malakoff mutual contract, my son not yet, I who had not asked for anything, it was also over for Malakoff. On the other hand, nothing to do with Epsil despite the many telephone, emails and mail exchanges. We signed we keep! This pack was imposed on us without being informed and we can terminate Malakoff but not Epsil. I say we have been abused. In addition, the Epsil samples were done on my account when I was not a customer! On the phone, never the same interlocutor, and Santiane and Epsil refer the ball. Watch out for salespeople, very strong to sell. I will no longer contract anything by internet, you have to have someone opposite. Never received paper contracts, than emails. A little light. To flee</v>
      </c>
    </row>
    <row r="20">
      <c r="A20" s="2">
        <v>1.0</v>
      </c>
      <c r="B20" s="2" t="s">
        <v>94</v>
      </c>
      <c r="C20" s="2" t="s">
        <v>95</v>
      </c>
      <c r="D20" s="2" t="s">
        <v>36</v>
      </c>
      <c r="E20" s="2" t="s">
        <v>58</v>
      </c>
      <c r="F20" s="2" t="s">
        <v>15</v>
      </c>
      <c r="G20" s="2" t="s">
        <v>96</v>
      </c>
      <c r="H20" s="2" t="s">
        <v>23</v>
      </c>
      <c r="I20" s="2" t="str">
        <f>IFERROR(__xludf.DUMMYFUNCTION("GOOGLETRANSLATE(C20,""fr"",""en"")"),"I have been insured MAIF since 2017. I was burgled 6 months ago now and the sinister service is dragged. No return to my emails concerning the follow -up of my file ..... I am amazed and disappointed to have trusted this insurance. In addition, while foll"&amp;"owing my burglary I sold my vehicle then bought one. The MAIF refused to secure this new car the same day of the delivery of the vehicle. Yet I had taken care to establish a quote 1 month and a half before and asked the advice if it will not be a problem."&amp;" I was answered, no worries we are not like that in maif. And yet. I am sincerely disappointed and shocking their lack of interest in their insured! Always awaiting a return and my compensation!")</f>
        <v>I have been insured MAIF since 2017. I was burgled 6 months ago now and the sinister service is dragged. No return to my emails concerning the follow -up of my file ..... I am amazed and disappointed to have trusted this insurance. In addition, while following my burglary I sold my vehicle then bought one. The MAIF refused to secure this new car the same day of the delivery of the vehicle. Yet I had taken care to establish a quote 1 month and a half before and asked the advice if it will not be a problem. I was answered, no worries we are not like that in maif. And yet. I am sincerely disappointed and shocking their lack of interest in their insured! Always awaiting a return and my compensation!</v>
      </c>
    </row>
    <row r="21" ht="15.75" customHeight="1">
      <c r="A21" s="2">
        <v>2.0</v>
      </c>
      <c r="B21" s="2" t="s">
        <v>97</v>
      </c>
      <c r="C21" s="2" t="s">
        <v>98</v>
      </c>
      <c r="D21" s="2" t="s">
        <v>63</v>
      </c>
      <c r="E21" s="2" t="s">
        <v>14</v>
      </c>
      <c r="F21" s="2" t="s">
        <v>15</v>
      </c>
      <c r="G21" s="2" t="s">
        <v>99</v>
      </c>
      <c r="H21" s="2" t="s">
        <v>100</v>
      </c>
      <c r="I21" s="2" t="str">
        <f>IFERROR(__xludf.DUMMYFUNCTION("GOOGLETRANSLATE(C21,""fr"",""en"")"),"Worse mutual of France of the low-cost point bar, never responds to emails, unreachable telephone or when you manage to have them to say that you have to wait etc of incapable. to flee")</f>
        <v>Worse mutual of France of the low-cost point bar, never responds to emails, unreachable telephone or when you manage to have them to say that you have to wait etc of incapable. to flee</v>
      </c>
    </row>
    <row r="22" ht="15.75" customHeight="1">
      <c r="A22" s="2">
        <v>1.0</v>
      </c>
      <c r="B22" s="2" t="s">
        <v>101</v>
      </c>
      <c r="C22" s="2" t="s">
        <v>102</v>
      </c>
      <c r="D22" s="2" t="s">
        <v>103</v>
      </c>
      <c r="E22" s="2" t="s">
        <v>104</v>
      </c>
      <c r="F22" s="2" t="s">
        <v>15</v>
      </c>
      <c r="G22" s="2" t="s">
        <v>105</v>
      </c>
      <c r="H22" s="2" t="s">
        <v>74</v>
      </c>
      <c r="I22" s="2" t="str">
        <f>IFERROR(__xludf.DUMMYFUNCTION("GOOGLETRANSLATE(C22,""fr"",""en"")"),"I am not satisfied with the price increase in the space of just over a month (around 100 €) while a reduction of more than 300 € had been granted to me a month ago ...
I find this way of doing a little misleading since I was very satisfied at the start a"&amp;"nd that in the end I am very disappointed.")</f>
        <v>I am not satisfied with the price increase in the space of just over a month (around 100 €) while a reduction of more than 300 € had been granted to me a month ago ...
I find this way of doing a little misleading since I was very satisfied at the start and that in the end I am very disappointed.</v>
      </c>
    </row>
    <row r="23" ht="15.75" customHeight="1">
      <c r="A23" s="2">
        <v>2.0</v>
      </c>
      <c r="B23" s="2" t="s">
        <v>106</v>
      </c>
      <c r="C23" s="2" t="s">
        <v>107</v>
      </c>
      <c r="D23" s="2" t="s">
        <v>108</v>
      </c>
      <c r="E23" s="2" t="s">
        <v>21</v>
      </c>
      <c r="F23" s="2" t="s">
        <v>15</v>
      </c>
      <c r="G23" s="2" t="s">
        <v>109</v>
      </c>
      <c r="H23" s="2" t="s">
        <v>110</v>
      </c>
      <c r="I23" s="2" t="str">
        <f>IFERROR(__xludf.DUMMYFUNCTION("GOOGLETRANSLATE(C23,""fr"",""en"")"),"Well, for a first contact, this is one that I will not forget ...
Following a quote established online for a vehicle I need to reassure (lack of insurance of 2 years and 3 months), the administrative service (or the account opening service) reminds me "&amp;"of my bonus Current of 0.50 (2 consecutive 2 years), cannot be kept on the pretext that I exceed 2 years without insurance, having thus returned to 1.00.
On the one hand this clause is not indicated anywhere on the contract received, or even on their w"&amp;"ebsite, and no one was able to provide me with any document relating this clause.
On the other hand, on the insurance code (article A335-9-1), this period is not 2 years but 3 years. And this is what is in reference on their contract: ""number of months "&amp;"of effective insurance over the last 36 months"".
Then an insurer does not have the right to modify the acquired bonus, it can nevertheless apply a surprise but which is also subject to regulations: “This surprise cannot exceed 100 % of the reference p"&amp;"remium. (Always article A335-9-1).
Personally, I will play these regulations as well as the law relating to the insurance code, just so tired by these entities who try to turn to their advantage any situation!
If this is not enough to tell them the "&amp;"articles of law, a referral to the central pricing office will be started.
Sources:
· Insurance code: article A335-9-1: https://www.legifrance.gouv.fr/affichcodearticle.do?idarticle=legiarti00000678764")</f>
        <v>Well, for a first contact, this is one that I will not forget ...
Following a quote established online for a vehicle I need to reassure (lack of insurance of 2 years and 3 months), the administrative service (or the account opening service) reminds me of my bonus Current of 0.50 (2 consecutive 2 years), cannot be kept on the pretext that I exceed 2 years without insurance, having thus returned to 1.00.
On the one hand this clause is not indicated anywhere on the contract received, or even on their website, and no one was able to provide me with any document relating this clause.
On the other hand, on the insurance code (article A335-9-1), this period is not 2 years but 3 years. And this is what is in reference on their contract: "number of months of effective insurance over the last 36 months".
Then an insurer does not have the right to modify the acquired bonus, it can nevertheless apply a surprise but which is also subject to regulations: “This surprise cannot exceed 100 % of the reference premium. (Always article A335-9-1).
Personally, I will play these regulations as well as the law relating to the insurance code, just so tired by these entities who try to turn to their advantage any situation!
If this is not enough to tell them the articles of law, a referral to the central pricing office will be started.
Sources:
· Insurance code: article A335-9-1: https://www.legifrance.gouv.fr/affichcodearticle.do?idarticle=legiarti00000678764</v>
      </c>
    </row>
    <row r="24" ht="15.75" customHeight="1">
      <c r="A24" s="2">
        <v>4.0</v>
      </c>
      <c r="B24" s="2" t="s">
        <v>111</v>
      </c>
      <c r="C24" s="2" t="s">
        <v>112</v>
      </c>
      <c r="D24" s="2" t="s">
        <v>20</v>
      </c>
      <c r="E24" s="2" t="s">
        <v>21</v>
      </c>
      <c r="F24" s="2" t="s">
        <v>15</v>
      </c>
      <c r="G24" s="2" t="s">
        <v>113</v>
      </c>
      <c r="H24" s="2" t="s">
        <v>47</v>
      </c>
      <c r="I24" s="2" t="str">
        <f>IFERROR(__xludf.DUMMYFUNCTION("GOOGLETRANSLATE(C24,""fr"",""en"")"),"I am very satisfied with the olive assurance, I have all my contracts with you as well as my whole family
a lot of professionalism and sympathy on the part of the L’Olivier staff")</f>
        <v>I am very satisfied with the olive assurance, I have all my contracts with you as well as my whole family
a lot of professionalism and sympathy on the part of the L’Olivier staff</v>
      </c>
    </row>
    <row r="25" ht="15.75" customHeight="1">
      <c r="A25" s="2">
        <v>1.0</v>
      </c>
      <c r="B25" s="2" t="s">
        <v>114</v>
      </c>
      <c r="C25" s="2" t="s">
        <v>115</v>
      </c>
      <c r="D25" s="2" t="s">
        <v>116</v>
      </c>
      <c r="E25" s="2" t="s">
        <v>21</v>
      </c>
      <c r="F25" s="2" t="s">
        <v>15</v>
      </c>
      <c r="G25" s="2" t="s">
        <v>117</v>
      </c>
      <c r="H25" s="2" t="s">
        <v>118</v>
      </c>
      <c r="I25" s="2" t="str">
        <f>IFERROR(__xludf.DUMMYFUNCTION("GOOGLETRANSLATE(C25,""fr"",""en"")"),"Insurance to flee because in claims do not work! In addition, personal space they deleted when I made new complaints and the most choices apart published on newspapers and sites I do not understand paying us to be covered in the event of a problem and in "&amp;"the event of a problem we are threatened.")</f>
        <v>Insurance to flee because in claims do not work! In addition, personal space they deleted when I made new complaints and the most choices apart published on newspapers and sites I do not understand paying us to be covered in the event of a problem and in the event of a problem we are threatened.</v>
      </c>
    </row>
    <row r="26" ht="15.75" customHeight="1">
      <c r="A26" s="2">
        <v>5.0</v>
      </c>
      <c r="B26" s="2" t="s">
        <v>119</v>
      </c>
      <c r="C26" s="2" t="s">
        <v>120</v>
      </c>
      <c r="D26" s="2" t="s">
        <v>121</v>
      </c>
      <c r="E26" s="2" t="s">
        <v>122</v>
      </c>
      <c r="F26" s="2" t="s">
        <v>15</v>
      </c>
      <c r="G26" s="2" t="s">
        <v>123</v>
      </c>
      <c r="H26" s="2" t="s">
        <v>124</v>
      </c>
      <c r="I26" s="2" t="str">
        <f>IFERROR(__xludf.DUMMYFUNCTION("GOOGLETRANSLATE(C26,""fr"",""en"")"),"What to say, perfect value for money
Listening staff, pleasant and very professional.
Sorry for point C is for 200 characters ............................................ .................................................. ..............................."&amp;"............")</f>
        <v>What to say, perfect value for money
Listening staff, pleasant and very professional.
Sorry for point C is for 200 characters ............................................ .................................................. ...........................................</v>
      </c>
    </row>
    <row r="27" ht="15.75" customHeight="1">
      <c r="A27" s="2">
        <v>1.0</v>
      </c>
      <c r="B27" s="2" t="s">
        <v>125</v>
      </c>
      <c r="C27" s="2" t="s">
        <v>126</v>
      </c>
      <c r="D27" s="2" t="s">
        <v>116</v>
      </c>
      <c r="E27" s="2" t="s">
        <v>58</v>
      </c>
      <c r="F27" s="2" t="s">
        <v>15</v>
      </c>
      <c r="G27" s="2" t="s">
        <v>127</v>
      </c>
      <c r="H27" s="2" t="s">
        <v>33</v>
      </c>
      <c r="I27" s="2" t="str">
        <f>IFERROR(__xludf.DUMMYFUNCTION("GOOGLETRANSLATE(C27,""fr"",""en"")"),"More than 2 years to be reimbursed water degates and again, they did not want to take care of the degates on the ready -toexing exterior crepis that it was prior to the rupture of pipeline.
Regarding the invoices that have been reimbursed to me, I had to"&amp;" send them to four recovery by recommended. I'm looking to change my insurance company ...")</f>
        <v>More than 2 years to be reimbursed water degates and again, they did not want to take care of the degates on the ready -toexing exterior crepis that it was prior to the rupture of pipeline.
Regarding the invoices that have been reimbursed to me, I had to send them to four recovery by recommended. I'm looking to change my insurance company ...</v>
      </c>
    </row>
    <row r="28" ht="15.75" customHeight="1">
      <c r="A28" s="2">
        <v>2.0</v>
      </c>
      <c r="B28" s="2" t="s">
        <v>128</v>
      </c>
      <c r="C28" s="2" t="s">
        <v>129</v>
      </c>
      <c r="D28" s="2" t="s">
        <v>41</v>
      </c>
      <c r="E28" s="2" t="s">
        <v>21</v>
      </c>
      <c r="F28" s="2" t="s">
        <v>15</v>
      </c>
      <c r="G28" s="2" t="s">
        <v>130</v>
      </c>
      <c r="H28" s="2" t="s">
        <v>110</v>
      </c>
      <c r="I28" s="2" t="str">
        <f>IFERROR(__xludf.DUMMYFUNCTION("GOOGLETRANSLATE(C28,""fr"",""en"")"),"RUN AWAY !!! Insured in any risk, accident or I am absolutely not responsible, 3 weeks ago that my car is at the garage, no loan car of course (while it is planned in my contract)
We wonder why we pay !!!
Very difficult to be able to contact anyone and "&amp;"when we finally manage to have them at the Telepjone, they make no effort to help you or find solutions! NEVER AGAIN ! Quickly this sinister finished and I change insurance without delay.")</f>
        <v>RUN AWAY !!! Insured in any risk, accident or I am absolutely not responsible, 3 weeks ago that my car is at the garage, no loan car of course (while it is planned in my contract)
We wonder why we pay !!!
Very difficult to be able to contact anyone and when we finally manage to have them at the Telepjone, they make no effort to help you or find solutions! NEVER AGAIN ! Quickly this sinister finished and I change insurance without delay.</v>
      </c>
    </row>
    <row r="29" ht="15.75" customHeight="1">
      <c r="A29" s="2">
        <v>1.0</v>
      </c>
      <c r="B29" s="2" t="s">
        <v>131</v>
      </c>
      <c r="C29" s="2" t="s">
        <v>132</v>
      </c>
      <c r="D29" s="2" t="s">
        <v>13</v>
      </c>
      <c r="E29" s="2" t="s">
        <v>14</v>
      </c>
      <c r="F29" s="2" t="s">
        <v>15</v>
      </c>
      <c r="G29" s="2" t="s">
        <v>133</v>
      </c>
      <c r="H29" s="2" t="s">
        <v>134</v>
      </c>
      <c r="I29" s="2" t="str">
        <f>IFERROR(__xludf.DUMMYFUNCTION("GOOGLETRANSLATE(C29,""fr"",""en"")"),"Impossible to connect with this one to know my reimbursements
Very happy to leave them at the end of the year
I do not recommend this mutual
If I had known I would have refused my broker")</f>
        <v>Impossible to connect with this one to know my reimbursements
Very happy to leave them at the end of the year
I do not recommend this mutual
If I had known I would have refused my broker</v>
      </c>
    </row>
    <row r="30" ht="15.75" customHeight="1">
      <c r="A30" s="2">
        <v>1.0</v>
      </c>
      <c r="B30" s="2" t="s">
        <v>135</v>
      </c>
      <c r="C30" s="2" t="s">
        <v>136</v>
      </c>
      <c r="D30" s="2" t="s">
        <v>31</v>
      </c>
      <c r="E30" s="2" t="s">
        <v>21</v>
      </c>
      <c r="F30" s="2" t="s">
        <v>15</v>
      </c>
      <c r="G30" s="2" t="s">
        <v>137</v>
      </c>
      <c r="H30" s="2" t="s">
        <v>69</v>
      </c>
      <c r="I30" s="2" t="str">
        <f>IFERROR(__xludf.DUMMYFUNCTION("GOOGLETRANSLATE(C30,""fr"",""en"")"),"I asked for an auto quote and they allowed me to send me 3 months after a scale and send reminders on the other hand unable to provide me with the signing contract (which I never sign). To claim money they are strong but to provide the documents in eviden"&amp;"ce there is no one left. Oblige to use my guarantee legal service to be able to be quiet")</f>
        <v>I asked for an auto quote and they allowed me to send me 3 months after a scale and send reminders on the other hand unable to provide me with the signing contract (which I never sign). To claim money they are strong but to provide the documents in evidence there is no one left. Oblige to use my guarantee legal service to be able to be quiet</v>
      </c>
    </row>
    <row r="31" ht="15.75" customHeight="1">
      <c r="A31" s="2">
        <v>5.0</v>
      </c>
      <c r="B31" s="2" t="s">
        <v>138</v>
      </c>
      <c r="C31" s="2" t="s">
        <v>139</v>
      </c>
      <c r="D31" s="2" t="s">
        <v>41</v>
      </c>
      <c r="E31" s="2" t="s">
        <v>21</v>
      </c>
      <c r="F31" s="2" t="s">
        <v>15</v>
      </c>
      <c r="G31" s="2" t="s">
        <v>140</v>
      </c>
      <c r="H31" s="2" t="s">
        <v>23</v>
      </c>
      <c r="I31" s="2" t="str">
        <f>IFERROR(__xludf.DUMMYFUNCTION("GOOGLETRANSLATE(C31,""fr"",""en"")"),"Very satisfied with direct insurance very good service and excellent welcome the employees are very attentive and extremely responsive. Do not change anything stay like that you are at the top")</f>
        <v>Very satisfied with direct insurance very good service and excellent welcome the employees are very attentive and extremely responsive. Do not change anything stay like that you are at the top</v>
      </c>
    </row>
    <row r="32" ht="15.75" customHeight="1">
      <c r="A32" s="2">
        <v>1.0</v>
      </c>
      <c r="B32" s="2" t="s">
        <v>141</v>
      </c>
      <c r="C32" s="2" t="s">
        <v>142</v>
      </c>
      <c r="D32" s="2" t="s">
        <v>67</v>
      </c>
      <c r="E32" s="2" t="s">
        <v>58</v>
      </c>
      <c r="F32" s="2" t="s">
        <v>15</v>
      </c>
      <c r="G32" s="2" t="s">
        <v>143</v>
      </c>
      <c r="H32" s="2" t="s">
        <v>144</v>
      </c>
      <c r="I32" s="2" t="str">
        <f>IFERROR(__xludf.DUMMYFUNCTION("GOOGLETRANSLATE(C32,""fr"",""en"")"),"insurer who is not one.")</f>
        <v>insurer who is not one.</v>
      </c>
    </row>
    <row r="33" ht="15.75" customHeight="1">
      <c r="A33" s="2">
        <v>4.0</v>
      </c>
      <c r="B33" s="2" t="s">
        <v>145</v>
      </c>
      <c r="C33" s="2" t="s">
        <v>146</v>
      </c>
      <c r="D33" s="2" t="s">
        <v>41</v>
      </c>
      <c r="E33" s="2" t="s">
        <v>21</v>
      </c>
      <c r="F33" s="2" t="s">
        <v>15</v>
      </c>
      <c r="G33" s="2" t="s">
        <v>147</v>
      </c>
      <c r="H33" s="2" t="s">
        <v>51</v>
      </c>
      <c r="I33" s="2" t="str">
        <f>IFERROR(__xludf.DUMMYFUNCTION("GOOGLETRANSLATE(C33,""fr"",""en"")"),"I am satisfied with the price with the guarantees.
Membership demand is easy and quick.
And it is very appreciable that you are terminating the other insurer")</f>
        <v>I am satisfied with the price with the guarantees.
Membership demand is easy and quick.
And it is very appreciable that you are terminating the other insurer</v>
      </c>
    </row>
    <row r="34" ht="15.75" customHeight="1">
      <c r="A34" s="2">
        <v>5.0</v>
      </c>
      <c r="B34" s="2" t="s">
        <v>148</v>
      </c>
      <c r="C34" s="2" t="s">
        <v>149</v>
      </c>
      <c r="D34" s="2" t="s">
        <v>150</v>
      </c>
      <c r="E34" s="2" t="s">
        <v>122</v>
      </c>
      <c r="F34" s="2" t="s">
        <v>15</v>
      </c>
      <c r="G34" s="2" t="s">
        <v>151</v>
      </c>
      <c r="H34" s="2" t="s">
        <v>28</v>
      </c>
      <c r="I34" s="2" t="str">
        <f>IFERROR(__xludf.DUMMYFUNCTION("GOOGLETRANSLATE(C34,""fr"",""en"")"),"I am satisfied with your service thank you for all fast Eficasse the top thank you for you cordially thank you very much jappressi this service thank you
")</f>
        <v>I am satisfied with your service thank you for all fast Eficasse the top thank you for you cordially thank you very much jappressi this service thank you
</v>
      </c>
    </row>
    <row r="35" ht="15.75" customHeight="1">
      <c r="A35" s="2">
        <v>4.0</v>
      </c>
      <c r="B35" s="2" t="s">
        <v>152</v>
      </c>
      <c r="C35" s="2" t="s">
        <v>153</v>
      </c>
      <c r="D35" s="2" t="s">
        <v>72</v>
      </c>
      <c r="E35" s="2" t="s">
        <v>21</v>
      </c>
      <c r="F35" s="2" t="s">
        <v>15</v>
      </c>
      <c r="G35" s="2" t="s">
        <v>154</v>
      </c>
      <c r="H35" s="2" t="s">
        <v>74</v>
      </c>
      <c r="I35" s="2" t="str">
        <f>IFERROR(__xludf.DUMMYFUNCTION("GOOGLETRANSLATE(C35,""fr"",""en"")"),"I have no a priori problem.
But I did not compare the price with other insurances, so I cannot say that your prices are better than those of competition. I am GMF and satisfied. I have confidence, period.")</f>
        <v>I have no a priori problem.
But I did not compare the price with other insurances, so I cannot say that your prices are better than those of competition. I am GMF and satisfied. I have confidence, period.</v>
      </c>
    </row>
    <row r="36" ht="15.75" customHeight="1">
      <c r="A36" s="2">
        <v>1.0</v>
      </c>
      <c r="B36" s="2" t="s">
        <v>155</v>
      </c>
      <c r="C36" s="2" t="s">
        <v>156</v>
      </c>
      <c r="D36" s="2" t="s">
        <v>150</v>
      </c>
      <c r="E36" s="2" t="s">
        <v>122</v>
      </c>
      <c r="F36" s="2" t="s">
        <v>15</v>
      </c>
      <c r="G36" s="2" t="s">
        <v>157</v>
      </c>
      <c r="H36" s="2" t="s">
        <v>28</v>
      </c>
      <c r="I36" s="2" t="str">
        <f>IFERROR(__xludf.DUMMYFUNCTION("GOOGLETRANSLATE(C36,""fr"",""en"")"),"And if I had been able to put 0 I would have done it !!!
Good for the prices ok but I hope to attract the attention of someone competent !!!
Special provisions already sent by email on March 09!
Driving certificate + EU recto license already sent by "&amp;"email on March 09!
Information statement sent on March 16!
But to my great regret, I was wrong by simply ""answering"" the address of the broker who had sent me the documents to sign.
Suddenly, obviously, no one received my documents and 10 days from t"&amp;"he end of the period, I receive a registered letter telling me that I will be terminated within 10 days (May 08). Would it have been too complicated for the broker who established my contract to make me a return of email to tell me that it was not the rig"&amp;"ht address or send my documents?
No phone number on the registered letter, no internet at home (white area) and on sick leave so I can only take hand in hand today.
Since this morning 11 am, it is the 3rd or 4th time that I have called and that I co"&amp;"me across the famous operators with their well -established speech and who, as soon as we think outside the box is unable to answer our questions !!!
2:40 p.m. ... My problem is still not solved!
And in addition, we already have a contract with them but"&amp;" on behalf of my husband with a customer area by which I could manage all this but it is necessary, hold on, ""that I terminate the contract that I want to terminate me"" for Put it on behalf of my husband, otherwise I have to recreate a customer area wit"&amp;"h a different email address, except that ... and of course the contract of Monsieur and on mine it is the same email address so the IT refuses any manipulation because the email address is only attributed to Mr. when on the phone, no one told me anything!"&amp;" Do you know the story of the dog that bite your tail ??? His name is April
So I just returned an email (at the right address) with the famous documents again and I call immediately to find out if they received them. Not possible to answer my question."&amp;" So in short, I am 5 days from the termination of my contract and no one is able to tell me if my file is complete!
Needless to say, I am very unhappy with your management.
It is not very pleasant to receive an LR just a few days before termination.
"&amp;"Imagine that I am unable to respond within 10 days ... on vacation or hospitalized for example?
I was just convinced that you had all the documents ...
Dirty job and no considerations for your customers.
")</f>
        <v>And if I had been able to put 0 I would have done it !!!
Good for the prices ok but I hope to attract the attention of someone competent !!!
Special provisions already sent by email on March 09!
Driving certificate + EU recto license already sent by email on March 09!
Information statement sent on March 16!
But to my great regret, I was wrong by simply "answering" the address of the broker who had sent me the documents to sign.
Suddenly, obviously, no one received my documents and 10 days from the end of the period, I receive a registered letter telling me that I will be terminated within 10 days (May 08). Would it have been too complicated for the broker who established my contract to make me a return of email to tell me that it was not the right address or send my documents?
No phone number on the registered letter, no internet at home (white area) and on sick leave so I can only take hand in hand today.
Since this morning 11 am, it is the 3rd or 4th time that I have called and that I come across the famous operators with their well -established speech and who, as soon as we think outside the box is unable to answer our questions !!!
2:40 p.m. ... My problem is still not solved!
And in addition, we already have a contract with them but on behalf of my husband with a customer area by which I could manage all this but it is necessary, hold on, "that I terminate the contract that I want to terminate me" for Put it on behalf of my husband, otherwise I have to recreate a customer area with a different email address, except that ... and of course the contract of Monsieur and on mine it is the same email address so the IT refuses any manipulation because the email address is only attributed to Mr. when on the phone, no one told me anything! Do you know the story of the dog that bite your tail ??? His name is April
So I just returned an email (at the right address) with the famous documents again and I call immediately to find out if they received them. Not possible to answer my question. So in short, I am 5 days from the termination of my contract and no one is able to tell me if my file is complete!
Needless to say, I am very unhappy with your management.
It is not very pleasant to receive an LR just a few days before termination.
Imagine that I am unable to respond within 10 days ... on vacation or hospitalized for example?
I was just convinced that you had all the documents ...
Dirty job and no considerations for your customers.
</v>
      </c>
    </row>
    <row r="37" ht="15.75" customHeight="1">
      <c r="A37" s="2">
        <v>1.0</v>
      </c>
      <c r="B37" s="2" t="s">
        <v>158</v>
      </c>
      <c r="C37" s="2" t="s">
        <v>159</v>
      </c>
      <c r="D37" s="2" t="s">
        <v>160</v>
      </c>
      <c r="E37" s="2" t="s">
        <v>58</v>
      </c>
      <c r="F37" s="2" t="s">
        <v>15</v>
      </c>
      <c r="G37" s="2" t="s">
        <v>161</v>
      </c>
      <c r="H37" s="2" t="s">
        <v>74</v>
      </c>
      <c r="I37" s="2" t="str">
        <f>IFERROR(__xludf.DUMMYFUNCTION("GOOGLETRANSLATE(C37,""fr"",""en"")"),"Hello,
My husband died in August. He had taken out a 3000 coral insurance.
Crédit Mutuel tells me that this contract cannot be put in my name and with the same conditions.
What about and what text governs this problem.
Thank you in advance for your an"&amp;"swers.
")</f>
        <v>Hello,
My husband died in August. He had taken out a 3000 coral insurance.
Crédit Mutuel tells me that this contract cannot be put in my name and with the same conditions.
What about and what text governs this problem.
Thank you in advance for your answers.
</v>
      </c>
    </row>
    <row r="38" ht="15.75" customHeight="1">
      <c r="A38" s="2">
        <v>1.0</v>
      </c>
      <c r="B38" s="2" t="s">
        <v>162</v>
      </c>
      <c r="C38" s="2" t="s">
        <v>163</v>
      </c>
      <c r="D38" s="2" t="s">
        <v>164</v>
      </c>
      <c r="E38" s="2" t="s">
        <v>21</v>
      </c>
      <c r="F38" s="2" t="s">
        <v>15</v>
      </c>
      <c r="G38" s="2" t="s">
        <v>165</v>
      </c>
      <c r="H38" s="2" t="s">
        <v>166</v>
      </c>
      <c r="I38" s="2" t="str">
        <f>IFERROR(__xludf.DUMMYFUNCTION("GOOGLETRANSLATE(C38,""fr"",""en"")"),"To flee in an emergency
They dropped my on bonus for a non -responsible accident: well labeled unused but the on bonus is like that madam ... In fact you remain good driver if you leave the car in the garage there you did not have Lucky Certainly ...")</f>
        <v>To flee in an emergency
They dropped my on bonus for a non -responsible accident: well labeled unused but the on bonus is like that madam ... In fact you remain good driver if you leave the car in the garage there you did not have Lucky Certainly ...</v>
      </c>
    </row>
    <row r="39" ht="15.75" customHeight="1">
      <c r="A39" s="2">
        <v>5.0</v>
      </c>
      <c r="B39" s="2" t="s">
        <v>167</v>
      </c>
      <c r="C39" s="2" t="s">
        <v>168</v>
      </c>
      <c r="D39" s="2" t="s">
        <v>41</v>
      </c>
      <c r="E39" s="2" t="s">
        <v>21</v>
      </c>
      <c r="F39" s="2" t="s">
        <v>15</v>
      </c>
      <c r="G39" s="2" t="s">
        <v>169</v>
      </c>
      <c r="H39" s="2" t="s">
        <v>28</v>
      </c>
      <c r="I39" s="2" t="str">
        <f>IFERROR(__xludf.DUMMYFUNCTION("GOOGLETRANSLATE(C39,""fr"",""en"")"),"I am satisfied with the product and especially the speed of membership The price is correct while hoping that it does not increase too much the conditions seem optimal
")</f>
        <v>I am satisfied with the product and especially the speed of membership The price is correct while hoping that it does not increase too much the conditions seem optimal
</v>
      </c>
    </row>
    <row r="40" ht="15.75" customHeight="1">
      <c r="A40" s="2">
        <v>4.0</v>
      </c>
      <c r="B40" s="2" t="s">
        <v>170</v>
      </c>
      <c r="C40" s="2" t="s">
        <v>171</v>
      </c>
      <c r="D40" s="2" t="s">
        <v>172</v>
      </c>
      <c r="E40" s="2" t="s">
        <v>14</v>
      </c>
      <c r="F40" s="2" t="s">
        <v>15</v>
      </c>
      <c r="G40" s="2" t="s">
        <v>173</v>
      </c>
      <c r="H40" s="2" t="s">
        <v>47</v>
      </c>
      <c r="I40" s="2" t="str">
        <f>IFERROR(__xludf.DUMMYFUNCTION("GOOGLETRANSLATE(C40,""fr"",""en"")"),"Available and efficient customer service, courteous and professional teleconsillers.
Adapted health services, correct prices, reimbursements and satisfactory charges as soon as you go through clear health partners (teeth and optics).")</f>
        <v>Available and efficient customer service, courteous and professional teleconsillers.
Adapted health services, correct prices, reimbursements and satisfactory charges as soon as you go through clear health partners (teeth and optics).</v>
      </c>
    </row>
    <row r="41" ht="15.75" customHeight="1">
      <c r="A41" s="2">
        <v>5.0</v>
      </c>
      <c r="B41" s="2" t="s">
        <v>174</v>
      </c>
      <c r="C41" s="2" t="s">
        <v>175</v>
      </c>
      <c r="D41" s="2" t="s">
        <v>13</v>
      </c>
      <c r="E41" s="2" t="s">
        <v>14</v>
      </c>
      <c r="F41" s="2" t="s">
        <v>15</v>
      </c>
      <c r="G41" s="2" t="s">
        <v>176</v>
      </c>
      <c r="H41" s="2" t="s">
        <v>88</v>
      </c>
      <c r="I41" s="2" t="str">
        <f>IFERROR(__xludf.DUMMYFUNCTION("GOOGLETRANSLATE(C41,""fr"",""en"")"),"Very good mutual insurance 48 hours retransmissions ...
I have been there for 2 years, I have been listening to each request for 2 years. thank you.")</f>
        <v>Very good mutual insurance 48 hours retransmissions ...
I have been there for 2 years, I have been listening to each request for 2 years. thank you.</v>
      </c>
    </row>
    <row r="42" ht="15.75" customHeight="1">
      <c r="A42" s="2">
        <v>3.0</v>
      </c>
      <c r="B42" s="2" t="s">
        <v>177</v>
      </c>
      <c r="C42" s="2" t="s">
        <v>178</v>
      </c>
      <c r="D42" s="2" t="s">
        <v>150</v>
      </c>
      <c r="E42" s="2" t="s">
        <v>122</v>
      </c>
      <c r="F42" s="2" t="s">
        <v>15</v>
      </c>
      <c r="G42" s="2" t="s">
        <v>179</v>
      </c>
      <c r="H42" s="2" t="s">
        <v>55</v>
      </c>
      <c r="I42" s="2" t="str">
        <f>IFERROR(__xludf.DUMMYFUNCTION("GOOGLETRANSLATE(C42,""fr"",""en"")"),"I am satisfied with the service, the prices are suitable is not dear I advise, easy formality.
It is the first time at April here
Cordially")</f>
        <v>I am satisfied with the service, the prices are suitable is not dear I advise, easy formality.
It is the first time at April here
Cordially</v>
      </c>
    </row>
    <row r="43" ht="15.75" customHeight="1">
      <c r="A43" s="2">
        <v>4.0</v>
      </c>
      <c r="B43" s="2" t="s">
        <v>180</v>
      </c>
      <c r="C43" s="2" t="s">
        <v>181</v>
      </c>
      <c r="D43" s="2" t="s">
        <v>121</v>
      </c>
      <c r="E43" s="2" t="s">
        <v>122</v>
      </c>
      <c r="F43" s="2" t="s">
        <v>15</v>
      </c>
      <c r="G43" s="2" t="s">
        <v>182</v>
      </c>
      <c r="H43" s="2" t="s">
        <v>51</v>
      </c>
      <c r="I43" s="2" t="str">
        <f>IFERROR(__xludf.DUMMYFUNCTION("GOOGLETRANSLATE(C43,""fr"",""en"")"),"Too bad he does not warn before we have to get involved for 3 months
If not simple fast and efficient
have if I have a problem how the situation will be managed
")</f>
        <v>Too bad he does not warn before we have to get involved for 3 months
If not simple fast and efficient
have if I have a problem how the situation will be managed
</v>
      </c>
    </row>
    <row r="44" ht="15.75" customHeight="1">
      <c r="A44" s="2">
        <v>2.0</v>
      </c>
      <c r="B44" s="2" t="s">
        <v>183</v>
      </c>
      <c r="C44" s="2" t="s">
        <v>184</v>
      </c>
      <c r="D44" s="2" t="s">
        <v>172</v>
      </c>
      <c r="E44" s="2" t="s">
        <v>14</v>
      </c>
      <c r="F44" s="2" t="s">
        <v>15</v>
      </c>
      <c r="G44" s="2" t="s">
        <v>185</v>
      </c>
      <c r="H44" s="2" t="s">
        <v>100</v>
      </c>
      <c r="I44" s="2" t="str">
        <f>IFERROR(__xludf.DUMMYFUNCTION("GOOGLETRANSLATE(C44,""fr"",""en"")"),"It is obvious that I will make a letter to the management, during a death of a loved one, there is no support !! Which is almost normal since the recordings are made 3 weeks after the expensive Being !! If there had not been Alexandre, Lucie and Leïla I w"&amp;"ould not be at the MGP")</f>
        <v>It is obvious that I will make a letter to the management, during a death of a loved one, there is no support !! Which is almost normal since the recordings are made 3 weeks after the expensive Being !! If there had not been Alexandre, Lucie and Leïla I would not be at the MGP</v>
      </c>
    </row>
    <row r="45" ht="15.75" customHeight="1">
      <c r="A45" s="2">
        <v>1.0</v>
      </c>
      <c r="B45" s="2" t="s">
        <v>186</v>
      </c>
      <c r="C45" s="2" t="s">
        <v>187</v>
      </c>
      <c r="D45" s="2" t="s">
        <v>41</v>
      </c>
      <c r="E45" s="2" t="s">
        <v>21</v>
      </c>
      <c r="F45" s="2" t="s">
        <v>15</v>
      </c>
      <c r="G45" s="2" t="s">
        <v>188</v>
      </c>
      <c r="H45" s="2" t="s">
        <v>28</v>
      </c>
      <c r="I45" s="2" t="str">
        <f>IFERROR(__xludf.DUMMYFUNCTION("GOOGLETRANSLATE(C45,""fr"",""en"")"),"For 2 years my bonus has increased but the prices remains unchanged.
Prices constantly increases direct insurance is no longer interesting, I am looking for new insurance")</f>
        <v>For 2 years my bonus has increased but the prices remains unchanged.
Prices constantly increases direct insurance is no longer interesting, I am looking for new insurance</v>
      </c>
    </row>
    <row r="46" ht="15.75" customHeight="1">
      <c r="A46" s="2">
        <v>5.0</v>
      </c>
      <c r="B46" s="2" t="s">
        <v>189</v>
      </c>
      <c r="C46" s="2" t="s">
        <v>190</v>
      </c>
      <c r="D46" s="2" t="s">
        <v>72</v>
      </c>
      <c r="E46" s="2" t="s">
        <v>21</v>
      </c>
      <c r="F46" s="2" t="s">
        <v>15</v>
      </c>
      <c r="G46" s="2" t="s">
        <v>191</v>
      </c>
      <c r="H46" s="2" t="s">
        <v>51</v>
      </c>
      <c r="I46" s="2" t="str">
        <f>IFERROR(__xludf.DUMMYFUNCTION("GOOGLETRANSLATE(C46,""fr"",""en"")"),"I am simply satisfied, always pleasant, good listening apreciable. I recommend 100%. The price remains very affordable and the advice of the agents are very good")</f>
        <v>I am simply satisfied, always pleasant, good listening apreciable. I recommend 100%. The price remains very affordable and the advice of the agents are very good</v>
      </c>
    </row>
    <row r="47" ht="15.75" customHeight="1">
      <c r="A47" s="2">
        <v>1.0</v>
      </c>
      <c r="B47" s="2" t="s">
        <v>192</v>
      </c>
      <c r="C47" s="2" t="s">
        <v>193</v>
      </c>
      <c r="D47" s="2" t="s">
        <v>194</v>
      </c>
      <c r="E47" s="2" t="s">
        <v>195</v>
      </c>
      <c r="F47" s="2" t="s">
        <v>15</v>
      </c>
      <c r="G47" s="2" t="s">
        <v>196</v>
      </c>
      <c r="H47" s="2" t="s">
        <v>197</v>
      </c>
      <c r="I47" s="2" t="str">
        <f>IFERROR(__xludf.DUMMYFUNCTION("GOOGLETRANSLATE(C47,""fr"",""en"")"),"Bad in all directions, prices, services and contacts. The advisers change continuously. The treatment of employees is seems as bad as that of their members")</f>
        <v>Bad in all directions, prices, services and contacts. The advisers change continuously. The treatment of employees is seems as bad as that of their members</v>
      </c>
    </row>
    <row r="48" ht="15.75" customHeight="1">
      <c r="A48" s="2">
        <v>4.0</v>
      </c>
      <c r="B48" s="2" t="s">
        <v>198</v>
      </c>
      <c r="C48" s="2" t="s">
        <v>199</v>
      </c>
      <c r="D48" s="2" t="s">
        <v>20</v>
      </c>
      <c r="E48" s="2" t="s">
        <v>21</v>
      </c>
      <c r="F48" s="2" t="s">
        <v>15</v>
      </c>
      <c r="G48" s="2" t="s">
        <v>27</v>
      </c>
      <c r="H48" s="2" t="s">
        <v>28</v>
      </c>
      <c r="I48" s="2" t="str">
        <f>IFERROR(__xludf.DUMMYFUNCTION("GOOGLETRANSLATE(C48,""fr"",""en"")"),"I am satisfied with this car insurance and I would make a good reception of your insurance around me
Condials Madame Petit Germaine
")</f>
        <v>I am satisfied with this car insurance and I would make a good reception of your insurance around me
Condials Madame Petit Germaine
</v>
      </c>
    </row>
    <row r="49" ht="15.75" customHeight="1">
      <c r="A49" s="2">
        <v>4.0</v>
      </c>
      <c r="B49" s="2" t="s">
        <v>200</v>
      </c>
      <c r="C49" s="2" t="s">
        <v>201</v>
      </c>
      <c r="D49" s="2" t="s">
        <v>91</v>
      </c>
      <c r="E49" s="2" t="s">
        <v>14</v>
      </c>
      <c r="F49" s="2" t="s">
        <v>15</v>
      </c>
      <c r="G49" s="2" t="s">
        <v>202</v>
      </c>
      <c r="H49" s="2" t="s">
        <v>203</v>
      </c>
      <c r="I49" s="2" t="str">
        <f>IFERROR(__xludf.DUMMYFUNCTION("GOOGLETRANSLATE(C49,""fr"",""en"")"),"very good and applied television to give the information")</f>
        <v>very good and applied television to give the information</v>
      </c>
    </row>
    <row r="50" ht="15.75" customHeight="1">
      <c r="A50" s="2">
        <v>1.0</v>
      </c>
      <c r="B50" s="2" t="s">
        <v>204</v>
      </c>
      <c r="C50" s="2" t="s">
        <v>205</v>
      </c>
      <c r="D50" s="2" t="s">
        <v>206</v>
      </c>
      <c r="E50" s="2" t="s">
        <v>207</v>
      </c>
      <c r="F50" s="2" t="s">
        <v>15</v>
      </c>
      <c r="G50" s="2" t="s">
        <v>208</v>
      </c>
      <c r="H50" s="2" t="s">
        <v>209</v>
      </c>
      <c r="I50" s="2" t="str">
        <f>IFERROR(__xludf.DUMMYFUNCTION("GOOGLETRANSLATE(C50,""fr"",""en"")"),"Disappointment no one prevents you from price increases
I had my female dog operated which is 11 and a half years old
I just learned that the operation was reimbursed at 40%
No one warned me until after 10 years the reimbursements past 80A 40 percent
"&amp;"Attention beware
I had a contract at 23 euros about per month and I just discovered without warning that I pay 36 euros for some time
Monitor your samples especially")</f>
        <v>Disappointment no one prevents you from price increases
I had my female dog operated which is 11 and a half years old
I just learned that the operation was reimbursed at 40%
No one warned me until after 10 years the reimbursements past 80A 40 percent
Attention beware
I had a contract at 23 euros about per month and I just discovered without warning that I pay 36 euros for some time
Monitor your samples especially</v>
      </c>
    </row>
    <row r="51" ht="15.75" customHeight="1">
      <c r="A51" s="2">
        <v>2.0</v>
      </c>
      <c r="B51" s="2" t="s">
        <v>210</v>
      </c>
      <c r="C51" s="2" t="s">
        <v>211</v>
      </c>
      <c r="D51" s="2" t="s">
        <v>212</v>
      </c>
      <c r="E51" s="2" t="s">
        <v>21</v>
      </c>
      <c r="F51" s="2" t="s">
        <v>15</v>
      </c>
      <c r="G51" s="2" t="s">
        <v>213</v>
      </c>
      <c r="H51" s="2" t="s">
        <v>124</v>
      </c>
      <c r="I51" s="2" t="str">
        <f>IFERROR(__xludf.DUMMYFUNCTION("GOOGLETRANSLATE(C51,""fr"",""en"")"),"SERIVCE LAVITABLE CUSTOMER, in particular the Telephonic Service")</f>
        <v>SERIVCE LAVITABLE CUSTOMER, in particular the Telephonic Service</v>
      </c>
    </row>
    <row r="52" ht="15.75" customHeight="1">
      <c r="A52" s="2">
        <v>1.0</v>
      </c>
      <c r="B52" s="2" t="s">
        <v>214</v>
      </c>
      <c r="C52" s="2" t="s">
        <v>215</v>
      </c>
      <c r="D52" s="2" t="s">
        <v>216</v>
      </c>
      <c r="E52" s="2" t="s">
        <v>195</v>
      </c>
      <c r="F52" s="2" t="s">
        <v>15</v>
      </c>
      <c r="G52" s="2" t="s">
        <v>217</v>
      </c>
      <c r="H52" s="2" t="s">
        <v>134</v>
      </c>
      <c r="I52" s="2" t="str">
        <f>IFERROR(__xludf.DUMMYFUNCTION("GOOGLETRANSLATE(C52,""fr"",""en"")"),"I wish to perceive my retirement insurance assets and have fulfilled all the conditions for their obtaining. All the parts have been shipped since the beginning of June but .. in since the beginning of July you have to start again for the first time they "&amp;"lack the 2019 tax notice then the following week is the 2020 tax notice I believe that 'They do everything to delay payment is a very common practice at home. I find this type of commercial relations unacceptable and I hope that the savings bank will deta"&amp;"ch from them.")</f>
        <v>I wish to perceive my retirement insurance assets and have fulfilled all the conditions for their obtaining. All the parts have been shipped since the beginning of June but .. in since the beginning of July you have to start again for the first time they lack the 2019 tax notice then the following week is the 2020 tax notice I believe that 'They do everything to delay payment is a very common practice at home. I find this type of commercial relations unacceptable and I hope that the savings bank will detach from them.</v>
      </c>
    </row>
    <row r="53" ht="15.75" customHeight="1">
      <c r="A53" s="2">
        <v>4.0</v>
      </c>
      <c r="B53" s="2" t="s">
        <v>218</v>
      </c>
      <c r="C53" s="2" t="s">
        <v>219</v>
      </c>
      <c r="D53" s="2" t="s">
        <v>20</v>
      </c>
      <c r="E53" s="2" t="s">
        <v>21</v>
      </c>
      <c r="F53" s="2" t="s">
        <v>15</v>
      </c>
      <c r="G53" s="2" t="s">
        <v>220</v>
      </c>
      <c r="H53" s="2" t="s">
        <v>47</v>
      </c>
      <c r="I53" s="2" t="str">
        <f>IFERROR(__xludf.DUMMYFUNCTION("GOOGLETRANSLATE(C53,""fr"",""en"")"),"All the advisers I had on the phone for the 2 car contracts we have with my spouse have always been super nice and professional! thanks to them")</f>
        <v>All the advisers I had on the phone for the 2 car contracts we have with my spouse have always been super nice and professional! thanks to them</v>
      </c>
    </row>
    <row r="54" ht="15.75" customHeight="1">
      <c r="A54" s="2">
        <v>5.0</v>
      </c>
      <c r="B54" s="2" t="s">
        <v>221</v>
      </c>
      <c r="C54" s="2" t="s">
        <v>222</v>
      </c>
      <c r="D54" s="2" t="s">
        <v>121</v>
      </c>
      <c r="E54" s="2" t="s">
        <v>122</v>
      </c>
      <c r="F54" s="2" t="s">
        <v>15</v>
      </c>
      <c r="G54" s="2" t="s">
        <v>223</v>
      </c>
      <c r="H54" s="2" t="s">
        <v>74</v>
      </c>
      <c r="I54" s="2" t="str">
        <f>IFERROR(__xludf.DUMMYFUNCTION("GOOGLETRANSLATE(C54,""fr"",""en"")"),"I have been satisfied for many years of AMV. Their assistance is fast and efficient in the event of a problem. The prices are competitive. I have nothing to blame them for.")</f>
        <v>I have been satisfied for many years of AMV. Their assistance is fast and efficient in the event of a problem. The prices are competitive. I have nothing to blame them for.</v>
      </c>
    </row>
    <row r="55" ht="15.75" customHeight="1">
      <c r="A55" s="2">
        <v>4.0</v>
      </c>
      <c r="B55" s="2" t="s">
        <v>224</v>
      </c>
      <c r="C55" s="2" t="s">
        <v>225</v>
      </c>
      <c r="D55" s="2" t="s">
        <v>91</v>
      </c>
      <c r="E55" s="2" t="s">
        <v>14</v>
      </c>
      <c r="F55" s="2" t="s">
        <v>15</v>
      </c>
      <c r="G55" s="2" t="s">
        <v>226</v>
      </c>
      <c r="H55" s="2" t="s">
        <v>227</v>
      </c>
      <c r="I55" s="2" t="str">
        <f>IFERROR(__xludf.DUMMYFUNCTION("GOOGLETRANSLATE(C55,""fr"",""en"")"),"The comparator and I have studied my file and we have we agreed on guarantees that suit me")</f>
        <v>The comparator and I have studied my file and we have we agreed on guarantees that suit me</v>
      </c>
    </row>
    <row r="56" ht="15.75" customHeight="1">
      <c r="A56" s="2">
        <v>1.0</v>
      </c>
      <c r="B56" s="2" t="s">
        <v>228</v>
      </c>
      <c r="C56" s="2" t="s">
        <v>229</v>
      </c>
      <c r="D56" s="2" t="s">
        <v>108</v>
      </c>
      <c r="E56" s="2" t="s">
        <v>21</v>
      </c>
      <c r="F56" s="2" t="s">
        <v>15</v>
      </c>
      <c r="G56" s="2" t="s">
        <v>230</v>
      </c>
      <c r="H56" s="2" t="s">
        <v>231</v>
      </c>
      <c r="I56" s="2" t="str">
        <f>IFERROR(__xludf.DUMMYFUNCTION("GOOGLETRANSLATE(C56,""fr"",""en"")"),"For a thumbnail on the windshield, it's expensive paid!
A customer service that has trouble slipping an attachment in an email.
Insured for a year there, I am still waiting for the schedule which would explain why my monthly payments increased by € 15 i"&amp;"n a snap!
Not serious, at all. I am offended by their lack of respect.
ACTIVE Assurance is a bruising company that plays on ""we assure everyone""
An online quote that is not the same once in telephone contact, they take advantage that you are a little"&amp;" stuck to impose abusive clauses that you would not accept if you could be insured elsewhere.
I'm leaving, I flee! Now you can get me back to another insurance!
Run away !
Run away!")</f>
        <v>For a thumbnail on the windshield, it's expensive paid!
A customer service that has trouble slipping an attachment in an email.
Insured for a year there, I am still waiting for the schedule which would explain why my monthly payments increased by € 15 in a snap!
Not serious, at all. I am offended by their lack of respect.
ACTIVE Assurance is a bruising company that plays on "we assure everyone"
An online quote that is not the same once in telephone contact, they take advantage that you are a little stuck to impose abusive clauses that you would not accept if you could be insured elsewhere.
I'm leaving, I flee! Now you can get me back to another insurance!
Run away !
Run away!</v>
      </c>
    </row>
    <row r="57" ht="15.75" customHeight="1">
      <c r="A57" s="2">
        <v>2.0</v>
      </c>
      <c r="B57" s="2" t="s">
        <v>232</v>
      </c>
      <c r="C57" s="2" t="s">
        <v>233</v>
      </c>
      <c r="D57" s="2" t="s">
        <v>72</v>
      </c>
      <c r="E57" s="2" t="s">
        <v>21</v>
      </c>
      <c r="F57" s="2" t="s">
        <v>15</v>
      </c>
      <c r="G57" s="2" t="s">
        <v>234</v>
      </c>
      <c r="H57" s="2" t="s">
        <v>203</v>
      </c>
      <c r="I57" s="2" t="str">
        <f>IFERROR(__xludf.DUMMYFUNCTION("GOOGLETRANSLATE(C57,""fr"",""en"")"),"Client for several years without any concern, I do not manage to terminate my auto insurance contract because of the obvious incompetence of the advisers of the CANNET agency, so as not to quote it.
Mail received by the agency on January 22 and terminati"&amp;"on still not done but I cannot know why since they are not damn to call me to tell me. After 6 calls without return, I despair of falling on a single competent person who will be able to do his job :(
GMF yes, but frankly, flee this agency!")</f>
        <v>Client for several years without any concern, I do not manage to terminate my auto insurance contract because of the obvious incompetence of the advisers of the CANNET agency, so as not to quote it.
Mail received by the agency on January 22 and termination still not done but I cannot know why since they are not damn to call me to tell me. After 6 calls without return, I despair of falling on a single competent person who will be able to do his job :(
GMF yes, but frankly, flee this agency!</v>
      </c>
    </row>
    <row r="58" ht="15.75" customHeight="1">
      <c r="A58" s="2">
        <v>4.0</v>
      </c>
      <c r="B58" s="2" t="s">
        <v>235</v>
      </c>
      <c r="C58" s="2" t="s">
        <v>236</v>
      </c>
      <c r="D58" s="2" t="s">
        <v>41</v>
      </c>
      <c r="E58" s="2" t="s">
        <v>21</v>
      </c>
      <c r="F58" s="2" t="s">
        <v>15</v>
      </c>
      <c r="G58" s="2" t="s">
        <v>237</v>
      </c>
      <c r="H58" s="2" t="s">
        <v>74</v>
      </c>
      <c r="I58" s="2" t="str">
        <f>IFERROR(__xludf.DUMMYFUNCTION("GOOGLETRANSLATE(C58,""fr"",""en"")"),"I am satisfied with the service, customer service easy to reach. The prices are correct and customer opinions seem positive. I think I would recommend.")</f>
        <v>I am satisfied with the service, customer service easy to reach. The prices are correct and customer opinions seem positive. I think I would recommend.</v>
      </c>
    </row>
    <row r="59" ht="15.75" customHeight="1">
      <c r="A59" s="2">
        <v>5.0</v>
      </c>
      <c r="B59" s="2" t="s">
        <v>238</v>
      </c>
      <c r="C59" s="2" t="s">
        <v>239</v>
      </c>
      <c r="D59" s="2" t="s">
        <v>20</v>
      </c>
      <c r="E59" s="2" t="s">
        <v>21</v>
      </c>
      <c r="F59" s="2" t="s">
        <v>15</v>
      </c>
      <c r="G59" s="2" t="s">
        <v>240</v>
      </c>
      <c r="H59" s="2" t="s">
        <v>241</v>
      </c>
      <c r="I59" s="2" t="str">
        <f>IFERROR(__xludf.DUMMYFUNCTION("GOOGLETRANSLATE(C59,""fr"",""en"")"),"Best price I never find and they are really fast. I advise all levels like old drivers can change their insured on this insurance")</f>
        <v>Best price I never find and they are really fast. I advise all levels like old drivers can change their insured on this insurance</v>
      </c>
    </row>
    <row r="60" ht="15.75" customHeight="1">
      <c r="A60" s="2">
        <v>5.0</v>
      </c>
      <c r="B60" s="2" t="s">
        <v>242</v>
      </c>
      <c r="C60" s="2" t="s">
        <v>243</v>
      </c>
      <c r="D60" s="2" t="s">
        <v>20</v>
      </c>
      <c r="E60" s="2" t="s">
        <v>21</v>
      </c>
      <c r="F60" s="2" t="s">
        <v>15</v>
      </c>
      <c r="G60" s="2" t="s">
        <v>244</v>
      </c>
      <c r="H60" s="2" t="s">
        <v>23</v>
      </c>
      <c r="I60" s="2" t="str">
        <f>IFERROR(__xludf.DUMMYFUNCTION("GOOGLETRANSLATE(C60,""fr"",""en"")"),"I am satisfied with the speed of shaking up a contract in the name of my wife to a contract with my name for the same car. It remains for to terminate the contract of my wife Amana Moussa")</f>
        <v>I am satisfied with the speed of shaking up a contract in the name of my wife to a contract with my name for the same car. It remains for to terminate the contract of my wife Amana Moussa</v>
      </c>
    </row>
    <row r="61" ht="15.75" customHeight="1">
      <c r="A61" s="2">
        <v>5.0</v>
      </c>
      <c r="B61" s="2" t="s">
        <v>245</v>
      </c>
      <c r="C61" s="2" t="s">
        <v>246</v>
      </c>
      <c r="D61" s="2" t="s">
        <v>20</v>
      </c>
      <c r="E61" s="2" t="s">
        <v>21</v>
      </c>
      <c r="F61" s="2" t="s">
        <v>15</v>
      </c>
      <c r="G61" s="2" t="s">
        <v>247</v>
      </c>
      <c r="H61" s="2" t="s">
        <v>47</v>
      </c>
      <c r="I61" s="2" t="str">
        <f>IFERROR(__xludf.DUMMYFUNCTION("GOOGLETRANSLATE(C61,""fr"",""en"")"),"I am satisfied with the service, the information is clear, it is fast and even to review the documents by emails. Thank you for your speed and responsiveness")</f>
        <v>I am satisfied with the service, the information is clear, it is fast and even to review the documents by emails. Thank you for your speed and responsiveness</v>
      </c>
    </row>
    <row r="62" ht="15.75" customHeight="1">
      <c r="A62" s="2">
        <v>1.0</v>
      </c>
      <c r="B62" s="2" t="s">
        <v>248</v>
      </c>
      <c r="C62" s="2" t="s">
        <v>249</v>
      </c>
      <c r="D62" s="2" t="s">
        <v>108</v>
      </c>
      <c r="E62" s="2" t="s">
        <v>21</v>
      </c>
      <c r="F62" s="2" t="s">
        <v>15</v>
      </c>
      <c r="G62" s="2" t="s">
        <v>250</v>
      </c>
      <c r="H62" s="2" t="s">
        <v>251</v>
      </c>
      <c r="I62" s="2" t="str">
        <f>IFERROR(__xludf.DUMMYFUNCTION("GOOGLETRANSLATE(C62,""fr"",""en"")"),"Just avoid all. You don't often have a return by email from them. You can call them but they do not answer your questions, they ask you to make a request by email for any informations or complaints. They are very long to reimburse you when too perceived h"&amp;"as been made and do not hesitate to recover money for nothing. No annual decrease in the price")</f>
        <v>Just avoid all. You don't often have a return by email from them. You can call them but they do not answer your questions, they ask you to make a request by email for any informations or complaints. They are very long to reimburse you when too perceived has been made and do not hesitate to recover money for nothing. No annual decrease in the price</v>
      </c>
    </row>
    <row r="63" ht="15.75" customHeight="1">
      <c r="A63" s="2">
        <v>4.0</v>
      </c>
      <c r="B63" s="2" t="s">
        <v>252</v>
      </c>
      <c r="C63" s="2" t="s">
        <v>253</v>
      </c>
      <c r="D63" s="2" t="s">
        <v>172</v>
      </c>
      <c r="E63" s="2" t="s">
        <v>195</v>
      </c>
      <c r="F63" s="2" t="s">
        <v>15</v>
      </c>
      <c r="G63" s="2" t="s">
        <v>254</v>
      </c>
      <c r="H63" s="2" t="s">
        <v>42</v>
      </c>
      <c r="I63" s="2" t="str">
        <f>IFERROR(__xludf.DUMMYFUNCTION("GOOGLETRANSLATE(C63,""fr"",""en"")"),"Customer service is very pleasant. The responses are relatively rapid and effective.
The price is a bit high but the health coverage is very good.")</f>
        <v>Customer service is very pleasant. The responses are relatively rapid and effective.
The price is a bit high but the health coverage is very good.</v>
      </c>
    </row>
    <row r="64" ht="15.75" customHeight="1">
      <c r="A64" s="2">
        <v>5.0</v>
      </c>
      <c r="B64" s="2" t="s">
        <v>255</v>
      </c>
      <c r="C64" s="2" t="s">
        <v>256</v>
      </c>
      <c r="D64" s="2" t="s">
        <v>20</v>
      </c>
      <c r="E64" s="2" t="s">
        <v>21</v>
      </c>
      <c r="F64" s="2" t="s">
        <v>15</v>
      </c>
      <c r="G64" s="2" t="s">
        <v>257</v>
      </c>
      <c r="H64" s="2" t="s">
        <v>47</v>
      </c>
      <c r="I64" s="2" t="str">
        <f>IFERROR(__xludf.DUMMYFUNCTION("GOOGLETRANSLATE(C64,""fr"",""en"")"),"Efficient and clear fast service. The advisor was very clear on the phone, and the vehicle was provided within the hour. What more. Continue like that.")</f>
        <v>Efficient and clear fast service. The advisor was very clear on the phone, and the vehicle was provided within the hour. What more. Continue like that.</v>
      </c>
    </row>
    <row r="65" ht="15.75" customHeight="1">
      <c r="A65" s="2">
        <v>5.0</v>
      </c>
      <c r="B65" s="2" t="s">
        <v>258</v>
      </c>
      <c r="C65" s="2" t="s">
        <v>259</v>
      </c>
      <c r="D65" s="2" t="s">
        <v>20</v>
      </c>
      <c r="E65" s="2" t="s">
        <v>21</v>
      </c>
      <c r="F65" s="2" t="s">
        <v>15</v>
      </c>
      <c r="G65" s="2" t="s">
        <v>260</v>
      </c>
      <c r="H65" s="2" t="s">
        <v>42</v>
      </c>
      <c r="I65" s="2" t="str">
        <f>IFERROR(__xludf.DUMMYFUNCTION("GOOGLETRANSLATE(C65,""fr"",""en"")"),"The quote is easy on the site. The subscription is just as easy. The sending of supporting documents is also very easy as well as the signature of the online contract.
The price is the cheapest on the market. I now pay twice cheaper!")</f>
        <v>The quote is easy on the site. The subscription is just as easy. The sending of supporting documents is also very easy as well as the signature of the online contract.
The price is the cheapest on the market. I now pay twice cheaper!</v>
      </c>
    </row>
    <row r="66" ht="15.75" customHeight="1">
      <c r="A66" s="2">
        <v>2.0</v>
      </c>
      <c r="B66" s="2" t="s">
        <v>261</v>
      </c>
      <c r="C66" s="2" t="s">
        <v>262</v>
      </c>
      <c r="D66" s="2" t="s">
        <v>263</v>
      </c>
      <c r="E66" s="2" t="s">
        <v>104</v>
      </c>
      <c r="F66" s="2" t="s">
        <v>15</v>
      </c>
      <c r="G66" s="2" t="s">
        <v>264</v>
      </c>
      <c r="H66" s="2" t="s">
        <v>265</v>
      </c>
      <c r="I66" s="2" t="str">
        <f>IFERROR(__xludf.DUMMYFUNCTION("GOOGLETRANSLATE(C66,""fr"",""en"")"),"Impossible to obtain a schedule following a loan renegotiation, even with a request sent by registered mail. It has been going on for months. When we call the interlocutors are charming but totally ineffective I am very unhappy!.")</f>
        <v>Impossible to obtain a schedule following a loan renegotiation, even with a request sent by registered mail. It has been going on for months. When we call the interlocutors are charming but totally ineffective I am very unhappy!.</v>
      </c>
    </row>
    <row r="67" ht="15.75" customHeight="1">
      <c r="A67" s="2">
        <v>1.0</v>
      </c>
      <c r="B67" s="2" t="s">
        <v>266</v>
      </c>
      <c r="C67" s="2" t="s">
        <v>267</v>
      </c>
      <c r="D67" s="2" t="s">
        <v>212</v>
      </c>
      <c r="E67" s="2" t="s">
        <v>58</v>
      </c>
      <c r="F67" s="2" t="s">
        <v>15</v>
      </c>
      <c r="G67" s="2" t="s">
        <v>268</v>
      </c>
      <c r="H67" s="2" t="s">
        <v>269</v>
      </c>
      <c r="I67" s="2" t="str">
        <f>IFERROR(__xludf.DUMMYFUNCTION("GOOGLETRANSLATE(C67,""fr"",""en"")"),"It is unacceptable, I was stolen my bike at my home, in a common room, despite all my bike was padlocked, Allianz does not want to reimburse me, when he told me twice that I was going to be Refunded, ultimately no it will not be possible, he makes his vio"&amp;"lins grant! Incredible, I do not recommend at all, I will terminate my contract as soon as possible!")</f>
        <v>It is unacceptable, I was stolen my bike at my home, in a common room, despite all my bike was padlocked, Allianz does not want to reimburse me, when he told me twice that I was going to be Refunded, ultimately no it will not be possible, he makes his violins grant! Incredible, I do not recommend at all, I will terminate my contract as soon as possible!</v>
      </c>
    </row>
    <row r="68" ht="15.75" customHeight="1">
      <c r="A68" s="2">
        <v>4.0</v>
      </c>
      <c r="B68" s="2" t="s">
        <v>270</v>
      </c>
      <c r="C68" s="2" t="s">
        <v>271</v>
      </c>
      <c r="D68" s="2" t="s">
        <v>150</v>
      </c>
      <c r="E68" s="2" t="s">
        <v>122</v>
      </c>
      <c r="F68" s="2" t="s">
        <v>15</v>
      </c>
      <c r="G68" s="2" t="s">
        <v>272</v>
      </c>
      <c r="H68" s="2" t="s">
        <v>134</v>
      </c>
      <c r="I68" s="2" t="str">
        <f>IFERROR(__xludf.DUMMYFUNCTION("GOOGLETRANSLATE(C68,""fr"",""en"")"),"satisfied competitive insurance no problem with this insurance. insurance for a customer, correct price having several motorcycles a transfer may be done afterwards")</f>
        <v>satisfied competitive insurance no problem with this insurance. insurance for a customer, correct price having several motorcycles a transfer may be done afterwards</v>
      </c>
    </row>
    <row r="69" ht="15.75" customHeight="1">
      <c r="A69" s="2">
        <v>3.0</v>
      </c>
      <c r="B69" s="2" t="s">
        <v>273</v>
      </c>
      <c r="C69" s="2" t="s">
        <v>274</v>
      </c>
      <c r="D69" s="2" t="s">
        <v>41</v>
      </c>
      <c r="E69" s="2" t="s">
        <v>21</v>
      </c>
      <c r="F69" s="2" t="s">
        <v>15</v>
      </c>
      <c r="G69" s="2" t="s">
        <v>118</v>
      </c>
      <c r="H69" s="2" t="s">
        <v>118</v>
      </c>
      <c r="I69" s="2" t="str">
        <f>IFERROR(__xludf.DUMMYFUNCTION("GOOGLETRANSLATE(C69,""fr"",""en"")"),"Satisfied with what it offers me once buy my vehicle I will turn to you in order to subscribe
Thank you for your quality price
Good evening to the Direct Assurance team")</f>
        <v>Satisfied with what it offers me once buy my vehicle I will turn to you in order to subscribe
Thank you for your quality price
Good evening to the Direct Assurance team</v>
      </c>
    </row>
    <row r="70" ht="15.75" customHeight="1">
      <c r="A70" s="2">
        <v>1.0</v>
      </c>
      <c r="B70" s="2" t="s">
        <v>275</v>
      </c>
      <c r="C70" s="2" t="s">
        <v>276</v>
      </c>
      <c r="D70" s="2" t="s">
        <v>41</v>
      </c>
      <c r="E70" s="2" t="s">
        <v>21</v>
      </c>
      <c r="F70" s="2" t="s">
        <v>15</v>
      </c>
      <c r="G70" s="2" t="s">
        <v>260</v>
      </c>
      <c r="H70" s="2" t="s">
        <v>42</v>
      </c>
      <c r="I70" s="2" t="str">
        <f>IFERROR(__xludf.DUMMYFUNCTION("GOOGLETRANSLATE(C70,""fr"",""en"")"),"2 weeks of experience to realize the low cost approach and their questionable business practices. If you want a Low Cost Telephonic Platform Service as part of a customer relationship, maybe it's for you. Certainly not for me. I return to my original insu"&amp;"rance.")</f>
        <v>2 weeks of experience to realize the low cost approach and their questionable business practices. If you want a Low Cost Telephonic Platform Service as part of a customer relationship, maybe it's for you. Certainly not for me. I return to my original insurance.</v>
      </c>
    </row>
    <row r="71" ht="15.75" customHeight="1">
      <c r="A71" s="2">
        <v>4.0</v>
      </c>
      <c r="B71" s="2" t="s">
        <v>277</v>
      </c>
      <c r="C71" s="2" t="s">
        <v>278</v>
      </c>
      <c r="D71" s="2" t="s">
        <v>20</v>
      </c>
      <c r="E71" s="2" t="s">
        <v>21</v>
      </c>
      <c r="F71" s="2" t="s">
        <v>15</v>
      </c>
      <c r="G71" s="2" t="s">
        <v>220</v>
      </c>
      <c r="H71" s="2" t="s">
        <v>47</v>
      </c>
      <c r="I71" s="2" t="str">
        <f>IFERROR(__xludf.DUMMYFUNCTION("GOOGLETRANSLATE(C71,""fr"",""en"")"),"Very well, satisfied with prices and good service as soon as there is a problem! Very kind and friendly person on the phone, and very responsive staff! Unbeatable price")</f>
        <v>Very well, satisfied with prices and good service as soon as there is a problem! Very kind and friendly person on the phone, and very responsive staff! Unbeatable price</v>
      </c>
    </row>
    <row r="72" ht="15.75" customHeight="1">
      <c r="A72" s="2">
        <v>1.0</v>
      </c>
      <c r="B72" s="2" t="s">
        <v>279</v>
      </c>
      <c r="C72" s="2" t="s">
        <v>280</v>
      </c>
      <c r="D72" s="2" t="s">
        <v>41</v>
      </c>
      <c r="E72" s="2" t="s">
        <v>58</v>
      </c>
      <c r="F72" s="2" t="s">
        <v>15</v>
      </c>
      <c r="G72" s="2" t="s">
        <v>281</v>
      </c>
      <c r="H72" s="2" t="s">
        <v>282</v>
      </c>
      <c r="I72" s="2" t="str">
        <f>IFERROR(__xludf.DUMMYFUNCTION("GOOGLETRANSLATE(C72,""fr"",""en"")"),"TO AVOID !! Company to flee. Only want your money.")</f>
        <v>TO AVOID !! Company to flee. Only want your money.</v>
      </c>
    </row>
    <row r="73" ht="15.75" customHeight="1">
      <c r="A73" s="2">
        <v>4.0</v>
      </c>
      <c r="B73" s="2" t="s">
        <v>283</v>
      </c>
      <c r="C73" s="2" t="s">
        <v>284</v>
      </c>
      <c r="D73" s="2" t="s">
        <v>41</v>
      </c>
      <c r="E73" s="2" t="s">
        <v>21</v>
      </c>
      <c r="F73" s="2" t="s">
        <v>15</v>
      </c>
      <c r="G73" s="2" t="s">
        <v>285</v>
      </c>
      <c r="H73" s="2" t="s">
        <v>23</v>
      </c>
      <c r="I73" s="2" t="str">
        <f>IFERROR(__xludf.DUMMYFUNCTION("GOOGLETRANSLATE(C73,""fr"",""en"")"),"I am satisfied with the price and service offered by Direct Insurance I do not regret my choice for this company I highly recommend it and hope")</f>
        <v>I am satisfied with the price and service offered by Direct Insurance I do not regret my choice for this company I highly recommend it and hope</v>
      </c>
    </row>
    <row r="74" ht="15.75" customHeight="1">
      <c r="A74" s="2">
        <v>5.0</v>
      </c>
      <c r="B74" s="2" t="s">
        <v>286</v>
      </c>
      <c r="C74" s="2" t="s">
        <v>287</v>
      </c>
      <c r="D74" s="2" t="s">
        <v>41</v>
      </c>
      <c r="E74" s="2" t="s">
        <v>21</v>
      </c>
      <c r="F74" s="2" t="s">
        <v>15</v>
      </c>
      <c r="G74" s="2" t="s">
        <v>288</v>
      </c>
      <c r="H74" s="2" t="s">
        <v>42</v>
      </c>
      <c r="I74" s="2" t="str">
        <f>IFERROR(__xludf.DUMMYFUNCTION("GOOGLETRANSLATE(C74,""fr"",""en"")"),"perfect
Top service, easy to follow website
No worries, acceptable price
Pleasant phone advise always listening
I recommend")</f>
        <v>perfect
Top service, easy to follow website
No worries, acceptable price
Pleasant phone advise always listening
I recommend</v>
      </c>
    </row>
    <row r="75" ht="15.75" customHeight="1">
      <c r="A75" s="2">
        <v>1.0</v>
      </c>
      <c r="B75" s="2" t="s">
        <v>289</v>
      </c>
      <c r="C75" s="2" t="s">
        <v>290</v>
      </c>
      <c r="D75" s="2" t="s">
        <v>41</v>
      </c>
      <c r="E75" s="2" t="s">
        <v>21</v>
      </c>
      <c r="F75" s="2" t="s">
        <v>15</v>
      </c>
      <c r="G75" s="2" t="s">
        <v>291</v>
      </c>
      <c r="H75" s="2" t="s">
        <v>292</v>
      </c>
      <c r="I75" s="2" t="str">
        <f>IFERROR(__xludf.DUMMYFUNCTION("GOOGLETRANSLATE(C75,""fr"",""en"")"),"A rear plastic telescope on a convertible, with such a expensive franchise that I prefer to pay the whole myself. And then a few years later a windshield. With a very high deductible, the managing man was shocked. When you have a problem customer service "&amp;"and it is quite difficult to understand their ""dialect"". Fortunately they are supposed to be French ... More than two months that my car was burnt down, customer service can not tell me anything, only the manager, manager who does not respond (twice in "&amp;"two months). She asked me to wait but I don't know why, two months it's long without news and without a car ... He just tries to save time and the expert refuses to give me his report. He allows himself to talk to me badly, because I can't tell them what "&amp;"exact mileage I had on the car. As if every morning I am having fun doing a check-up.")</f>
        <v>A rear plastic telescope on a convertible, with such a expensive franchise that I prefer to pay the whole myself. And then a few years later a windshield. With a very high deductible, the managing man was shocked. When you have a problem customer service and it is quite difficult to understand their "dialect". Fortunately they are supposed to be French ... More than two months that my car was burnt down, customer service can not tell me anything, only the manager, manager who does not respond (twice in two months). She asked me to wait but I don't know why, two months it's long without news and without a car ... He just tries to save time and the expert refuses to give me his report. He allows himself to talk to me badly, because I can't tell them what exact mileage I had on the car. As if every morning I am having fun doing a check-up.</v>
      </c>
    </row>
    <row r="76" ht="15.75" customHeight="1">
      <c r="A76" s="2">
        <v>4.0</v>
      </c>
      <c r="B76" s="2" t="s">
        <v>293</v>
      </c>
      <c r="C76" s="2" t="s">
        <v>294</v>
      </c>
      <c r="D76" s="2" t="s">
        <v>116</v>
      </c>
      <c r="E76" s="2" t="s">
        <v>21</v>
      </c>
      <c r="F76" s="2" t="s">
        <v>15</v>
      </c>
      <c r="G76" s="2" t="s">
        <v>295</v>
      </c>
      <c r="H76" s="2" t="s">
        <v>93</v>
      </c>
      <c r="I76" s="2" t="str">
        <f>IFERROR(__xludf.DUMMYFUNCTION("GOOGLETRANSLATE(C76,""fr"",""en"")"),"Again it is the right driver who pays for others. I do not see my price decreased for 16 years already ... It's a shame because it is still good insurance but customers like me it does not interest them because I have been unemployed and I find that it Re"&amp;"turn dear (we find for the guarantees 120 euro less.)")</f>
        <v>Again it is the right driver who pays for others. I do not see my price decreased for 16 years already ... It's a shame because it is still good insurance but customers like me it does not interest them because I have been unemployed and I find that it Return dear (we find for the guarantees 120 euro less.)</v>
      </c>
    </row>
    <row r="77" ht="15.75" customHeight="1">
      <c r="A77" s="2">
        <v>3.0</v>
      </c>
      <c r="B77" s="2" t="s">
        <v>296</v>
      </c>
      <c r="C77" s="2" t="s">
        <v>297</v>
      </c>
      <c r="D77" s="2" t="s">
        <v>298</v>
      </c>
      <c r="E77" s="2" t="s">
        <v>195</v>
      </c>
      <c r="F77" s="2" t="s">
        <v>15</v>
      </c>
      <c r="G77" s="2" t="s">
        <v>299</v>
      </c>
      <c r="H77" s="2" t="s">
        <v>292</v>
      </c>
      <c r="I77" s="2" t="str">
        <f>IFERROR(__xludf.DUMMYFUNCTION("GOOGLETRANSLATE(C77,""fr"",""en"")"),"Attention swisslif are not all ...
Attention Swisslif are not all serious.
Hello Mr or md I am deadlocked by the father who writes my son to you being in the incapacitated to take care of these documents is of him even I held him in my house.
My son "&amp;"reversed by a car on 02/12/2016 He was traveling in a motorcycle, hospitalized 1 month at the Timone Hospital Marseille, then 1 month Psyiatric Center Valvert in Marseille, physical levels it's much better
But psykologically he received a serious post -c"&amp;"rossed shock he is depressive has become very violent, he is followed by a psykiatre. Is he very sick.
My son had a company in the construction industry is subscribed with the insurer Swisslif Provident insurance loss of income is explore € 360 per month"&amp;" after 6 months work stoppage in totality by Swisslif € 6000 months.
Expertise with their expert has been placed is the psykiatre recognized our patholigie agrees to continue the work stopping.
Swisslif stops paying by saying that this not proven that t"&amp;"he motorcycle accident is the cause of pathology is that the opposite must be proven with medical certificate.
My son never had a health problem he is only 24 years old, what to do to defend myself thank you for answering me.
Conserze you an association"&amp;" or a lawyer who can defend me
My most distinguished greetings Help I ask you rescued.
Attention Swisslif are not all serious.")</f>
        <v>Attention swisslif are not all ...
Attention Swisslif are not all serious.
Hello Mr or md I am deadlocked by the father who writes my son to you being in the incapacitated to take care of these documents is of him even I held him in my house.
My son reversed by a car on 02/12/2016 He was traveling in a motorcycle, hospitalized 1 month at the Timone Hospital Marseille, then 1 month Psyiatric Center Valvert in Marseille, physical levels it's much better
But psykologically he received a serious post -crossed shock he is depressive has become very violent, he is followed by a psykiatre. Is he very sick.
My son had a company in the construction industry is subscribed with the insurer Swisslif Provident insurance loss of income is explore € 360 per month after 6 months work stoppage in totality by Swisslif € 6000 months.
Expertise with their expert has been placed is the psykiatre recognized our patholigie agrees to continue the work stopping.
Swisslif stops paying by saying that this not proven that the motorcycle accident is the cause of pathology is that the opposite must be proven with medical certificate.
My son never had a health problem he is only 24 years old, what to do to defend myself thank you for answering me.
Conserze you an association or a lawyer who can defend me
My most distinguished greetings Help I ask you rescued.
Attention Swisslif are not all serious.</v>
      </c>
    </row>
    <row r="78" ht="15.75" customHeight="1">
      <c r="A78" s="2">
        <v>5.0</v>
      </c>
      <c r="B78" s="2" t="s">
        <v>300</v>
      </c>
      <c r="C78" s="2" t="s">
        <v>301</v>
      </c>
      <c r="D78" s="2" t="s">
        <v>20</v>
      </c>
      <c r="E78" s="2" t="s">
        <v>21</v>
      </c>
      <c r="F78" s="2" t="s">
        <v>15</v>
      </c>
      <c r="G78" s="2" t="s">
        <v>302</v>
      </c>
      <c r="H78" s="2" t="s">
        <v>23</v>
      </c>
      <c r="I78" s="2" t="str">
        <f>IFERROR(__xludf.DUMMYFUNCTION("GOOGLETRANSLATE(C78,""fr"",""en"")"),"I am completely satisfied by your excellence at all levels! The staff are perfectly organized ... Thank you very much ... Regards Stéphane Voluntario.")</f>
        <v>I am completely satisfied by your excellence at all levels! The staff are perfectly organized ... Thank you very much ... Regards Stéphane Voluntario.</v>
      </c>
    </row>
    <row r="79" ht="15.75" customHeight="1">
      <c r="A79" s="2">
        <v>5.0</v>
      </c>
      <c r="B79" s="2" t="s">
        <v>303</v>
      </c>
      <c r="C79" s="2" t="s">
        <v>304</v>
      </c>
      <c r="D79" s="2" t="s">
        <v>150</v>
      </c>
      <c r="E79" s="2" t="s">
        <v>122</v>
      </c>
      <c r="F79" s="2" t="s">
        <v>15</v>
      </c>
      <c r="G79" s="2" t="s">
        <v>305</v>
      </c>
      <c r="H79" s="2" t="s">
        <v>134</v>
      </c>
      <c r="I79" s="2" t="str">
        <f>IFERROR(__xludf.DUMMYFUNCTION("GOOGLETRANSLATE(C79,""fr"",""en"")"),"Perfect !! This is the second time that I have assured myself at April, and I absolutely do not regret. The prices are more than competitive.
                 ")</f>
        <v>Perfect !! This is the second time that I have assured myself at April, and I absolutely do not regret. The prices are more than competitive.
                 </v>
      </c>
    </row>
    <row r="80" ht="15.75" customHeight="1">
      <c r="A80" s="2">
        <v>4.0</v>
      </c>
      <c r="B80" s="2" t="s">
        <v>306</v>
      </c>
      <c r="C80" s="2" t="s">
        <v>307</v>
      </c>
      <c r="D80" s="2" t="s">
        <v>20</v>
      </c>
      <c r="E80" s="2" t="s">
        <v>21</v>
      </c>
      <c r="F80" s="2" t="s">
        <v>15</v>
      </c>
      <c r="G80" s="2" t="s">
        <v>308</v>
      </c>
      <c r="H80" s="2" t="s">
        <v>309</v>
      </c>
      <c r="I80" s="2" t="str">
        <f>IFERROR(__xludf.DUMMYFUNCTION("GOOGLETRANSLATE(C80,""fr"",""en"")"),"Insured for 3 years at home, I had 2 non -responsible clashes and whose repair was worth the car.
They made the need for the expert because I was holding my vehicle.
Customer service responds quickly and clearly, there is no voice that would come outsid"&amp;"e France for the moment. It's appreciated.
In terms of price, I had despite my bonus an increase that I was able to readjust after simple call because according to them it is calculated automatically following various criteria.
I am satisfied with this "&amp;"insurer with my two vehicles registered with them and I recommend it for a personal experience.
I hope to have a good surprise by receiving my renewal in August.")</f>
        <v>Insured for 3 years at home, I had 2 non -responsible clashes and whose repair was worth the car.
They made the need for the expert because I was holding my vehicle.
Customer service responds quickly and clearly, there is no voice that would come outside France for the moment. It's appreciated.
In terms of price, I had despite my bonus an increase that I was able to readjust after simple call because according to them it is calculated automatically following various criteria.
I am satisfied with this insurer with my two vehicles registered with them and I recommend it for a personal experience.
I hope to have a good surprise by receiving my renewal in August.</v>
      </c>
    </row>
    <row r="81" ht="15.75" customHeight="1">
      <c r="A81" s="2">
        <v>1.0</v>
      </c>
      <c r="B81" s="2" t="s">
        <v>310</v>
      </c>
      <c r="C81" s="2" t="s">
        <v>311</v>
      </c>
      <c r="D81" s="2" t="s">
        <v>26</v>
      </c>
      <c r="E81" s="2" t="s">
        <v>14</v>
      </c>
      <c r="F81" s="2" t="s">
        <v>15</v>
      </c>
      <c r="G81" s="2" t="s">
        <v>312</v>
      </c>
      <c r="H81" s="2" t="s">
        <v>134</v>
      </c>
      <c r="I81" s="2" t="str">
        <f>IFERROR(__xludf.DUMMYFUNCTION("GOOGLETRANSLATE(C81,""fr"",""en"")"),"This mutual insurance company made me contract a provident contract for death in addition to my basic contract without explaining it to me.
I started termination procedures because I went to a new mandatory business mutual insurance company. The basic "&amp;"contract has been terminated but not the provident contract (which they never sent me elsewhere).
I had to contact their provident service several times. I managed to have them on the phone in mid-June, they told me that I had until July 1 to terminate"&amp;" my pension contract by sending them a letter by acknowledgment of receipt. I did all the steps they indicated to me on the phone. Three weeks later, I receive a refusal of termination by indicating that the deadline for termination was June 1 and not on "&amp;"July 1. Now they tell me that I could only terminate from April 2022, and of course the money is always debited.
I deplore the lack of advice, seriousness and professionalism on their part. Mutual to avoid.")</f>
        <v>This mutual insurance company made me contract a provident contract for death in addition to my basic contract without explaining it to me.
I started termination procedures because I went to a new mandatory business mutual insurance company. The basic contract has been terminated but not the provident contract (which they never sent me elsewhere).
I had to contact their provident service several times. I managed to have them on the phone in mid-June, they told me that I had until July 1 to terminate my pension contract by sending them a letter by acknowledgment of receipt. I did all the steps they indicated to me on the phone. Three weeks later, I receive a refusal of termination by indicating that the deadline for termination was June 1 and not on July 1. Now they tell me that I could only terminate from April 2022, and of course the money is always debited.
I deplore the lack of advice, seriousness and professionalism on their part. Mutual to avoid.</v>
      </c>
    </row>
    <row r="82" ht="15.75" customHeight="1">
      <c r="A82" s="2">
        <v>3.0</v>
      </c>
      <c r="B82" s="2" t="s">
        <v>313</v>
      </c>
      <c r="C82" s="2" t="s">
        <v>314</v>
      </c>
      <c r="D82" s="2" t="s">
        <v>315</v>
      </c>
      <c r="E82" s="2" t="s">
        <v>14</v>
      </c>
      <c r="F82" s="2" t="s">
        <v>15</v>
      </c>
      <c r="G82" s="2" t="s">
        <v>316</v>
      </c>
      <c r="H82" s="2" t="s">
        <v>55</v>
      </c>
      <c r="I82" s="2" t="str">
        <f>IFERROR(__xludf.DUMMYFUNCTION("GOOGLETRANSLATE(C82,""fr"",""en"")"),"My opinion concerns Mgen Solutions The Mutual Mandatory Company of Mgen employees. Lavable, since 01/01/2021 MGEN SOLUTIONS has become my mutual. So since that date a subscription has always been deducted from my salary to pay the reorganization, the over"&amp;"haul of this incompetent mutual. And yes since 01/01/2021, I am waiting for them to deign to record my RIB for the reimbursement of services. Therefore, no rib no mutual, more access to care. I am desperate, I no longer count the calls and claim them on t"&amp;"he adherent space: answer ""I transfer your file""; thank you mumutual.fr that I cannot leave")</f>
        <v>My opinion concerns Mgen Solutions The Mutual Mandatory Company of Mgen employees. Lavable, since 01/01/2021 MGEN SOLUTIONS has become my mutual. So since that date a subscription has always been deducted from my salary to pay the reorganization, the overhaul of this incompetent mutual. And yes since 01/01/2021, I am waiting for them to deign to record my RIB for the reimbursement of services. Therefore, no rib no mutual, more access to care. I am desperate, I no longer count the calls and claim them on the adherent space: answer "I transfer your file"; thank you mumutual.fr that I cannot leave</v>
      </c>
    </row>
    <row r="83" ht="15.75" customHeight="1">
      <c r="A83" s="2">
        <v>4.0</v>
      </c>
      <c r="B83" s="2" t="s">
        <v>317</v>
      </c>
      <c r="C83" s="2" t="s">
        <v>318</v>
      </c>
      <c r="D83" s="2" t="s">
        <v>212</v>
      </c>
      <c r="E83" s="2" t="s">
        <v>58</v>
      </c>
      <c r="F83" s="2" t="s">
        <v>15</v>
      </c>
      <c r="G83" s="2" t="s">
        <v>319</v>
      </c>
      <c r="H83" s="2" t="s">
        <v>320</v>
      </c>
      <c r="I83" s="2" t="str">
        <f>IFERROR(__xludf.DUMMYFUNCTION("GOOGLETRANSLATE(C83,""fr"",""en"")"),"I was the victim of a flood of my garage in August 2019, the care was fast (intervention of a cleaning company while I was on vacation, so everything was clean when I return), the level very satisfactory reimbursement since I was reimbursed at 70% of the "&amp;"value of damaged objects immediately and the remaining 30% as soon as I sent the invoices justifying that I had replaced the objects. I recommend.")</f>
        <v>I was the victim of a flood of my garage in August 2019, the care was fast (intervention of a cleaning company while I was on vacation, so everything was clean when I return), the level very satisfactory reimbursement since I was reimbursed at 70% of the value of damaged objects immediately and the remaining 30% as soon as I sent the invoices justifying that I had replaced the objects. I recommend.</v>
      </c>
    </row>
    <row r="84" ht="15.75" customHeight="1">
      <c r="A84" s="2">
        <v>2.0</v>
      </c>
      <c r="B84" s="2" t="s">
        <v>321</v>
      </c>
      <c r="C84" s="2" t="s">
        <v>322</v>
      </c>
      <c r="D84" s="2" t="s">
        <v>20</v>
      </c>
      <c r="E84" s="2" t="s">
        <v>21</v>
      </c>
      <c r="F84" s="2" t="s">
        <v>15</v>
      </c>
      <c r="G84" s="2" t="s">
        <v>323</v>
      </c>
      <c r="H84" s="2" t="s">
        <v>100</v>
      </c>
      <c r="I84" s="2" t="str">
        <f>IFERROR(__xludf.DUMMYFUNCTION("GOOGLETRANSLATE(C84,""fr"",""en"")"),"Hello.
Very unhappy with this insurance.
I was parked in a parking space and not in the car.
A car enters my car and the driver and her husband go out very aggressively. Then the woman hits her husband. The gendarmerie intervenes and the positive drive"&amp;"r with alcohol therefore taken directly to the gendarmerie and therefore cannot fill his part of the observation. I just put the license plate as indicated by the gendarmes.
Now the Olivier Assurance tells me that they cannot decide on the responsibility"&amp;", however vigil of the present store and OK to witness.
The insurer tells me that the fact that the person is positive for alcohol does not change the responsibilities for them.
In addition, I am assured of any risk and receive an email telling me the o"&amp;"pposite.
I phone them and their version changes I am very likely.
I take this obviously for an attempt so that I pay everything.
Mail extract from 10/16/2020:
In the absence of these elements, we cannot set up expertise for your repairs, because"&amp;" you do not have the ""damage to all accidents"" guarantee
Mail extract of 21/10/2020, after complaint:
We will therefore intervene under your guarantee ""damage to all accidents"" subject to the conclusions of the expertise of your vehicle to support"&amp;" the amount of repairs of your vehicle
This speaks volumes about the professionalism or other of the Olivier Insurance.
Another extract from the email of 21:
Also, we confirm that the alcoholic state of the third party does not put back
not in"&amp;" question the management of your file ...
Uh and its responsibility ....
In short, I strongly recommend the Olivier Insurance to ensure its vehicle.
PS: In addition the person on the phone not kind to my last phone call.
Then they tell me havi"&amp;"ng contacted the vigil by email but this one denies me to have been contacted, I therefore recall the insurance which tells me to have been deceived in the email address and send another. Again professionalism or other leaves something to be desired.
"&amp;"
M.B. Claim 2020766397")</f>
        <v>Hello.
Very unhappy with this insurance.
I was parked in a parking space and not in the car.
A car enters my car and the driver and her husband go out very aggressively. Then the woman hits her husband. The gendarmerie intervenes and the positive driver with alcohol therefore taken directly to the gendarmerie and therefore cannot fill his part of the observation. I just put the license plate as indicated by the gendarmes.
Now the Olivier Assurance tells me that they cannot decide on the responsibility, however vigil of the present store and OK to witness.
The insurer tells me that the fact that the person is positive for alcohol does not change the responsibilities for them.
In addition, I am assured of any risk and receive an email telling me the opposite.
I phone them and their version changes I am very likely.
I take this obviously for an attempt so that I pay everything.
Mail extract from 10/16/2020:
In the absence of these elements, we cannot set up expertise for your repairs, because you do not have the "damage to all accidents" guarantee
Mail extract of 21/10/2020, after complaint:
We will therefore intervene under your guarantee "damage to all accidents" subject to the conclusions of the expertise of your vehicle to support the amount of repairs of your vehicle
This speaks volumes about the professionalism or other of the Olivier Insurance.
Another extract from the email of 21:
Also, we confirm that the alcoholic state of the third party does not put back
not in question the management of your file ...
Uh and its responsibility ....
In short, I strongly recommend the Olivier Insurance to ensure its vehicle.
PS: In addition the person on the phone not kind to my last phone call.
Then they tell me having contacted the vigil by email but this one denies me to have been contacted, I therefore recall the insurance which tells me to have been deceived in the email address and send another. Again professionalism or other leaves something to be desired.
M.B. Claim 2020766397</v>
      </c>
    </row>
    <row r="85" ht="15.75" customHeight="1">
      <c r="A85" s="2">
        <v>2.0</v>
      </c>
      <c r="B85" s="2" t="s">
        <v>324</v>
      </c>
      <c r="C85" s="2" t="s">
        <v>325</v>
      </c>
      <c r="D85" s="2" t="s">
        <v>72</v>
      </c>
      <c r="E85" s="2" t="s">
        <v>58</v>
      </c>
      <c r="F85" s="2" t="s">
        <v>15</v>
      </c>
      <c r="G85" s="2" t="s">
        <v>326</v>
      </c>
      <c r="H85" s="2" t="s">
        <v>309</v>
      </c>
      <c r="I85" s="2" t="str">
        <f>IFERROR(__xludf.DUMMYFUNCTION("GOOGLETRANSLATE(C85,""fr"",""en"")"),"Sinister service to absent subscribers")</f>
        <v>Sinister service to absent subscribers</v>
      </c>
    </row>
    <row r="86" ht="15.75" customHeight="1">
      <c r="A86" s="2">
        <v>1.0</v>
      </c>
      <c r="B86" s="2" t="s">
        <v>327</v>
      </c>
      <c r="C86" s="2" t="s">
        <v>328</v>
      </c>
      <c r="D86" s="2" t="s">
        <v>26</v>
      </c>
      <c r="E86" s="2" t="s">
        <v>14</v>
      </c>
      <c r="F86" s="2" t="s">
        <v>15</v>
      </c>
      <c r="G86" s="2" t="s">
        <v>329</v>
      </c>
      <c r="H86" s="2" t="s">
        <v>17</v>
      </c>
      <c r="I86" s="2" t="str">
        <f>IFERROR(__xludf.DUMMYFUNCTION("GOOGLETRANSLATE(C86,""fr"",""en"")"),"Run away! They forgot to attach my daughter, forgot to send my card. They ask me for 1 check every 3 months when I asked for a monthly direct debit. I sent 2 direct debit authorizations they ask me 1 third. I have never had so many problems with 1 mutual."&amp;" I didn't even know it was possible to be so bored by 1 mutual! The worst of all.")</f>
        <v>Run away! They forgot to attach my daughter, forgot to send my card. They ask me for 1 check every 3 months when I asked for a monthly direct debit. I sent 2 direct debit authorizations they ask me 1 third. I have never had so many problems with 1 mutual. I didn't even know it was possible to be so bored by 1 mutual! The worst of all.</v>
      </c>
    </row>
    <row r="87" ht="15.75" customHeight="1">
      <c r="A87" s="2">
        <v>1.0</v>
      </c>
      <c r="B87" s="2" t="s">
        <v>330</v>
      </c>
      <c r="C87" s="2" t="s">
        <v>331</v>
      </c>
      <c r="D87" s="2" t="s">
        <v>72</v>
      </c>
      <c r="E87" s="2" t="s">
        <v>21</v>
      </c>
      <c r="F87" s="2" t="s">
        <v>15</v>
      </c>
      <c r="G87" s="2" t="s">
        <v>332</v>
      </c>
      <c r="H87" s="2" t="s">
        <v>28</v>
      </c>
      <c r="I87" s="2" t="str">
        <f>IFERROR(__xludf.DUMMYFUNCTION("GOOGLETRANSLATE(C87,""fr"",""en"")"),"Insurance to avoid urgently very bad care and advice of the customer, as a customer you do not have the same information in agency and via telephone advisor, a shame how to have confidence it lacks professionalism and transparency, go your way And go see "&amp;"the competition, I had 3 vehicles there, I never want to hear about this shop again")</f>
        <v>Insurance to avoid urgently very bad care and advice of the customer, as a customer you do not have the same information in agency and via telephone advisor, a shame how to have confidence it lacks professionalism and transparency, go your way And go see the competition, I had 3 vehicles there, I never want to hear about this shop again</v>
      </c>
    </row>
    <row r="88" ht="15.75" customHeight="1">
      <c r="A88" s="2">
        <v>5.0</v>
      </c>
      <c r="B88" s="2" t="s">
        <v>333</v>
      </c>
      <c r="C88" s="2" t="s">
        <v>334</v>
      </c>
      <c r="D88" s="2" t="s">
        <v>20</v>
      </c>
      <c r="E88" s="2" t="s">
        <v>21</v>
      </c>
      <c r="F88" s="2" t="s">
        <v>15</v>
      </c>
      <c r="G88" s="2" t="s">
        <v>335</v>
      </c>
      <c r="H88" s="2" t="s">
        <v>134</v>
      </c>
      <c r="I88" s="2" t="str">
        <f>IFERROR(__xludf.DUMMYFUNCTION("GOOGLETRANSLATE(C88,""fr"",""en"")"),"I am satisfied with the services.
Contracts are clear and readable,
The prices are very attractive and reasonable,
Customer service is very kind and listening.")</f>
        <v>I am satisfied with the services.
Contracts are clear and readable,
The prices are very attractive and reasonable,
Customer service is very kind and listening.</v>
      </c>
    </row>
    <row r="89" ht="15.75" customHeight="1">
      <c r="A89" s="2">
        <v>2.0</v>
      </c>
      <c r="B89" s="2" t="s">
        <v>336</v>
      </c>
      <c r="C89" s="2" t="s">
        <v>337</v>
      </c>
      <c r="D89" s="2" t="s">
        <v>116</v>
      </c>
      <c r="E89" s="2" t="s">
        <v>21</v>
      </c>
      <c r="F89" s="2" t="s">
        <v>15</v>
      </c>
      <c r="G89" s="2" t="s">
        <v>338</v>
      </c>
      <c r="H89" s="2" t="s">
        <v>88</v>
      </c>
      <c r="I89" s="2" t="str">
        <f>IFERROR(__xludf.DUMMYFUNCTION("GOOGLETRANSLATE(C89,""fr"",""en"")"),"insurance that does not at all ensure")</f>
        <v>insurance that does not at all ensure</v>
      </c>
    </row>
    <row r="90" ht="15.75" customHeight="1">
      <c r="A90" s="2">
        <v>5.0</v>
      </c>
      <c r="B90" s="2" t="s">
        <v>339</v>
      </c>
      <c r="C90" s="2" t="s">
        <v>340</v>
      </c>
      <c r="D90" s="2" t="s">
        <v>150</v>
      </c>
      <c r="E90" s="2" t="s">
        <v>122</v>
      </c>
      <c r="F90" s="2" t="s">
        <v>15</v>
      </c>
      <c r="G90" s="2" t="s">
        <v>341</v>
      </c>
      <c r="H90" s="2" t="s">
        <v>51</v>
      </c>
      <c r="I90" s="2" t="str">
        <f>IFERROR(__xludf.DUMMYFUNCTION("GOOGLETRANSLATE(C90,""fr"",""en"")"),"very satisfied for once insurance does its job
very complicated companies insurance
Thank you to you I go online to simplify
A few years ago I ensured several scooters for my children all ok do it a scooter insurance and put in companies while financia"&amp;"lly more hard to subscribe")</f>
        <v>very satisfied for once insurance does its job
very complicated companies insurance
Thank you to you I go online to simplify
A few years ago I ensured several scooters for my children all ok do it a scooter insurance and put in companies while financially more hard to subscribe</v>
      </c>
    </row>
    <row r="91" ht="15.75" customHeight="1">
      <c r="A91" s="2">
        <v>1.0</v>
      </c>
      <c r="B91" s="2" t="s">
        <v>342</v>
      </c>
      <c r="C91" s="2" t="s">
        <v>343</v>
      </c>
      <c r="D91" s="2" t="s">
        <v>344</v>
      </c>
      <c r="E91" s="2" t="s">
        <v>104</v>
      </c>
      <c r="F91" s="2" t="s">
        <v>15</v>
      </c>
      <c r="G91" s="2" t="s">
        <v>345</v>
      </c>
      <c r="H91" s="2" t="s">
        <v>346</v>
      </c>
      <c r="I91" s="2" t="str">
        <f>IFERROR(__xludf.DUMMYFUNCTION("GOOGLETRANSLATE(C91,""fr"",""en"")"),"Simply incompetent. Metlife continues to take me from monthly payments while our credit has been reimbursed for 10 months. This despite our incessant revival with their services.")</f>
        <v>Simply incompetent. Metlife continues to take me from monthly payments while our credit has been reimbursed for 10 months. This despite our incessant revival with their services.</v>
      </c>
    </row>
    <row r="92" ht="15.75" customHeight="1">
      <c r="A92" s="2">
        <v>2.0</v>
      </c>
      <c r="B92" s="2" t="s">
        <v>347</v>
      </c>
      <c r="C92" s="2" t="s">
        <v>348</v>
      </c>
      <c r="D92" s="2" t="s">
        <v>67</v>
      </c>
      <c r="E92" s="2" t="s">
        <v>21</v>
      </c>
      <c r="F92" s="2" t="s">
        <v>15</v>
      </c>
      <c r="G92" s="2" t="s">
        <v>349</v>
      </c>
      <c r="H92" s="2" t="s">
        <v>166</v>
      </c>
      <c r="I92" s="2" t="str">
        <f>IFERROR(__xludf.DUMMYFUNCTION("GOOGLETRANSLATE(C92,""fr"",""en"")"),"When there is no accident, everything is fine.
Unfortunately, if you had 2 accidents although having a bonus at 0.9 after the 2 accidents, the MAAF invites you to leave them !!!
Precision: these 2 accidents were in town at low speed and without bodily i"&amp;"njury.
According to repairs: only body sheet.")</f>
        <v>When there is no accident, everything is fine.
Unfortunately, if you had 2 accidents although having a bonus at 0.9 after the 2 accidents, the MAAF invites you to leave them !!!
Precision: these 2 accidents were in town at low speed and without bodily injury.
According to repairs: only body sheet.</v>
      </c>
    </row>
    <row r="93" ht="15.75" customHeight="1">
      <c r="A93" s="2">
        <v>2.0</v>
      </c>
      <c r="B93" s="2" t="s">
        <v>350</v>
      </c>
      <c r="C93" s="2" t="s">
        <v>351</v>
      </c>
      <c r="D93" s="2" t="s">
        <v>212</v>
      </c>
      <c r="E93" s="2" t="s">
        <v>58</v>
      </c>
      <c r="F93" s="2" t="s">
        <v>15</v>
      </c>
      <c r="G93" s="2" t="s">
        <v>352</v>
      </c>
      <c r="H93" s="2" t="s">
        <v>282</v>
      </c>
      <c r="I93" s="2" t="str">
        <f>IFERROR(__xludf.DUMMYFUNCTION("GOOGLETRANSLATE(C93,""fr"",""en"")"),"No refund in the event of an electric disaster before you buy the new items, you have to do it with what money ??")</f>
        <v>No refund in the event of an electric disaster before you buy the new items, you have to do it with what money ??</v>
      </c>
    </row>
    <row r="94" ht="15.75" customHeight="1">
      <c r="A94" s="2">
        <v>4.0</v>
      </c>
      <c r="B94" s="2" t="s">
        <v>353</v>
      </c>
      <c r="C94" s="2" t="s">
        <v>354</v>
      </c>
      <c r="D94" s="2" t="s">
        <v>41</v>
      </c>
      <c r="E94" s="2" t="s">
        <v>21</v>
      </c>
      <c r="F94" s="2" t="s">
        <v>15</v>
      </c>
      <c r="G94" s="2" t="s">
        <v>134</v>
      </c>
      <c r="H94" s="2" t="s">
        <v>134</v>
      </c>
      <c r="I94" s="2" t="str">
        <f>IFERROR(__xludf.DUMMYFUNCTION("GOOGLETRANSLATE(C94,""fr"",""en"")"),"For the moment everything is going very well (price service price) the prices are correct, I have had no claim.")</f>
        <v>For the moment everything is going very well (price service price) the prices are correct, I have had no claim.</v>
      </c>
    </row>
    <row r="95" ht="15.75" customHeight="1">
      <c r="A95" s="2">
        <v>1.0</v>
      </c>
      <c r="B95" s="2" t="s">
        <v>355</v>
      </c>
      <c r="C95" s="2" t="s">
        <v>356</v>
      </c>
      <c r="D95" s="2" t="s">
        <v>164</v>
      </c>
      <c r="E95" s="2" t="s">
        <v>21</v>
      </c>
      <c r="F95" s="2" t="s">
        <v>15</v>
      </c>
      <c r="G95" s="2" t="s">
        <v>357</v>
      </c>
      <c r="H95" s="2" t="s">
        <v>47</v>
      </c>
      <c r="I95" s="2" t="str">
        <f>IFERROR(__xludf.DUMMYFUNCTION("GOOGLETRANSLATE(C95,""fr"",""en"")"),"Panne, sending a tow truck, 5 days after vehicle still not delivered in the garage ... then finally delivered in an ""approved"" garage 7 days to have a diagnosis, it does not accept checks, no ease of payment and in full city center ... brand new loan ve"&amp;"hicle allowing no activity in the construction industry because 1000 euros deposit to advance ... In the end more than 15 days after vehicle not repairable at this mechanic not friendly and not commercial, 15 days of Lost salary, and no solution to calmly"&amp;" repatriate my vehicle to a serious mechanic. Zero zero")</f>
        <v>Panne, sending a tow truck, 5 days after vehicle still not delivered in the garage ... then finally delivered in an "approved" garage 7 days to have a diagnosis, it does not accept checks, no ease of payment and in full city center ... brand new loan vehicle allowing no activity in the construction industry because 1000 euros deposit to advance ... In the end more than 15 days after vehicle not repairable at this mechanic not friendly and not commercial, 15 days of Lost salary, and no solution to calmly repatriate my vehicle to a serious mechanic. Zero zero</v>
      </c>
    </row>
    <row r="96" ht="15.75" customHeight="1">
      <c r="A96" s="2">
        <v>3.0</v>
      </c>
      <c r="B96" s="2" t="s">
        <v>358</v>
      </c>
      <c r="C96" s="2" t="s">
        <v>359</v>
      </c>
      <c r="D96" s="2" t="s">
        <v>67</v>
      </c>
      <c r="E96" s="2" t="s">
        <v>21</v>
      </c>
      <c r="F96" s="2" t="s">
        <v>15</v>
      </c>
      <c r="G96" s="2" t="s">
        <v>360</v>
      </c>
      <c r="H96" s="2" t="s">
        <v>110</v>
      </c>
      <c r="I96" s="2" t="str">
        <f>IFERROR(__xludf.DUMMYFUNCTION("GOOGLETRANSLATE(C96,""fr"",""en"")"),"Impeccable and reactive customer service")</f>
        <v>Impeccable and reactive customer service</v>
      </c>
    </row>
    <row r="97" ht="15.75" customHeight="1">
      <c r="A97" s="2">
        <v>3.0</v>
      </c>
      <c r="B97" s="2" t="s">
        <v>361</v>
      </c>
      <c r="C97" s="2" t="s">
        <v>362</v>
      </c>
      <c r="D97" s="2" t="s">
        <v>41</v>
      </c>
      <c r="E97" s="2" t="s">
        <v>21</v>
      </c>
      <c r="F97" s="2" t="s">
        <v>15</v>
      </c>
      <c r="G97" s="2" t="s">
        <v>363</v>
      </c>
      <c r="H97" s="2" t="s">
        <v>51</v>
      </c>
      <c r="I97" s="2" t="str">
        <f>IFERROR(__xludf.DUMMYFUNCTION("GOOGLETRANSLATE(C97,""fr"",""en"")"),"Simple fast the top, its exchange of traditional insurance that makes a maximum pay for not having much better, to see how it goes in the event of a disaster how the case will happen")</f>
        <v>Simple fast the top, its exchange of traditional insurance that makes a maximum pay for not having much better, to see how it goes in the event of a disaster how the case will happen</v>
      </c>
    </row>
    <row r="98" ht="15.75" customHeight="1">
      <c r="A98" s="2">
        <v>5.0</v>
      </c>
      <c r="B98" s="2" t="s">
        <v>364</v>
      </c>
      <c r="C98" s="2" t="s">
        <v>365</v>
      </c>
      <c r="D98" s="2" t="s">
        <v>41</v>
      </c>
      <c r="E98" s="2" t="s">
        <v>21</v>
      </c>
      <c r="F98" s="2" t="s">
        <v>15</v>
      </c>
      <c r="G98" s="2" t="s">
        <v>182</v>
      </c>
      <c r="H98" s="2" t="s">
        <v>51</v>
      </c>
      <c r="I98" s="2" t="str">
        <f>IFERROR(__xludf.DUMMYFUNCTION("GOOGLETRANSLATE(C98,""fr"",""en"")"),"For the moment I am satisfied
We will confirm or invalidate over time
Wait to see the use over time
We will see at the first seeds")</f>
        <v>For the moment I am satisfied
We will confirm or invalidate over time
Wait to see the use over time
We will see at the first seeds</v>
      </c>
    </row>
    <row r="99" ht="15.75" customHeight="1">
      <c r="A99" s="2">
        <v>1.0</v>
      </c>
      <c r="B99" s="2" t="s">
        <v>366</v>
      </c>
      <c r="C99" s="2" t="s">
        <v>367</v>
      </c>
      <c r="D99" s="2" t="s">
        <v>45</v>
      </c>
      <c r="E99" s="2" t="s">
        <v>14</v>
      </c>
      <c r="F99" s="2" t="s">
        <v>15</v>
      </c>
      <c r="G99" s="2" t="s">
        <v>368</v>
      </c>
      <c r="H99" s="2" t="s">
        <v>17</v>
      </c>
      <c r="I99" s="2" t="str">
        <f>IFERROR(__xludf.DUMMYFUNCTION("GOOGLETRANSLATE(C99,""fr"",""en"")"),"In the total absence of the slightest disbursement during 2018, Ociane, the Matmut complementary health branch applies 4.9 % increase on January 1, 2019 on the ""Young level 1"" warranty! What more ?")</f>
        <v>In the total absence of the slightest disbursement during 2018, Ociane, the Matmut complementary health branch applies 4.9 % increase on January 1, 2019 on the "Young level 1" warranty! What more ?</v>
      </c>
    </row>
    <row r="100" ht="15.75" customHeight="1">
      <c r="A100" s="2">
        <v>3.0</v>
      </c>
      <c r="B100" s="2" t="s">
        <v>369</v>
      </c>
      <c r="C100" s="2" t="s">
        <v>370</v>
      </c>
      <c r="D100" s="2" t="s">
        <v>13</v>
      </c>
      <c r="E100" s="2" t="s">
        <v>14</v>
      </c>
      <c r="F100" s="2" t="s">
        <v>15</v>
      </c>
      <c r="G100" s="2" t="s">
        <v>371</v>
      </c>
      <c r="H100" s="2" t="s">
        <v>372</v>
      </c>
      <c r="I100" s="2" t="str">
        <f>IFERROR(__xludf.DUMMYFUNCTION("GOOGLETRANSLATE(C100,""fr"",""en"")"),"A.De termination sent on 12/13/19 Cancellation response Adhesion on 07/01/20 takement11/0120 2 calls Telpour very fast reimbursement still received nothing on 16/01")</f>
        <v>A.De termination sent on 12/13/19 Cancellation response Adhesion on 07/01/20 takement11/0120 2 calls Telpour very fast reimbursement still received nothing on 16/01</v>
      </c>
    </row>
    <row r="101" ht="15.75" customHeight="1">
      <c r="A101" s="2">
        <v>3.0</v>
      </c>
      <c r="B101" s="2" t="s">
        <v>373</v>
      </c>
      <c r="C101" s="2" t="s">
        <v>374</v>
      </c>
      <c r="D101" s="2" t="s">
        <v>41</v>
      </c>
      <c r="E101" s="2" t="s">
        <v>21</v>
      </c>
      <c r="F101" s="2" t="s">
        <v>15</v>
      </c>
      <c r="G101" s="2" t="s">
        <v>375</v>
      </c>
      <c r="H101" s="2" t="s">
        <v>55</v>
      </c>
      <c r="I101" s="2" t="str">
        <f>IFERROR(__xludf.DUMMYFUNCTION("GOOGLETRANSLATE(C101,""fr"",""en"")"),"I find the prices enough to raise for a person insured at home for a long time, I think I am looking elsewhere, moreover I had the right to a commercial gesture of 50 euros, please take it into account")</f>
        <v>I find the prices enough to raise for a person insured at home for a long time, I think I am looking elsewhere, moreover I had the right to a commercial gesture of 50 euros, please take it into account</v>
      </c>
    </row>
    <row r="102" ht="15.75" customHeight="1">
      <c r="A102" s="2">
        <v>4.0</v>
      </c>
      <c r="B102" s="2" t="s">
        <v>376</v>
      </c>
      <c r="C102" s="2" t="s">
        <v>377</v>
      </c>
      <c r="D102" s="2" t="s">
        <v>41</v>
      </c>
      <c r="E102" s="2" t="s">
        <v>21</v>
      </c>
      <c r="F102" s="2" t="s">
        <v>15</v>
      </c>
      <c r="G102" s="2" t="s">
        <v>378</v>
      </c>
      <c r="H102" s="2" t="s">
        <v>51</v>
      </c>
      <c r="I102" s="2" t="str">
        <f>IFERROR(__xludf.DUMMYFUNCTION("GOOGLETRANSLATE(C102,""fr"",""en"")"),"The site is very simple to use. The prices are very attractive. Navigation is intuitive. It only remains to know as late as possible in the event of problems.")</f>
        <v>The site is very simple to use. The prices are very attractive. Navigation is intuitive. It only remains to know as late as possible in the event of problems.</v>
      </c>
    </row>
    <row r="103" ht="15.75" customHeight="1">
      <c r="A103" s="2">
        <v>5.0</v>
      </c>
      <c r="B103" s="2" t="s">
        <v>379</v>
      </c>
      <c r="C103" s="2" t="s">
        <v>380</v>
      </c>
      <c r="D103" s="2" t="s">
        <v>20</v>
      </c>
      <c r="E103" s="2" t="s">
        <v>21</v>
      </c>
      <c r="F103" s="2" t="s">
        <v>15</v>
      </c>
      <c r="G103" s="2" t="s">
        <v>381</v>
      </c>
      <c r="H103" s="2" t="s">
        <v>51</v>
      </c>
      <c r="I103" s="2" t="str">
        <f>IFERROR(__xludf.DUMMYFUNCTION("GOOGLETRANSLATE(C103,""fr"",""en"")"),"Very attractive price. I recommend. Nice quality of service. Special attention. Active listening. Empathy. A sponsorship that makes you want.")</f>
        <v>Very attractive price. I recommend. Nice quality of service. Special attention. Active listening. Empathy. A sponsorship that makes you want.</v>
      </c>
    </row>
    <row r="104" ht="15.75" customHeight="1">
      <c r="A104" s="2">
        <v>4.0</v>
      </c>
      <c r="B104" s="2" t="s">
        <v>382</v>
      </c>
      <c r="C104" s="2" t="s">
        <v>383</v>
      </c>
      <c r="D104" s="2" t="s">
        <v>20</v>
      </c>
      <c r="E104" s="2" t="s">
        <v>21</v>
      </c>
      <c r="F104" s="2" t="s">
        <v>15</v>
      </c>
      <c r="G104" s="2" t="s">
        <v>332</v>
      </c>
      <c r="H104" s="2" t="s">
        <v>28</v>
      </c>
      <c r="I104" s="2" t="str">
        <f>IFERROR(__xludf.DUMMYFUNCTION("GOOGLETRANSLATE(C104,""fr"",""en"")"),"Satisfied with my pricing proposal and guarantees. The various online managers helped me and advised on the various choices to take")</f>
        <v>Satisfied with my pricing proposal and guarantees. The various online managers helped me and advised on the various choices to take</v>
      </c>
    </row>
    <row r="105" ht="15.75" customHeight="1">
      <c r="A105" s="2">
        <v>2.0</v>
      </c>
      <c r="B105" s="2" t="s">
        <v>384</v>
      </c>
      <c r="C105" s="2" t="s">
        <v>385</v>
      </c>
      <c r="D105" s="2" t="s">
        <v>20</v>
      </c>
      <c r="E105" s="2" t="s">
        <v>21</v>
      </c>
      <c r="F105" s="2" t="s">
        <v>15</v>
      </c>
      <c r="G105" s="2" t="s">
        <v>386</v>
      </c>
      <c r="H105" s="2" t="s">
        <v>55</v>
      </c>
      <c r="I105" s="2" t="str">
        <f>IFERROR(__xludf.DUMMYFUNCTION("GOOGLETRANSLATE(C105,""fr"",""en"")"),"Very expensive by that by internet you give me a different price which by phone. I had to do this insurance to be able to circulate with the car")</f>
        <v>Very expensive by that by internet you give me a different price which by phone. I had to do this insurance to be able to circulate with the car</v>
      </c>
    </row>
    <row r="106" ht="15.75" customHeight="1">
      <c r="A106" s="2">
        <v>5.0</v>
      </c>
      <c r="B106" s="2" t="s">
        <v>387</v>
      </c>
      <c r="C106" s="2" t="s">
        <v>388</v>
      </c>
      <c r="D106" s="2" t="s">
        <v>41</v>
      </c>
      <c r="E106" s="2" t="s">
        <v>21</v>
      </c>
      <c r="F106" s="2" t="s">
        <v>15</v>
      </c>
      <c r="G106" s="2" t="s">
        <v>389</v>
      </c>
      <c r="H106" s="2" t="s">
        <v>74</v>
      </c>
      <c r="I106" s="2" t="str">
        <f>IFERROR(__xludf.DUMMYFUNCTION("GOOGLETRANSLATE(C106,""fr"",""en"")"),"I am satisfied with the fast and efficient service fast management Thank you for your speed to carry out the insurance contract in your insurance company")</f>
        <v>I am satisfied with the fast and efficient service fast management Thank you for your speed to carry out the insurance contract in your insurance company</v>
      </c>
    </row>
    <row r="107" ht="15.75" customHeight="1">
      <c r="A107" s="2">
        <v>5.0</v>
      </c>
      <c r="B107" s="2" t="s">
        <v>390</v>
      </c>
      <c r="C107" s="2" t="s">
        <v>391</v>
      </c>
      <c r="D107" s="2" t="s">
        <v>41</v>
      </c>
      <c r="E107" s="2" t="s">
        <v>21</v>
      </c>
      <c r="F107" s="2" t="s">
        <v>15</v>
      </c>
      <c r="G107" s="2" t="s">
        <v>392</v>
      </c>
      <c r="H107" s="2" t="s">
        <v>74</v>
      </c>
      <c r="I107" s="2" t="str">
        <f>IFERROR(__xludf.DUMMYFUNCTION("GOOGLETRANSLATE(C107,""fr"",""en"")"),"Very well. The prices are attractive. Clients for several years it is a very good insurance. I hope it won't change. I recommend direct insurance")</f>
        <v>Very well. The prices are attractive. Clients for several years it is a very good insurance. I hope it won't change. I recommend direct insurance</v>
      </c>
    </row>
    <row r="108" ht="15.75" customHeight="1">
      <c r="A108" s="2">
        <v>1.0</v>
      </c>
      <c r="B108" s="2" t="s">
        <v>393</v>
      </c>
      <c r="C108" s="2" t="s">
        <v>394</v>
      </c>
      <c r="D108" s="2" t="s">
        <v>395</v>
      </c>
      <c r="E108" s="2" t="s">
        <v>122</v>
      </c>
      <c r="F108" s="2" t="s">
        <v>15</v>
      </c>
      <c r="G108" s="2" t="s">
        <v>84</v>
      </c>
      <c r="H108" s="2" t="s">
        <v>23</v>
      </c>
      <c r="I108" s="2" t="str">
        <f>IFERROR(__xludf.DUMMYFUNCTION("GOOGLETRANSLATE(C108,""fr"",""en"")"),"Nullissime, because it is impossible to ensure a quad in temporary. I have a lot of contracts at Axa, and yet impossible to make sure. So in front of this dead end, I will go to see elsewhere, and make a full audit of my insurance contracts
")</f>
        <v>Nullissime, because it is impossible to ensure a quad in temporary. I have a lot of contracts at Axa, and yet impossible to make sure. So in front of this dead end, I will go to see elsewhere, and make a full audit of my insurance contracts
</v>
      </c>
    </row>
    <row r="109" ht="15.75" customHeight="1">
      <c r="A109" s="2">
        <v>1.0</v>
      </c>
      <c r="B109" s="2" t="s">
        <v>396</v>
      </c>
      <c r="C109" s="2" t="s">
        <v>397</v>
      </c>
      <c r="D109" s="2" t="s">
        <v>72</v>
      </c>
      <c r="E109" s="2" t="s">
        <v>58</v>
      </c>
      <c r="F109" s="2" t="s">
        <v>15</v>
      </c>
      <c r="G109" s="2" t="s">
        <v>398</v>
      </c>
      <c r="H109" s="2" t="s">
        <v>166</v>
      </c>
      <c r="I109" s="2" t="str">
        <f>IFERROR(__xludf.DUMMYFUNCTION("GOOGLETRANSLATE(C109,""fr"",""en"")"),"hardly responds to Tel., Hours of waiting at the cumulation. In the event of a claim, we have a number but never the same person and this insurance is the ball with the expert + still not the shadow of compensation after 3 months !!! While we have to do w"&amp;"ork.")</f>
        <v>hardly responds to Tel., Hours of waiting at the cumulation. In the event of a claim, we have a number but never the same person and this insurance is the ball with the expert + still not the shadow of compensation after 3 months !!! While we have to do work.</v>
      </c>
    </row>
    <row r="110" ht="15.75" customHeight="1">
      <c r="A110" s="2">
        <v>1.0</v>
      </c>
      <c r="B110" s="2" t="s">
        <v>399</v>
      </c>
      <c r="C110" s="2" t="s">
        <v>400</v>
      </c>
      <c r="D110" s="2" t="s">
        <v>72</v>
      </c>
      <c r="E110" s="2" t="s">
        <v>21</v>
      </c>
      <c r="F110" s="2" t="s">
        <v>15</v>
      </c>
      <c r="G110" s="2" t="s">
        <v>401</v>
      </c>
      <c r="H110" s="2" t="s">
        <v>346</v>
      </c>
      <c r="I110" s="2" t="str">
        <f>IFERROR(__xludf.DUMMYFUNCTION("GOOGLETRANSLATE(C110,""fr"",""en"")"),"Insurer more attached to lure new customers than to reward old customers (more than 20 years)")</f>
        <v>Insurer more attached to lure new customers than to reward old customers (more than 20 years)</v>
      </c>
    </row>
    <row r="111" ht="15.75" customHeight="1">
      <c r="A111" s="2">
        <v>3.0</v>
      </c>
      <c r="B111" s="2" t="s">
        <v>402</v>
      </c>
      <c r="C111" s="2" t="s">
        <v>403</v>
      </c>
      <c r="D111" s="2" t="s">
        <v>41</v>
      </c>
      <c r="E111" s="2" t="s">
        <v>21</v>
      </c>
      <c r="F111" s="2" t="s">
        <v>15</v>
      </c>
      <c r="G111" s="2" t="s">
        <v>254</v>
      </c>
      <c r="H111" s="2" t="s">
        <v>42</v>
      </c>
      <c r="I111" s="2" t="str">
        <f>IFERROR(__xludf.DUMMYFUNCTION("GOOGLETRANSLATE(C111,""fr"",""en"")"),"The people we have on the phone are sometimes complicated to understand /They do not understand very often very often and in the event of a dispute; We want to hang up as they seem limited.")</f>
        <v>The people we have on the phone are sometimes complicated to understand /They do not understand very often very often and in the event of a dispute; We want to hang up as they seem limited.</v>
      </c>
    </row>
    <row r="112" ht="15.75" customHeight="1">
      <c r="A112" s="2">
        <v>2.0</v>
      </c>
      <c r="B112" s="2" t="s">
        <v>404</v>
      </c>
      <c r="C112" s="2" t="s">
        <v>405</v>
      </c>
      <c r="D112" s="2" t="s">
        <v>72</v>
      </c>
      <c r="E112" s="2" t="s">
        <v>21</v>
      </c>
      <c r="F112" s="2" t="s">
        <v>15</v>
      </c>
      <c r="G112" s="2" t="s">
        <v>406</v>
      </c>
      <c r="H112" s="2" t="s">
        <v>407</v>
      </c>
      <c r="I112" s="2" t="str">
        <f>IFERROR(__xludf.DUMMYFUNCTION("GOOGLETRANSLATE(C112,""fr"",""en"")"),"Service that is responsible for managing fully ineffective accident management
Incompetent legal protection service")</f>
        <v>Service that is responsible for managing fully ineffective accident management
Incompetent legal protection service</v>
      </c>
    </row>
    <row r="113" ht="15.75" customHeight="1">
      <c r="A113" s="2">
        <v>2.0</v>
      </c>
      <c r="B113" s="2" t="s">
        <v>408</v>
      </c>
      <c r="C113" s="2" t="s">
        <v>409</v>
      </c>
      <c r="D113" s="2" t="s">
        <v>410</v>
      </c>
      <c r="E113" s="2" t="s">
        <v>207</v>
      </c>
      <c r="F113" s="2" t="s">
        <v>15</v>
      </c>
      <c r="G113" s="2" t="s">
        <v>411</v>
      </c>
      <c r="H113" s="2" t="s">
        <v>412</v>
      </c>
      <c r="I113" s="2" t="str">
        <f>IFERROR(__xludf.DUMMYFUNCTION("GOOGLETRANSLATE(C113,""fr"",""en"")"),"Telephone harassment
  Respondent exasperated have you have 2 animals yes
You have a 3rd
  Nope
Well, goodbye
   Inadmissible after dozens of calls to which we no longer answer for fear of
")</f>
        <v>Telephone harassment
  Respondent exasperated have you have 2 animals yes
You have a 3rd
  Nope
Well, goodbye
   Inadmissible after dozens of calls to which we no longer answer for fear of
</v>
      </c>
    </row>
    <row r="114" ht="15.75" customHeight="1">
      <c r="A114" s="2">
        <v>1.0</v>
      </c>
      <c r="B114" s="2" t="s">
        <v>413</v>
      </c>
      <c r="C114" s="2" t="s">
        <v>414</v>
      </c>
      <c r="D114" s="2" t="s">
        <v>36</v>
      </c>
      <c r="E114" s="2" t="s">
        <v>21</v>
      </c>
      <c r="F114" s="2" t="s">
        <v>15</v>
      </c>
      <c r="G114" s="2" t="s">
        <v>415</v>
      </c>
      <c r="H114" s="2" t="s">
        <v>416</v>
      </c>
      <c r="I114" s="2" t="str">
        <f>IFERROR(__xludf.DUMMYFUNCTION("GOOGLETRANSLATE(C114,""fr"",""en"")"),"Very expensive insurance without the service opposite. Only financial profitability counts at the expense of the customer. This is felt on the staff who is unpleasant and little attentive.")</f>
        <v>Very expensive insurance without the service opposite. Only financial profitability counts at the expense of the customer. This is felt on the staff who is unpleasant and little attentive.</v>
      </c>
    </row>
    <row r="115" ht="15.75" customHeight="1">
      <c r="A115" s="2">
        <v>4.0</v>
      </c>
      <c r="B115" s="2" t="s">
        <v>417</v>
      </c>
      <c r="C115" s="2" t="s">
        <v>418</v>
      </c>
      <c r="D115" s="2" t="s">
        <v>36</v>
      </c>
      <c r="E115" s="2" t="s">
        <v>21</v>
      </c>
      <c r="F115" s="2" t="s">
        <v>15</v>
      </c>
      <c r="G115" s="2" t="s">
        <v>419</v>
      </c>
      <c r="H115" s="2" t="s">
        <v>420</v>
      </c>
      <c r="I115" s="2" t="str">
        <f>IFERROR(__xludf.DUMMYFUNCTION("GOOGLETRANSLATE(C115,""fr"",""en"")")," Fortunately I do not often need to involve my car insurance a dozen years ago after an accident with significant damage on the car I was able to recognize that it is insurance perfectly suited me")</f>
        <v> Fortunately I do not often need to involve my car insurance a dozen years ago after an accident with significant damage on the car I was able to recognize that it is insurance perfectly suited me</v>
      </c>
    </row>
    <row r="116" ht="15.75" customHeight="1">
      <c r="A116" s="2">
        <v>4.0</v>
      </c>
      <c r="B116" s="2" t="s">
        <v>421</v>
      </c>
      <c r="C116" s="2" t="s">
        <v>422</v>
      </c>
      <c r="D116" s="2" t="s">
        <v>41</v>
      </c>
      <c r="E116" s="2" t="s">
        <v>21</v>
      </c>
      <c r="F116" s="2" t="s">
        <v>15</v>
      </c>
      <c r="G116" s="2" t="s">
        <v>423</v>
      </c>
      <c r="H116" s="2" t="s">
        <v>42</v>
      </c>
      <c r="I116" s="2" t="str">
        <f>IFERROR(__xludf.DUMMYFUNCTION("GOOGLETRANSLATE(C116,""fr"",""en"")"),"Attractive prices and easy to consult site. Fortunately, I did not have accidents with my vehicle; But I hope they will be responsive when I need their services!")</f>
        <v>Attractive prices and easy to consult site. Fortunately, I did not have accidents with my vehicle; But I hope they will be responsive when I need their services!</v>
      </c>
    </row>
    <row r="117" ht="15.75" customHeight="1">
      <c r="A117" s="2">
        <v>4.0</v>
      </c>
      <c r="B117" s="2" t="s">
        <v>424</v>
      </c>
      <c r="C117" s="2" t="s">
        <v>425</v>
      </c>
      <c r="D117" s="2" t="s">
        <v>41</v>
      </c>
      <c r="E117" s="2" t="s">
        <v>21</v>
      </c>
      <c r="F117" s="2" t="s">
        <v>15</v>
      </c>
      <c r="G117" s="2" t="s">
        <v>426</v>
      </c>
      <c r="H117" s="2" t="s">
        <v>74</v>
      </c>
      <c r="I117" s="2" t="str">
        <f>IFERROR(__xludf.DUMMYFUNCTION("GOOGLETRANSLATE(C117,""fr"",""en"")"),"I am satisfied with your service, and I will recommend around me direct insurance.
I am very delighted to be at Direct Assurance. Cordially.")</f>
        <v>I am satisfied with your service, and I will recommend around me direct insurance.
I am very delighted to be at Direct Assurance. Cordially.</v>
      </c>
    </row>
    <row r="118" ht="15.75" customHeight="1">
      <c r="A118" s="2">
        <v>1.0</v>
      </c>
      <c r="B118" s="2" t="s">
        <v>427</v>
      </c>
      <c r="C118" s="2" t="s">
        <v>428</v>
      </c>
      <c r="D118" s="2" t="s">
        <v>13</v>
      </c>
      <c r="E118" s="2" t="s">
        <v>14</v>
      </c>
      <c r="F118" s="2" t="s">
        <v>15</v>
      </c>
      <c r="G118" s="2" t="s">
        <v>429</v>
      </c>
      <c r="H118" s="2" t="s">
        <v>203</v>
      </c>
      <c r="I118" s="2" t="str">
        <f>IFERROR(__xludf.DUMMYFUNCTION("GOOGLETRANSLATE(C118,""fr"",""en"")"),"I crushed my children with my campsite because it is this mutual that really ruined the holidays")</f>
        <v>I crushed my children with my campsite because it is this mutual that really ruined the holidays</v>
      </c>
    </row>
    <row r="119" ht="15.75" customHeight="1">
      <c r="A119" s="2">
        <v>2.0</v>
      </c>
      <c r="B119" s="2" t="s">
        <v>430</v>
      </c>
      <c r="C119" s="2" t="s">
        <v>431</v>
      </c>
      <c r="D119" s="2" t="s">
        <v>150</v>
      </c>
      <c r="E119" s="2" t="s">
        <v>122</v>
      </c>
      <c r="F119" s="2" t="s">
        <v>15</v>
      </c>
      <c r="G119" s="2" t="s">
        <v>432</v>
      </c>
      <c r="H119" s="2" t="s">
        <v>28</v>
      </c>
      <c r="I119" s="2" t="str">
        <f>IFERROR(__xludf.DUMMYFUNCTION("GOOGLETRANSLATE(C119,""fr"",""en"")"),"Several problems with the payment I do not understand why since morning I try to subscribe and your site puts me impossible to access the pay")</f>
        <v>Several problems with the payment I do not understand why since morning I try to subscribe and your site puts me impossible to access the pay</v>
      </c>
    </row>
    <row r="120" ht="15.75" customHeight="1">
      <c r="A120" s="2">
        <v>2.0</v>
      </c>
      <c r="B120" s="2" t="s">
        <v>433</v>
      </c>
      <c r="C120" s="2" t="s">
        <v>434</v>
      </c>
      <c r="D120" s="2" t="s">
        <v>72</v>
      </c>
      <c r="E120" s="2" t="s">
        <v>21</v>
      </c>
      <c r="F120" s="2" t="s">
        <v>15</v>
      </c>
      <c r="G120" s="2" t="s">
        <v>435</v>
      </c>
      <c r="H120" s="2" t="s">
        <v>436</v>
      </c>
      <c r="I120" s="2" t="str">
        <f>IFERROR(__xludf.DUMMYFUNCTION("GOOGLETRANSLATE(C120,""fr"",""en"")"),"I leave the GMF with a bonus, a year after leaving the GMF I ask for an information success or I have a penalty while I am more customer at home, they are unable to give me an explanation to flee as insurers.
")</f>
        <v>I leave the GMF with a bonus, a year after leaving the GMF I ask for an information success or I have a penalty while I am more customer at home, they are unable to give me an explanation to flee as insurers.
</v>
      </c>
    </row>
    <row r="121" ht="15.75" customHeight="1">
      <c r="A121" s="2">
        <v>4.0</v>
      </c>
      <c r="B121" s="2" t="s">
        <v>437</v>
      </c>
      <c r="C121" s="2" t="s">
        <v>438</v>
      </c>
      <c r="D121" s="2" t="s">
        <v>150</v>
      </c>
      <c r="E121" s="2" t="s">
        <v>122</v>
      </c>
      <c r="F121" s="2" t="s">
        <v>15</v>
      </c>
      <c r="G121" s="2" t="s">
        <v>217</v>
      </c>
      <c r="H121" s="2" t="s">
        <v>134</v>
      </c>
      <c r="I121" s="2" t="str">
        <f>IFERROR(__xludf.DUMMYFUNCTION("GOOGLETRANSLATE(C121,""fr"",""en"")"),"I am satisfied with the service and the price. Easy approach .. insurance full of options and covers the biker in the event of an accident or problems with the motorcycle.")</f>
        <v>I am satisfied with the service and the price. Easy approach .. insurance full of options and covers the biker in the event of an accident or problems with the motorcycle.</v>
      </c>
    </row>
    <row r="122" ht="15.75" customHeight="1">
      <c r="A122" s="2">
        <v>2.0</v>
      </c>
      <c r="B122" s="2" t="s">
        <v>439</v>
      </c>
      <c r="C122" s="2" t="s">
        <v>440</v>
      </c>
      <c r="D122" s="2" t="s">
        <v>41</v>
      </c>
      <c r="E122" s="2" t="s">
        <v>21</v>
      </c>
      <c r="F122" s="2" t="s">
        <v>15</v>
      </c>
      <c r="G122" s="2" t="s">
        <v>441</v>
      </c>
      <c r="H122" s="2" t="s">
        <v>42</v>
      </c>
      <c r="I122" s="2" t="str">
        <f>IFERROR(__xludf.DUMMYFUNCTION("GOOGLETRANSLATE(C122,""fr"",""en"")"),"Satisfied overall but it's been two months now that I have been asked for proof over a period, which I provide it but nothing changes.")</f>
        <v>Satisfied overall but it's been two months now that I have been asked for proof over a period, which I provide it but nothing changes.</v>
      </c>
    </row>
    <row r="123" ht="15.75" customHeight="1">
      <c r="A123" s="2">
        <v>3.0</v>
      </c>
      <c r="B123" s="2" t="s">
        <v>442</v>
      </c>
      <c r="C123" s="2" t="s">
        <v>443</v>
      </c>
      <c r="D123" s="2" t="s">
        <v>20</v>
      </c>
      <c r="E123" s="2" t="s">
        <v>21</v>
      </c>
      <c r="F123" s="2" t="s">
        <v>15</v>
      </c>
      <c r="G123" s="2" t="s">
        <v>444</v>
      </c>
      <c r="H123" s="2" t="s">
        <v>51</v>
      </c>
      <c r="I123" s="2" t="str">
        <f>IFERROR(__xludf.DUMMYFUNCTION("GOOGLETRANSLATE(C123,""fr"",""en"")"),"Finally I managed to sign.
I am satisfied with your service. Always inform well and you can be reached quite quickly.
I would recommend you to those around me.
Thanks")</f>
        <v>Finally I managed to sign.
I am satisfied with your service. Always inform well and you can be reached quite quickly.
I would recommend you to those around me.
Thanks</v>
      </c>
    </row>
    <row r="124" ht="15.75" customHeight="1">
      <c r="A124" s="2">
        <v>5.0</v>
      </c>
      <c r="B124" s="2" t="s">
        <v>445</v>
      </c>
      <c r="C124" s="2" t="s">
        <v>446</v>
      </c>
      <c r="D124" s="2" t="s">
        <v>103</v>
      </c>
      <c r="E124" s="2" t="s">
        <v>104</v>
      </c>
      <c r="F124" s="2" t="s">
        <v>15</v>
      </c>
      <c r="G124" s="2" t="s">
        <v>28</v>
      </c>
      <c r="H124" s="2" t="s">
        <v>28</v>
      </c>
      <c r="I124" s="2" t="str">
        <f>IFERROR(__xludf.DUMMYFUNCTION("GOOGLETRANSLATE(C124,""fr"",""en"")"),"I am very satisfied with the proposal service as well as the very competitive price. The advisers were listening and very attentive to the remarks. A big thank-you")</f>
        <v>I am very satisfied with the proposal service as well as the very competitive price. The advisers were listening and very attentive to the remarks. A big thank-you</v>
      </c>
    </row>
    <row r="125" ht="15.75" customHeight="1">
      <c r="A125" s="2">
        <v>2.0</v>
      </c>
      <c r="B125" s="2" t="s">
        <v>447</v>
      </c>
      <c r="C125" s="2" t="s">
        <v>448</v>
      </c>
      <c r="D125" s="2" t="s">
        <v>31</v>
      </c>
      <c r="E125" s="2" t="s">
        <v>122</v>
      </c>
      <c r="F125" s="2" t="s">
        <v>15</v>
      </c>
      <c r="G125" s="2" t="s">
        <v>449</v>
      </c>
      <c r="H125" s="2" t="s">
        <v>231</v>
      </c>
      <c r="I125" s="2" t="str">
        <f>IFERROR(__xludf.DUMMYFUNCTION("GOOGLETRANSLATE(C125,""fr"",""en"")"),"I am not a customer but I find it very surprising that we want to force me to subscribe to car insurance to be able to grant me motorcycle insurance. For them since I have no one in my family who is registered with the Macif they do not have to make effor"&amp;"ts for me. I asked for a letter of refusal. But of course no return.")</f>
        <v>I am not a customer but I find it very surprising that we want to force me to subscribe to car insurance to be able to grant me motorcycle insurance. For them since I have no one in my family who is registered with the Macif they do not have to make efforts for me. I asked for a letter of refusal. But of course no return.</v>
      </c>
    </row>
    <row r="126" ht="15.75" customHeight="1">
      <c r="A126" s="2">
        <v>4.0</v>
      </c>
      <c r="B126" s="2" t="s">
        <v>450</v>
      </c>
      <c r="C126" s="2" t="s">
        <v>451</v>
      </c>
      <c r="D126" s="2" t="s">
        <v>91</v>
      </c>
      <c r="E126" s="2" t="s">
        <v>14</v>
      </c>
      <c r="F126" s="2" t="s">
        <v>15</v>
      </c>
      <c r="G126" s="2" t="s">
        <v>452</v>
      </c>
      <c r="H126" s="2" t="s">
        <v>453</v>
      </c>
      <c r="I126" s="2" t="str">
        <f>IFERROR(__xludf.DUMMYFUNCTION("GOOGLETRANSLATE(C126,""fr"",""en"")"),"Sarah responded very quickly to my request this day. Relieved. Very appreciated for its contact, for its competence and its essential speed here.")</f>
        <v>Sarah responded very quickly to my request this day. Relieved. Very appreciated for its contact, for its competence and its essential speed here.</v>
      </c>
    </row>
    <row r="127" ht="15.75" customHeight="1">
      <c r="A127" s="2">
        <v>4.0</v>
      </c>
      <c r="B127" s="2" t="s">
        <v>454</v>
      </c>
      <c r="C127" s="2" t="s">
        <v>455</v>
      </c>
      <c r="D127" s="2" t="s">
        <v>41</v>
      </c>
      <c r="E127" s="2" t="s">
        <v>21</v>
      </c>
      <c r="F127" s="2" t="s">
        <v>15</v>
      </c>
      <c r="G127" s="2" t="s">
        <v>456</v>
      </c>
      <c r="H127" s="2" t="s">
        <v>28</v>
      </c>
      <c r="I127" s="2" t="str">
        <f>IFERROR(__xludf.DUMMYFUNCTION("GOOGLETRANSLATE(C127,""fr"",""en"")"),"Simple and practical. Because I was able to easily ask for a certificate. On the other hand, it would be better to improve the presentation of the site (colors, well -marked options ....).
The prices are a bit expensive.
")</f>
        <v>Simple and practical. Because I was able to easily ask for a certificate. On the other hand, it would be better to improve the presentation of the site (colors, well -marked options ....).
The prices are a bit expensive.
</v>
      </c>
    </row>
    <row r="128" ht="15.75" customHeight="1">
      <c r="A128" s="2">
        <v>1.0</v>
      </c>
      <c r="B128" s="2" t="s">
        <v>457</v>
      </c>
      <c r="C128" s="2" t="s">
        <v>458</v>
      </c>
      <c r="D128" s="2" t="s">
        <v>31</v>
      </c>
      <c r="E128" s="2" t="s">
        <v>21</v>
      </c>
      <c r="F128" s="2" t="s">
        <v>15</v>
      </c>
      <c r="G128" s="2" t="s">
        <v>432</v>
      </c>
      <c r="H128" s="2" t="s">
        <v>28</v>
      </c>
      <c r="I128" s="2" t="str">
        <f>IFERROR(__xludf.DUMMYFUNCTION("GOOGLETRANSLATE(C128,""fr"",""en"")"),"I put a star because I can't put 0 star ...
5 years of loyalty ... for nothing! Hundreds of € spent ... for nothing.
RUN AWAY. Take that of your bank ... whatever. Everything except the Macif! This box should not even exist
")</f>
        <v>I put a star because I can't put 0 star ...
5 years of loyalty ... for nothing! Hundreds of € spent ... for nothing.
RUN AWAY. Take that of your bank ... whatever. Everything except the Macif! This box should not even exist
</v>
      </c>
    </row>
    <row r="129" ht="15.75" customHeight="1">
      <c r="A129" s="2">
        <v>5.0</v>
      </c>
      <c r="B129" s="2" t="s">
        <v>459</v>
      </c>
      <c r="C129" s="2" t="s">
        <v>460</v>
      </c>
      <c r="D129" s="2" t="s">
        <v>103</v>
      </c>
      <c r="E129" s="2" t="s">
        <v>104</v>
      </c>
      <c r="F129" s="2" t="s">
        <v>15</v>
      </c>
      <c r="G129" s="2" t="s">
        <v>461</v>
      </c>
      <c r="H129" s="2" t="s">
        <v>23</v>
      </c>
      <c r="I129" s="2" t="str">
        <f>IFERROR(__xludf.DUMMYFUNCTION("GOOGLETRANSLATE(C129,""fr"",""en"")"),"The insurance advisor has managed to guide us and find the best organization covering our insurance needs at a price suitable in particular")</f>
        <v>The insurance advisor has managed to guide us and find the best organization covering our insurance needs at a price suitable in particular</v>
      </c>
    </row>
    <row r="130" ht="15.75" customHeight="1">
      <c r="A130" s="2">
        <v>5.0</v>
      </c>
      <c r="B130" s="2" t="s">
        <v>462</v>
      </c>
      <c r="C130" s="2" t="s">
        <v>463</v>
      </c>
      <c r="D130" s="2" t="s">
        <v>20</v>
      </c>
      <c r="E130" s="2" t="s">
        <v>21</v>
      </c>
      <c r="F130" s="2" t="s">
        <v>15</v>
      </c>
      <c r="G130" s="2" t="s">
        <v>464</v>
      </c>
      <c r="H130" s="2" t="s">
        <v>465</v>
      </c>
      <c r="I130" s="2" t="str">
        <f>IFERROR(__xludf.DUMMYFUNCTION("GOOGLETRANSLATE(C130,""fr"",""en"")"),"Very serious everything is clear from the start to the end.
REAL INSURANCE ASSURAN PRO.
Thank you Olivier Assurance for the availability of your customer advisers, the very decent price.
I am very satisfied .")</f>
        <v>Very serious everything is clear from the start to the end.
REAL INSURANCE ASSURAN PRO.
Thank you Olivier Assurance for the availability of your customer advisers, the very decent price.
I am very satisfied .</v>
      </c>
    </row>
    <row r="131" ht="15.75" customHeight="1">
      <c r="A131" s="2">
        <v>4.0</v>
      </c>
      <c r="B131" s="2" t="s">
        <v>466</v>
      </c>
      <c r="C131" s="2" t="s">
        <v>467</v>
      </c>
      <c r="D131" s="2" t="s">
        <v>41</v>
      </c>
      <c r="E131" s="2" t="s">
        <v>21</v>
      </c>
      <c r="F131" s="2" t="s">
        <v>15</v>
      </c>
      <c r="G131" s="2" t="s">
        <v>468</v>
      </c>
      <c r="H131" s="2" t="s">
        <v>51</v>
      </c>
      <c r="I131" s="2" t="str">
        <f>IFERROR(__xludf.DUMMYFUNCTION("GOOGLETRANSLATE(C131,""fr"",""en"")"),"I am currently satisfied with the speed of execution of the site and the prices offered.
Hoping to be satisfied if the slightest glitch arrives at me, cordially.")</f>
        <v>I am currently satisfied with the speed of execution of the site and the prices offered.
Hoping to be satisfied if the slightest glitch arrives at me, cordially.</v>
      </c>
    </row>
    <row r="132" ht="15.75" customHeight="1">
      <c r="A132" s="2">
        <v>1.0</v>
      </c>
      <c r="B132" s="2" t="s">
        <v>469</v>
      </c>
      <c r="C132" s="2" t="s">
        <v>470</v>
      </c>
      <c r="D132" s="2" t="s">
        <v>164</v>
      </c>
      <c r="E132" s="2" t="s">
        <v>21</v>
      </c>
      <c r="F132" s="2" t="s">
        <v>15</v>
      </c>
      <c r="G132" s="2" t="s">
        <v>471</v>
      </c>
      <c r="H132" s="2" t="s">
        <v>78</v>
      </c>
      <c r="I132" s="2" t="str">
        <f>IFERROR(__xludf.DUMMYFUNCTION("GOOGLETRANSLATE(C132,""fr"",""en"")"),"I have been a customer at Pacifica for 6 years, for home insurance, 2 auto insurance, 1 motorcycle, hunting insurance and complementary health for the family. This is the first time that I have declared a sinister to my insurance, I needed to have the bum"&amp;"per of my car replaced. The repairs represent 780 euros and half is reimbursed to them by the 350euros deductible, despite this, I have a 20%penalty !! And in addition they did not even advance the amount of repairs to the garage, with whom I had to negot"&amp;"iate to defer the collection of the check and they are difficult to reach by phone ...")</f>
        <v>I have been a customer at Pacifica for 6 years, for home insurance, 2 auto insurance, 1 motorcycle, hunting insurance and complementary health for the family. This is the first time that I have declared a sinister to my insurance, I needed to have the bumper of my car replaced. The repairs represent 780 euros and half is reimbursed to them by the 350euros deductible, despite this, I have a 20%penalty !! And in addition they did not even advance the amount of repairs to the garage, with whom I had to negotiate to defer the collection of the check and they are difficult to reach by phone ...</v>
      </c>
    </row>
    <row r="133" ht="15.75" customHeight="1">
      <c r="A133" s="2">
        <v>3.0</v>
      </c>
      <c r="B133" s="2" t="s">
        <v>472</v>
      </c>
      <c r="C133" s="2" t="s">
        <v>473</v>
      </c>
      <c r="D133" s="2" t="s">
        <v>41</v>
      </c>
      <c r="E133" s="2" t="s">
        <v>21</v>
      </c>
      <c r="F133" s="2" t="s">
        <v>15</v>
      </c>
      <c r="G133" s="2" t="s">
        <v>474</v>
      </c>
      <c r="H133" s="2" t="s">
        <v>42</v>
      </c>
      <c r="I133" s="2" t="str">
        <f>IFERROR(__xludf.DUMMYFUNCTION("GOOGLETRANSLATE(C133,""fr"",""en"")"),"The prices are slightly higher than the competition.
I find it hard to find an answer to my questions.
I do not understand the requested documents
")</f>
        <v>The prices are slightly higher than the competition.
I find it hard to find an answer to my questions.
I do not understand the requested documents
</v>
      </c>
    </row>
    <row r="134" ht="15.75" customHeight="1">
      <c r="A134" s="2">
        <v>2.0</v>
      </c>
      <c r="B134" s="2" t="s">
        <v>475</v>
      </c>
      <c r="C134" s="2" t="s">
        <v>476</v>
      </c>
      <c r="D134" s="2" t="s">
        <v>67</v>
      </c>
      <c r="E134" s="2" t="s">
        <v>58</v>
      </c>
      <c r="F134" s="2" t="s">
        <v>15</v>
      </c>
      <c r="G134" s="2" t="s">
        <v>477</v>
      </c>
      <c r="H134" s="2" t="s">
        <v>478</v>
      </c>
      <c r="I134" s="2" t="str">
        <f>IFERROR(__xludf.DUMMYFUNCTION("GOOGLETRANSLATE(C134,""fr"",""en"")"),"I am there by then more 3o years. I had a water damage October 2016, customer service and monitoring of the disaster a person at the end of the line at the agency nobody to listen to you. Expert to reduce the cost he offered to pass a Apparent pipe in an "&amp;"walk -in shower. And that's just an example.")</f>
        <v>I am there by then more 3o years. I had a water damage October 2016, customer service and monitoring of the disaster a person at the end of the line at the agency nobody to listen to you. Expert to reduce the cost he offered to pass a Apparent pipe in an walk -in shower. And that's just an example.</v>
      </c>
    </row>
    <row r="135" ht="15.75" customHeight="1">
      <c r="A135" s="2">
        <v>3.0</v>
      </c>
      <c r="B135" s="2" t="s">
        <v>479</v>
      </c>
      <c r="C135" s="2" t="s">
        <v>480</v>
      </c>
      <c r="D135" s="2" t="s">
        <v>206</v>
      </c>
      <c r="E135" s="2" t="s">
        <v>207</v>
      </c>
      <c r="F135" s="2" t="s">
        <v>15</v>
      </c>
      <c r="G135" s="2" t="s">
        <v>481</v>
      </c>
      <c r="H135" s="2" t="s">
        <v>309</v>
      </c>
      <c r="I135" s="2" t="str">
        <f>IFERROR(__xludf.DUMMYFUNCTION("GOOGLETRANSLATE(C135,""fr"",""en"")"),"Hello I would like to know if there is a deductible with the ""dog+"" formula?")</f>
        <v>Hello I would like to know if there is a deductible with the "dog+" formula?</v>
      </c>
    </row>
    <row r="136" ht="15.75" customHeight="1">
      <c r="A136" s="2">
        <v>5.0</v>
      </c>
      <c r="B136" s="2" t="s">
        <v>482</v>
      </c>
      <c r="C136" s="2" t="s">
        <v>483</v>
      </c>
      <c r="D136" s="2" t="s">
        <v>315</v>
      </c>
      <c r="E136" s="2" t="s">
        <v>14</v>
      </c>
      <c r="F136" s="2" t="s">
        <v>15</v>
      </c>
      <c r="G136" s="2" t="s">
        <v>484</v>
      </c>
      <c r="H136" s="2" t="s">
        <v>478</v>
      </c>
      <c r="I136" s="2" t="str">
        <f>IFERROR(__xludf.DUMMYFUNCTION("GOOGLETRANSLATE(C136,""fr"",""en"")"),"Adhering for many years, the MGEN is a mutual which considers its members and constantly evolves to meet their needs. Rare Mutual Interprot which includes foreshadowing in its health offers.")</f>
        <v>Adhering for many years, the MGEN is a mutual which considers its members and constantly evolves to meet their needs. Rare Mutual Interprot which includes foreshadowing in its health offers.</v>
      </c>
    </row>
    <row r="137" ht="15.75" customHeight="1">
      <c r="A137" s="2">
        <v>4.0</v>
      </c>
      <c r="B137" s="2" t="s">
        <v>485</v>
      </c>
      <c r="C137" s="2" t="s">
        <v>486</v>
      </c>
      <c r="D137" s="2" t="s">
        <v>150</v>
      </c>
      <c r="E137" s="2" t="s">
        <v>122</v>
      </c>
      <c r="F137" s="2" t="s">
        <v>15</v>
      </c>
      <c r="G137" s="2" t="s">
        <v>487</v>
      </c>
      <c r="H137" s="2" t="s">
        <v>28</v>
      </c>
      <c r="I137" s="2" t="str">
        <f>IFERROR(__xludf.DUMMYFUNCTION("GOOGLETRANSLATE(C137,""fr"",""en"")"),"Simple and quick, satisfied.
Could you send me a quote to ensure a moped (motobecane) as a collector's room.
Thanks.
Best regards.")</f>
        <v>Simple and quick, satisfied.
Could you send me a quote to ensure a moped (motobecane) as a collector's room.
Thanks.
Best regards.</v>
      </c>
    </row>
    <row r="138" ht="15.75" customHeight="1">
      <c r="A138" s="2">
        <v>1.0</v>
      </c>
      <c r="B138" s="2" t="s">
        <v>488</v>
      </c>
      <c r="C138" s="2" t="s">
        <v>489</v>
      </c>
      <c r="D138" s="2" t="s">
        <v>41</v>
      </c>
      <c r="E138" s="2" t="s">
        <v>21</v>
      </c>
      <c r="F138" s="2" t="s">
        <v>15</v>
      </c>
      <c r="G138" s="2" t="s">
        <v>490</v>
      </c>
      <c r="H138" s="2" t="s">
        <v>55</v>
      </c>
      <c r="I138" s="2" t="str">
        <f>IFERROR(__xludf.DUMMYFUNCTION("GOOGLETRANSLATE(C138,""fr"",""en"")"),"Sinister of waters Declare on 03/21/2021.
No return to 08/04/2021
Fantöme insurer ???????
Fully absent customer service except to reclaim the subscription")</f>
        <v>Sinister of waters Declare on 03/21/2021.
No return to 08/04/2021
Fantöme insurer ???????
Fully absent customer service except to reclaim the subscription</v>
      </c>
    </row>
    <row r="139" ht="15.75" customHeight="1">
      <c r="A139" s="2">
        <v>3.0</v>
      </c>
      <c r="B139" s="2" t="s">
        <v>491</v>
      </c>
      <c r="C139" s="2" t="s">
        <v>492</v>
      </c>
      <c r="D139" s="2" t="s">
        <v>72</v>
      </c>
      <c r="E139" s="2" t="s">
        <v>21</v>
      </c>
      <c r="F139" s="2" t="s">
        <v>15</v>
      </c>
      <c r="G139" s="2" t="s">
        <v>493</v>
      </c>
      <c r="H139" s="2" t="s">
        <v>74</v>
      </c>
      <c r="I139" s="2" t="str">
        <f>IFERROR(__xludf.DUMMYFUNCTION("GOOGLETRANSLATE(C139,""fr"",""en"")"),"An exorbitant price increase to add my son to a car contract after 3 years of accompanied driving and 1 year of permit ...
No claim for more than 15 years, 5 contracts held, here is the GMF award !! And yes it is the GMF mutualist spirit !!
The only adv"&amp;"ice given by the advisor I encountered before my dissatisfaction was to continue to make quotes. But what a great attitude !!
 Faced with such behavior: to flee absolutely thing that I am going to do.
")</f>
        <v>An exorbitant price increase to add my son to a car contract after 3 years of accompanied driving and 1 year of permit ...
No claim for more than 15 years, 5 contracts held, here is the GMF award !! And yes it is the GMF mutualist spirit !!
The only advice given by the advisor I encountered before my dissatisfaction was to continue to make quotes. But what a great attitude !!
 Faced with such behavior: to flee absolutely thing that I am going to do.
</v>
      </c>
    </row>
    <row r="140" ht="15.75" customHeight="1">
      <c r="A140" s="2">
        <v>5.0</v>
      </c>
      <c r="B140" s="2" t="s">
        <v>494</v>
      </c>
      <c r="C140" s="2" t="s">
        <v>495</v>
      </c>
      <c r="D140" s="2" t="s">
        <v>67</v>
      </c>
      <c r="E140" s="2" t="s">
        <v>21</v>
      </c>
      <c r="F140" s="2" t="s">
        <v>15</v>
      </c>
      <c r="G140" s="2" t="s">
        <v>496</v>
      </c>
      <c r="H140" s="2" t="s">
        <v>497</v>
      </c>
      <c r="I140" s="2" t="str">
        <f>IFERROR(__xludf.DUMMYFUNCTION("GOOGLETRANSLATE(C140,""fr"",""en"")"),"Fidel at the Maaf for 15 years
a good reception of people professionals
Customer service based in France
and good price and warranty
During a disaster but even had a commercial gesture on the franchise")</f>
        <v>Fidel at the Maaf for 15 years
a good reception of people professionals
Customer service based in France
and good price and warranty
During a disaster but even had a commercial gesture on the franchise</v>
      </c>
    </row>
    <row r="141" ht="15.75" customHeight="1">
      <c r="A141" s="2">
        <v>1.0</v>
      </c>
      <c r="B141" s="2" t="s">
        <v>498</v>
      </c>
      <c r="C141" s="2" t="s">
        <v>499</v>
      </c>
      <c r="D141" s="2" t="s">
        <v>172</v>
      </c>
      <c r="E141" s="2" t="s">
        <v>14</v>
      </c>
      <c r="F141" s="2" t="s">
        <v>15</v>
      </c>
      <c r="G141" s="2" t="s">
        <v>500</v>
      </c>
      <c r="H141" s="2" t="s">
        <v>501</v>
      </c>
      <c r="I141" s="2" t="str">
        <f>IFERROR(__xludf.DUMMYFUNCTION("GOOGLETRANSLATE(C141,""fr"",""en"")"),"Huge difficulty in perceiving the reimbursement. Lost, arrogance of the counselors of the Créteil platform who take the people for donkeys")</f>
        <v>Huge difficulty in perceiving the reimbursement. Lost, arrogance of the counselors of the Créteil platform who take the people for donkeys</v>
      </c>
    </row>
    <row r="142" ht="15.75" customHeight="1">
      <c r="A142" s="2">
        <v>5.0</v>
      </c>
      <c r="B142" s="2" t="s">
        <v>502</v>
      </c>
      <c r="C142" s="2" t="s">
        <v>503</v>
      </c>
      <c r="D142" s="2" t="s">
        <v>504</v>
      </c>
      <c r="E142" s="2" t="s">
        <v>122</v>
      </c>
      <c r="F142" s="2" t="s">
        <v>15</v>
      </c>
      <c r="G142" s="2" t="s">
        <v>505</v>
      </c>
      <c r="H142" s="2" t="s">
        <v>251</v>
      </c>
      <c r="I142" s="2" t="str">
        <f>IFERROR(__xludf.DUMMYFUNCTION("GOOGLETRANSLATE(C142,""fr"",""en"")"),"Super listening and great search quality price by my romu advisor")</f>
        <v>Super listening and great search quality price by my romu advisor</v>
      </c>
    </row>
    <row r="143" ht="15.75" customHeight="1">
      <c r="A143" s="2">
        <v>5.0</v>
      </c>
      <c r="B143" s="2" t="s">
        <v>506</v>
      </c>
      <c r="C143" s="2" t="s">
        <v>507</v>
      </c>
      <c r="D143" s="2" t="s">
        <v>20</v>
      </c>
      <c r="E143" s="2" t="s">
        <v>21</v>
      </c>
      <c r="F143" s="2" t="s">
        <v>15</v>
      </c>
      <c r="G143" s="2" t="s">
        <v>508</v>
      </c>
      <c r="H143" s="2" t="s">
        <v>416</v>
      </c>
      <c r="I143" s="2" t="str">
        <f>IFERROR(__xludf.DUMMYFUNCTION("GOOGLETRANSLATE(C143,""fr"",""en"")"),"Professionalism, competence, responsiveness, efficiency, listening to customer needs, I highly recommend this car insurance, telephone contacts are very pleasant and reassuring.")</f>
        <v>Professionalism, competence, responsiveness, efficiency, listening to customer needs, I highly recommend this car insurance, telephone contacts are very pleasant and reassuring.</v>
      </c>
    </row>
    <row r="144" ht="15.75" customHeight="1">
      <c r="A144" s="2">
        <v>2.0</v>
      </c>
      <c r="B144" s="2" t="s">
        <v>509</v>
      </c>
      <c r="C144" s="2" t="s">
        <v>510</v>
      </c>
      <c r="D144" s="2" t="s">
        <v>26</v>
      </c>
      <c r="E144" s="2" t="s">
        <v>14</v>
      </c>
      <c r="F144" s="2" t="s">
        <v>15</v>
      </c>
      <c r="G144" s="2" t="s">
        <v>511</v>
      </c>
      <c r="H144" s="2" t="s">
        <v>320</v>
      </c>
      <c r="I144" s="2" t="str">
        <f>IFERROR(__xludf.DUMMYFUNCTION("GOOGLETRANSLATE(C144,""fr"",""en"")"),"Meeting with mutual harmony (without ""s"" at the end) since 2014, I have to fight (I weigh my words!) To be reimbursed for few needs that are mine (weak glasses, teeth) I benefit from the 100% With the S. S. therefore this mutual insurance company does n"&amp;"ot have to intervene either for medical consultations, or for drugs (for which I pay myself the vignettes other than white (blue and orange which have disappeared)
My last complaint concerns a crown (dental prosthesis) for which Harmonie M. is in his 3rd"&amp;" different justification after having accused my dentist of practicing free fees, which is not the case!
She refuses to reimburse me the Rac0 basket (remains on charge 0) by now incriminating my contract which however had indeed been advised by their sal"&amp;"espeople !!! I terminate as soon as possible, which is hardly possible before the end of this year !! To flee")</f>
        <v>Meeting with mutual harmony (without "s" at the end) since 2014, I have to fight (I weigh my words!) To be reimbursed for few needs that are mine (weak glasses, teeth) I benefit from the 100% With the S. S. therefore this mutual insurance company does not have to intervene either for medical consultations, or for drugs (for which I pay myself the vignettes other than white (blue and orange which have disappeared)
My last complaint concerns a crown (dental prosthesis) for which Harmonie M. is in his 3rd different justification after having accused my dentist of practicing free fees, which is not the case!
She refuses to reimburse me the Rac0 basket (remains on charge 0) by now incriminating my contract which however had indeed been advised by their salespeople !!! I terminate as soon as possible, which is hardly possible before the end of this year !! To flee</v>
      </c>
    </row>
    <row r="145" ht="15.75" customHeight="1">
      <c r="A145" s="2">
        <v>2.0</v>
      </c>
      <c r="B145" s="2" t="s">
        <v>512</v>
      </c>
      <c r="C145" s="2" t="s">
        <v>513</v>
      </c>
      <c r="D145" s="2" t="s">
        <v>116</v>
      </c>
      <c r="E145" s="2" t="s">
        <v>21</v>
      </c>
      <c r="F145" s="2" t="s">
        <v>15</v>
      </c>
      <c r="G145" s="2" t="s">
        <v>514</v>
      </c>
      <c r="H145" s="2" t="s">
        <v>465</v>
      </c>
      <c r="I145" s="2" t="str">
        <f>IFERROR(__xludf.DUMMYFUNCTION("GOOGLETRANSLATE(C145,""fr"",""en"")"),"Hello
I have been in the Matmut for 40 years never had a problem. I had an act of voluntary degradation with the crime of flight.
I look on the 'Matmut website the approved garage for expertise because it is impossible to reach the Matmut by phone it pu"&amp;"ts us on hold then it cuts or that it tells us to recall later.
On their Matmut website, I see the approved garage with address and telephone. My vehicle is towed there.
5 days later I receive a Matmut call which tells me that she does not know where "&amp;"my vehicle is. I tell her the name of the garage and the city and there she answers me:
""This garage I do not find it, it is not listed with us, not approved. I cannot find the city, I am from Normandy, you must give me the postal code""
As I did not"&amp;" have the postal code on me I tell him to look on their site because all the contact details of the garage are there.
She refuses telling me that it's up to me! And that if I do not give her the postal code she will do nothing for me.
Not having the"&amp;" immediate possibility of giving her the postal code, I insist so that she looks on the Matmut site or she looks on the internet with the name of the city! She refuses and tells me that my file will not be processed if it does not have the postal code and"&amp;" that this garage is not approved anyway.
I go to give the garage number at the matmut she hangs up on me because she finds me unpleasant, it's up to me to manage since I do not give her the postal code she will do nothing and will not manage my file w"&amp;"hich will remain in the 'state !
The garage confirms that it is well approved Matmut.
Having never had the slightest problem with my car or my home, I never realized how much the Matmut was so rare unless it was this woman who has a sacred hair in T"&amp;"he hand, because not to look on the Matmut site or even type the name of the city on the internet, it seems completely astounding!
")</f>
        <v>Hello
I have been in the Matmut for 40 years never had a problem. I had an act of voluntary degradation with the crime of flight.
I look on the 'Matmut website the approved garage for expertise because it is impossible to reach the Matmut by phone it puts us on hold then it cuts or that it tells us to recall later.
On their Matmut website, I see the approved garage with address and telephone. My vehicle is towed there.
5 days later I receive a Matmut call which tells me that she does not know where my vehicle is. I tell her the name of the garage and the city and there she answers me:
"This garage I do not find it, it is not listed with us, not approved. I cannot find the city, I am from Normandy, you must give me the postal code"
As I did not have the postal code on me I tell him to look on their site because all the contact details of the garage are there.
She refuses telling me that it's up to me! And that if I do not give her the postal code she will do nothing for me.
Not having the immediate possibility of giving her the postal code, I insist so that she looks on the Matmut site or she looks on the internet with the name of the city! She refuses and tells me that my file will not be processed if it does not have the postal code and that this garage is not approved anyway.
I go to give the garage number at the matmut she hangs up on me because she finds me unpleasant, it's up to me to manage since I do not give her the postal code she will do nothing and will not manage my file which will remain in the 'state !
The garage confirms that it is well approved Matmut.
Having never had the slightest problem with my car or my home, I never realized how much the Matmut was so rare unless it was this woman who has a sacred hair in The hand, because not to look on the Matmut site or even type the name of the city on the internet, it seems completely astounding!
</v>
      </c>
    </row>
    <row r="146" ht="15.75" customHeight="1">
      <c r="A146" s="2">
        <v>3.0</v>
      </c>
      <c r="B146" s="2" t="s">
        <v>515</v>
      </c>
      <c r="C146" s="2" t="s">
        <v>516</v>
      </c>
      <c r="D146" s="2" t="s">
        <v>20</v>
      </c>
      <c r="E146" s="2" t="s">
        <v>21</v>
      </c>
      <c r="F146" s="2" t="s">
        <v>15</v>
      </c>
      <c r="G146" s="2" t="s">
        <v>517</v>
      </c>
      <c r="H146" s="2" t="s">
        <v>55</v>
      </c>
      <c r="I146" s="2" t="str">
        <f>IFERROR(__xludf.DUMMYFUNCTION("GOOGLETRANSLATE(C146,""fr"",""en"")"),"There is an error on my name, I sent an email to the customer service which must respond in 7 days but for the moment nothing and that is 8 working days. I'm disapointed.
On the other hand, good progress on the termination of my old contract. Probably a "&amp;"question of priority.")</f>
        <v>There is an error on my name, I sent an email to the customer service which must respond in 7 days but for the moment nothing and that is 8 working days. I'm disapointed.
On the other hand, good progress on the termination of my old contract. Probably a question of priority.</v>
      </c>
    </row>
    <row r="147" ht="15.75" customHeight="1">
      <c r="A147" s="2">
        <v>1.0</v>
      </c>
      <c r="B147" s="2" t="s">
        <v>518</v>
      </c>
      <c r="C147" s="2" t="s">
        <v>519</v>
      </c>
      <c r="D147" s="2" t="s">
        <v>212</v>
      </c>
      <c r="E147" s="2" t="s">
        <v>21</v>
      </c>
      <c r="F147" s="2" t="s">
        <v>15</v>
      </c>
      <c r="G147" s="2" t="s">
        <v>520</v>
      </c>
      <c r="H147" s="2" t="s">
        <v>100</v>
      </c>
      <c r="I147" s="2" t="str">
        <f>IFERROR(__xludf.DUMMYFUNCTION("GOOGLETRANSLATE(C147,""fr"",""en"")"),"Sinister of March 2019 to date October 9, 2020 still not solved and uses everything that is possible not to settle
On the other hand very straddling contributions")</f>
        <v>Sinister of March 2019 to date October 9, 2020 still not solved and uses everything that is possible not to settle
On the other hand very straddling contributions</v>
      </c>
    </row>
    <row r="148" ht="15.75" customHeight="1">
      <c r="A148" s="2">
        <v>3.0</v>
      </c>
      <c r="B148" s="2" t="s">
        <v>521</v>
      </c>
      <c r="C148" s="2" t="s">
        <v>522</v>
      </c>
      <c r="D148" s="2" t="s">
        <v>41</v>
      </c>
      <c r="E148" s="2" t="s">
        <v>21</v>
      </c>
      <c r="F148" s="2" t="s">
        <v>15</v>
      </c>
      <c r="G148" s="2" t="s">
        <v>523</v>
      </c>
      <c r="H148" s="2" t="s">
        <v>42</v>
      </c>
      <c r="I148" s="2" t="str">
        <f>IFERROR(__xludf.DUMMYFUNCTION("GOOGLETRANSLATE(C148,""fr"",""en"")"),"The prices suits me.
reasonable service.
Insurance recommended by a friend.
The prices suits me.
reasonable service.
Insurance recommended by a friend.")</f>
        <v>The prices suits me.
reasonable service.
Insurance recommended by a friend.
The prices suits me.
reasonable service.
Insurance recommended by a friend.</v>
      </c>
    </row>
    <row r="149" ht="15.75" customHeight="1">
      <c r="A149" s="2">
        <v>1.0</v>
      </c>
      <c r="B149" s="2" t="s">
        <v>524</v>
      </c>
      <c r="C149" s="2" t="s">
        <v>525</v>
      </c>
      <c r="D149" s="2" t="s">
        <v>212</v>
      </c>
      <c r="E149" s="2" t="s">
        <v>58</v>
      </c>
      <c r="F149" s="2" t="s">
        <v>15</v>
      </c>
      <c r="G149" s="2" t="s">
        <v>526</v>
      </c>
      <c r="H149" s="2" t="s">
        <v>23</v>
      </c>
      <c r="I149" s="2" t="str">
        <f>IFERROR(__xludf.DUMMYFUNCTION("GOOGLETRANSLATE(C149,""fr"",""en"")"),"Zero pointed. To run away absolutely. Allianz with you from A to P to pay !!! The rest we don't care ... we are just good at that. Homemade fire 3 years ago no call, no letter to at least know how you are ... on the other hand, 8 days late in a mail contr"&amp;"ibution with threat. A shame !!!!")</f>
        <v>Zero pointed. To run away absolutely. Allianz with you from A to P to pay !!! The rest we don't care ... we are just good at that. Homemade fire 3 years ago no call, no letter to at least know how you are ... on the other hand, 8 days late in a mail contribution with threat. A shame !!!!</v>
      </c>
    </row>
    <row r="150" ht="15.75" customHeight="1">
      <c r="A150" s="2">
        <v>3.0</v>
      </c>
      <c r="B150" s="2" t="s">
        <v>527</v>
      </c>
      <c r="C150" s="2" t="s">
        <v>528</v>
      </c>
      <c r="D150" s="2" t="s">
        <v>108</v>
      </c>
      <c r="E150" s="2" t="s">
        <v>21</v>
      </c>
      <c r="F150" s="2" t="s">
        <v>15</v>
      </c>
      <c r="G150" s="2" t="s">
        <v>386</v>
      </c>
      <c r="H150" s="2" t="s">
        <v>55</v>
      </c>
      <c r="I150" s="2" t="str">
        <f>IFERROR(__xludf.DUMMYFUNCTION("GOOGLETRANSLATE(C150,""fr"",""en"")"),"Catastrophic communication: I had to contact this insurance because I have continued to be debited for two months while my vehicle is sold and I sent all the documents necessary to stop its insurance.
I had to contact them a dozen times by email and tele"&amp;"phone by sending them proof of my good faith but despite everything I am systematically answered the same text learned by heart.
This insurance now asks me for an acknowledgment of registration of the declaration of sale of my vehicle because the sales d"&amp;"ate is too old for them! I contact the Ants site to make the request, when I don't have to do so, answer between 3 and 5 weeks of waiting before having this paper!
Obviously, this insurance is in bad faith and seeks that I drop the case ...
I therefore "&amp;"contact a consumer service")</f>
        <v>Catastrophic communication: I had to contact this insurance because I have continued to be debited for two months while my vehicle is sold and I sent all the documents necessary to stop its insurance.
I had to contact them a dozen times by email and telephone by sending them proof of my good faith but despite everything I am systematically answered the same text learned by heart.
This insurance now asks me for an acknowledgment of registration of the declaration of sale of my vehicle because the sales date is too old for them! I contact the Ants site to make the request, when I don't have to do so, answer between 3 and 5 weeks of waiting before having this paper!
Obviously, this insurance is in bad faith and seeks that I drop the case ...
I therefore contact a consumer service</v>
      </c>
    </row>
    <row r="151" ht="15.75" customHeight="1">
      <c r="A151" s="2">
        <v>4.0</v>
      </c>
      <c r="B151" s="2" t="s">
        <v>529</v>
      </c>
      <c r="C151" s="2" t="s">
        <v>530</v>
      </c>
      <c r="D151" s="2" t="s">
        <v>41</v>
      </c>
      <c r="E151" s="2" t="s">
        <v>21</v>
      </c>
      <c r="F151" s="2" t="s">
        <v>15</v>
      </c>
      <c r="G151" s="2" t="s">
        <v>531</v>
      </c>
      <c r="H151" s="2" t="s">
        <v>134</v>
      </c>
      <c r="I151" s="2" t="str">
        <f>IFERROR(__xludf.DUMMYFUNCTION("GOOGLETRANSLATE(C151,""fr"",""en"")"),"This offer seems advantageous to me, we will see in time. No one knows if an offer is before having been able to benefit from it. New customer of Direct Insurance I hope to be part of satisfied people")</f>
        <v>This offer seems advantageous to me, we will see in time. No one knows if an offer is before having been able to benefit from it. New customer of Direct Insurance I hope to be part of satisfied people</v>
      </c>
    </row>
    <row r="152" ht="15.75" customHeight="1">
      <c r="A152" s="2">
        <v>4.0</v>
      </c>
      <c r="B152" s="2" t="s">
        <v>532</v>
      </c>
      <c r="C152" s="2" t="s">
        <v>533</v>
      </c>
      <c r="D152" s="2" t="s">
        <v>20</v>
      </c>
      <c r="E152" s="2" t="s">
        <v>21</v>
      </c>
      <c r="F152" s="2" t="s">
        <v>15</v>
      </c>
      <c r="G152" s="2" t="s">
        <v>534</v>
      </c>
      <c r="H152" s="2" t="s">
        <v>51</v>
      </c>
      <c r="I152" s="2" t="str">
        <f>IFERROR(__xludf.DUMMYFUNCTION("GOOGLETRANSLATE(C152,""fr"",""en"")"),"Good communication, detailed explanations, the different well -explained options, nice agent and attentive, I would recommend to my friends if they have problems with their current insurer.")</f>
        <v>Good communication, detailed explanations, the different well -explained options, nice agent and attentive, I would recommend to my friends if they have problems with their current insurer.</v>
      </c>
    </row>
    <row r="153" ht="15.75" customHeight="1">
      <c r="A153" s="2">
        <v>2.0</v>
      </c>
      <c r="B153" s="2" t="s">
        <v>535</v>
      </c>
      <c r="C153" s="2" t="s">
        <v>536</v>
      </c>
      <c r="D153" s="2" t="s">
        <v>41</v>
      </c>
      <c r="E153" s="2" t="s">
        <v>21</v>
      </c>
      <c r="F153" s="2" t="s">
        <v>15</v>
      </c>
      <c r="G153" s="2" t="s">
        <v>537</v>
      </c>
      <c r="H153" s="2" t="s">
        <v>42</v>
      </c>
      <c r="I153" s="2" t="str">
        <f>IFERROR(__xludf.DUMMYFUNCTION("GOOGLETRANSLATE(C153,""fr"",""en"")"),"I satisifice of the service on the fast -efficient fast site site that the services correspond and that it is as simple as the adhesion .....")</f>
        <v>I satisifice of the service on the fast -efficient fast site site that the services correspond and that it is as simple as the adhesion .....</v>
      </c>
    </row>
    <row r="154" ht="15.75" customHeight="1">
      <c r="A154" s="2">
        <v>1.0</v>
      </c>
      <c r="B154" s="2" t="s">
        <v>538</v>
      </c>
      <c r="C154" s="2" t="s">
        <v>539</v>
      </c>
      <c r="D154" s="2" t="s">
        <v>41</v>
      </c>
      <c r="E154" s="2" t="s">
        <v>21</v>
      </c>
      <c r="F154" s="2" t="s">
        <v>15</v>
      </c>
      <c r="G154" s="2" t="s">
        <v>540</v>
      </c>
      <c r="H154" s="2" t="s">
        <v>420</v>
      </c>
      <c r="I154" s="2" t="str">
        <f>IFERROR(__xludf.DUMMYFUNCTION("GOOGLETRANSLATE(C154,""fr"",""en"")"),"To avoid, even to flee to gallop after a change of vehicle insured all risks, increase in the price for
A less powerful vehicle and ensures third party
False advertising....
")</f>
        <v>To avoid, even to flee to gallop after a change of vehicle insured all risks, increase in the price for
A less powerful vehicle and ensures third party
False advertising....
</v>
      </c>
    </row>
    <row r="155" ht="15.75" customHeight="1">
      <c r="A155" s="2">
        <v>4.0</v>
      </c>
      <c r="B155" s="2" t="s">
        <v>541</v>
      </c>
      <c r="C155" s="2" t="s">
        <v>542</v>
      </c>
      <c r="D155" s="2" t="s">
        <v>41</v>
      </c>
      <c r="E155" s="2" t="s">
        <v>21</v>
      </c>
      <c r="F155" s="2" t="s">
        <v>15</v>
      </c>
      <c r="G155" s="2" t="s">
        <v>543</v>
      </c>
      <c r="H155" s="2" t="s">
        <v>74</v>
      </c>
      <c r="I155" s="2" t="str">
        <f>IFERROR(__xludf.DUMMYFUNCTION("GOOGLETRANSLATE(C155,""fr"",""en"")"),"I am satisfied with the fast and effective service, although a direct debit would have been better for me. But very well overall. Thanks very much.")</f>
        <v>I am satisfied with the fast and effective service, although a direct debit would have been better for me. But very well overall. Thanks very much.</v>
      </c>
    </row>
    <row r="156" ht="15.75" customHeight="1">
      <c r="A156" s="2">
        <v>4.0</v>
      </c>
      <c r="B156" s="2" t="s">
        <v>544</v>
      </c>
      <c r="C156" s="2" t="s">
        <v>545</v>
      </c>
      <c r="D156" s="2" t="s">
        <v>20</v>
      </c>
      <c r="E156" s="2" t="s">
        <v>21</v>
      </c>
      <c r="F156" s="2" t="s">
        <v>15</v>
      </c>
      <c r="G156" s="2" t="s">
        <v>411</v>
      </c>
      <c r="H156" s="2" t="s">
        <v>412</v>
      </c>
      <c r="I156" s="2" t="str">
        <f>IFERROR(__xludf.DUMMYFUNCTION("GOOGLETRANSLATE(C156,""fr"",""en"")"),"Very good insurance.")</f>
        <v>Very good insurance.</v>
      </c>
    </row>
    <row r="157" ht="15.75" customHeight="1">
      <c r="A157" s="2">
        <v>3.0</v>
      </c>
      <c r="B157" s="2" t="s">
        <v>546</v>
      </c>
      <c r="C157" s="2" t="s">
        <v>547</v>
      </c>
      <c r="D157" s="2" t="s">
        <v>41</v>
      </c>
      <c r="E157" s="2" t="s">
        <v>21</v>
      </c>
      <c r="F157" s="2" t="s">
        <v>15</v>
      </c>
      <c r="G157" s="2" t="s">
        <v>548</v>
      </c>
      <c r="H157" s="2" t="s">
        <v>320</v>
      </c>
      <c r="I157" s="2" t="str">
        <f>IFERROR(__xludf.DUMMYFUNCTION("GOOGLETRANSLATE(C157,""fr"",""en"")"),"I take out a contract for any risk.
I didn’t use the assistance and sinister service in 4 years.
I learned during my disaster on June 23 of a franchise of € 726
The repair took more than 2 months awarded at my disposal on 27 08 2020. It sagissred 2 tir"&amp;"es before shock absorber and parallelism.
The price is not specially economically ... Direct insurance being low cost with registration on the internet ... I pay more than with AXA which is the assistance of Direct Insurance.
I asked for a discount for "&amp;"the 2 months or my vehicle was not usable, which was not granted
I do not recommend this insurance.")</f>
        <v>I take out a contract for any risk.
I didn’t use the assistance and sinister service in 4 years.
I learned during my disaster on June 23 of a franchise of € 726
The repair took more than 2 months awarded at my disposal on 27 08 2020. It sagissred 2 tires before shock absorber and parallelism.
The price is not specially economically ... Direct insurance being low cost with registration on the internet ... I pay more than with AXA which is the assistance of Direct Insurance.
I asked for a discount for the 2 months or my vehicle was not usable, which was not granted
I do not recommend this insurance.</v>
      </c>
    </row>
    <row r="158" ht="15.75" customHeight="1">
      <c r="A158" s="2">
        <v>2.0</v>
      </c>
      <c r="B158" s="2" t="s">
        <v>549</v>
      </c>
      <c r="C158" s="2" t="s">
        <v>550</v>
      </c>
      <c r="D158" s="2" t="s">
        <v>41</v>
      </c>
      <c r="E158" s="2" t="s">
        <v>21</v>
      </c>
      <c r="F158" s="2" t="s">
        <v>15</v>
      </c>
      <c r="G158" s="2" t="s">
        <v>551</v>
      </c>
      <c r="H158" s="2" t="s">
        <v>74</v>
      </c>
      <c r="I158" s="2" t="str">
        <f>IFERROR(__xludf.DUMMYFUNCTION("GOOGLETRANSLATE(C158,""fr"",""en"")"),"Insurance increased for no reason after 1 year. The prices are no longer competitive at all. I do not recommend at all. I will change insurance.")</f>
        <v>Insurance increased for no reason after 1 year. The prices are no longer competitive at all. I do not recommend at all. I will change insurance.</v>
      </c>
    </row>
    <row r="159" ht="15.75" customHeight="1">
      <c r="A159" s="2">
        <v>2.0</v>
      </c>
      <c r="B159" s="2" t="s">
        <v>552</v>
      </c>
      <c r="C159" s="2" t="s">
        <v>553</v>
      </c>
      <c r="D159" s="2" t="s">
        <v>121</v>
      </c>
      <c r="E159" s="2" t="s">
        <v>122</v>
      </c>
      <c r="F159" s="2" t="s">
        <v>15</v>
      </c>
      <c r="G159" s="2" t="s">
        <v>554</v>
      </c>
      <c r="H159" s="2" t="s">
        <v>144</v>
      </c>
      <c r="I159" s="2" t="str">
        <f>IFERROR(__xludf.DUMMYFUNCTION("GOOGLETRANSLATE(C159,""fr"",""en"")"),"Motorcycle accident by a car that touches me in the back in February 2017 and still pending ... almost 1 year. It was however clearly written on the observation signed by the two parties that the car was stopped and that it started in my way ... The decis"&amp;"ion should have been simple. Sending repair conditions and especially the details for the quick franchise. But once I paid the 450th franchise, no return to me by the person in charge of the file. Many reminders by phone/email, without ever systematically"&amp;" falling on the person concerned, and always the same answer: ""No return of the opposing party, we relay them"". Easy to say by email or on the phone, we don't even know who we have in front of us. I will think about the options to flee this insurer.")</f>
        <v>Motorcycle accident by a car that touches me in the back in February 2017 and still pending ... almost 1 year. It was however clearly written on the observation signed by the two parties that the car was stopped and that it started in my way ... The decision should have been simple. Sending repair conditions and especially the details for the quick franchise. But once I paid the 450th franchise, no return to me by the person in charge of the file. Many reminders by phone/email, without ever systematically falling on the person concerned, and always the same answer: "No return of the opposing party, we relay them". Easy to say by email or on the phone, we don't even know who we have in front of us. I will think about the options to flee this insurer.</v>
      </c>
    </row>
    <row r="160" ht="15.75" customHeight="1">
      <c r="A160" s="2">
        <v>4.0</v>
      </c>
      <c r="B160" s="2" t="s">
        <v>555</v>
      </c>
      <c r="C160" s="2" t="s">
        <v>556</v>
      </c>
      <c r="D160" s="2" t="s">
        <v>41</v>
      </c>
      <c r="E160" s="2" t="s">
        <v>21</v>
      </c>
      <c r="F160" s="2" t="s">
        <v>15</v>
      </c>
      <c r="G160" s="2" t="s">
        <v>244</v>
      </c>
      <c r="H160" s="2" t="s">
        <v>23</v>
      </c>
      <c r="I160" s="2" t="str">
        <f>IFERROR(__xludf.DUMMYFUNCTION("GOOGLETRANSLATE(C160,""fr"",""en"")"),"Direct response and immediate reactivity. Very satisfactory service
The care of all the steps to be taken is provided by Direct Insurance, therefore no administrative hassle")</f>
        <v>Direct response and immediate reactivity. Very satisfactory service
The care of all the steps to be taken is provided by Direct Insurance, therefore no administrative hassle</v>
      </c>
    </row>
    <row r="161" ht="15.75" customHeight="1">
      <c r="A161" s="2">
        <v>1.0</v>
      </c>
      <c r="B161" s="2" t="s">
        <v>557</v>
      </c>
      <c r="C161" s="2" t="s">
        <v>558</v>
      </c>
      <c r="D161" s="2" t="s">
        <v>164</v>
      </c>
      <c r="E161" s="2" t="s">
        <v>58</v>
      </c>
      <c r="F161" s="2" t="s">
        <v>15</v>
      </c>
      <c r="G161" s="2" t="s">
        <v>559</v>
      </c>
      <c r="H161" s="2" t="s">
        <v>560</v>
      </c>
      <c r="I161" s="2" t="str">
        <f>IFERROR(__xludf.DUMMYFUNCTION("GOOGLETRANSLATE(C161,""fr"",""en"")"),"The assurners allow themselves to double the deductibles to their guises without any explanations not and people cannot give you a valid explanation no customer follow -up is really a shame.")</f>
        <v>The assurners allow themselves to double the deductibles to their guises without any explanations not and people cannot give you a valid explanation no customer follow -up is really a shame.</v>
      </c>
    </row>
    <row r="162" ht="15.75" customHeight="1">
      <c r="A162" s="2">
        <v>1.0</v>
      </c>
      <c r="B162" s="2" t="s">
        <v>561</v>
      </c>
      <c r="C162" s="2" t="s">
        <v>562</v>
      </c>
      <c r="D162" s="2" t="s">
        <v>212</v>
      </c>
      <c r="E162" s="2" t="s">
        <v>58</v>
      </c>
      <c r="F162" s="2" t="s">
        <v>15</v>
      </c>
      <c r="G162" s="2" t="s">
        <v>563</v>
      </c>
      <c r="H162" s="2" t="s">
        <v>231</v>
      </c>
      <c r="I162" s="2" t="str">
        <f>IFERROR(__xludf.DUMMYFUNCTION("GOOGLETRANSLATE(C162,""fr"",""en"")"),"We have been waiting for over 1 year to adjust water damage. They drag for repair is shameful")</f>
        <v>We have been waiting for over 1 year to adjust water damage. They drag for repair is shameful</v>
      </c>
    </row>
    <row r="163" ht="15.75" customHeight="1">
      <c r="A163" s="2">
        <v>2.0</v>
      </c>
      <c r="B163" s="2" t="s">
        <v>564</v>
      </c>
      <c r="C163" s="2" t="s">
        <v>565</v>
      </c>
      <c r="D163" s="2" t="s">
        <v>67</v>
      </c>
      <c r="E163" s="2" t="s">
        <v>58</v>
      </c>
      <c r="F163" s="2" t="s">
        <v>15</v>
      </c>
      <c r="G163" s="2" t="s">
        <v>566</v>
      </c>
      <c r="H163" s="2" t="s">
        <v>560</v>
      </c>
      <c r="I163" s="2" t="str">
        <f>IFERROR(__xludf.DUMMYFUNCTION("GOOGLETRANSLATE(C163,""fr"",""en"")"),"After 29 years of loyalty, I get ""fired"" their insurance because 3 claims in 2 years ..... as long as we pay and nothing happens to us, we are good customers ..... but when It's up to them to pay, it's no longer the same story ..... very, very disappoin"&amp;"ted !!!!")</f>
        <v>After 29 years of loyalty, I get "fired" their insurance because 3 claims in 2 years ..... as long as we pay and nothing happens to us, we are good customers ..... but when It's up to them to pay, it's no longer the same story ..... very, very disappointed !!!!</v>
      </c>
    </row>
    <row r="164" ht="15.75" customHeight="1">
      <c r="A164" s="2">
        <v>5.0</v>
      </c>
      <c r="B164" s="2" t="s">
        <v>567</v>
      </c>
      <c r="C164" s="2" t="s">
        <v>568</v>
      </c>
      <c r="D164" s="2" t="s">
        <v>20</v>
      </c>
      <c r="E164" s="2" t="s">
        <v>21</v>
      </c>
      <c r="F164" s="2" t="s">
        <v>15</v>
      </c>
      <c r="G164" s="2" t="s">
        <v>569</v>
      </c>
      <c r="H164" s="2" t="s">
        <v>28</v>
      </c>
      <c r="I164" s="2" t="str">
        <f>IFERROR(__xludf.DUMMYFUNCTION("GOOGLETRANSLATE(C164,""fr"",""en"")"),"I am satisfied with the service and the advisor on the phone for the simple and fast contract, the prices suit me, I will recommend it to people around me, cordially thank you.")</f>
        <v>I am satisfied with the service and the advisor on the phone for the simple and fast contract, the prices suit me, I will recommend it to people around me, cordially thank you.</v>
      </c>
    </row>
    <row r="165" ht="15.75" customHeight="1">
      <c r="A165" s="2">
        <v>4.0</v>
      </c>
      <c r="B165" s="2" t="s">
        <v>570</v>
      </c>
      <c r="C165" s="2" t="s">
        <v>571</v>
      </c>
      <c r="D165" s="2" t="s">
        <v>91</v>
      </c>
      <c r="E165" s="2" t="s">
        <v>14</v>
      </c>
      <c r="F165" s="2" t="s">
        <v>15</v>
      </c>
      <c r="G165" s="2" t="s">
        <v>572</v>
      </c>
      <c r="H165" s="2" t="s">
        <v>309</v>
      </c>
      <c r="I165" s="2" t="str">
        <f>IFERROR(__xludf.DUMMYFUNCTION("GOOGLETRANSLATE(C165,""fr"",""en"")"),"Immediate reminder when looking for one evening at 9 p.m. The staff are attentive and contact us in the event of a problem.")</f>
        <v>Immediate reminder when looking for one evening at 9 p.m. The staff are attentive and contact us in the event of a problem.</v>
      </c>
    </row>
    <row r="166" ht="15.75" customHeight="1">
      <c r="A166" s="2">
        <v>3.0</v>
      </c>
      <c r="B166" s="2" t="s">
        <v>573</v>
      </c>
      <c r="C166" s="2" t="s">
        <v>574</v>
      </c>
      <c r="D166" s="2" t="s">
        <v>67</v>
      </c>
      <c r="E166" s="2" t="s">
        <v>21</v>
      </c>
      <c r="F166" s="2" t="s">
        <v>15</v>
      </c>
      <c r="G166" s="2" t="s">
        <v>575</v>
      </c>
      <c r="H166" s="2" t="s">
        <v>576</v>
      </c>
      <c r="I166" s="2" t="str">
        <f>IFERROR(__xludf.DUMMYFUNCTION("GOOGLETRANSLATE(C166,""fr"",""en"")"),"Very good quality price but sometimes treats customers like dogs I have refused to ensure another vehicle for no valid reason when I am already client all because my husband is craftsman I do not see the report.
I am told to dulle elsewhere lol
not dacc"&amp;"ident good payer I have the license the gray card in my name really not understood this")</f>
        <v>Very good quality price but sometimes treats customers like dogs I have refused to ensure another vehicle for no valid reason when I am already client all because my husband is craftsman I do not see the report.
I am told to dulle elsewhere lol
not daccident good payer I have the license the gray card in my name really not understood this</v>
      </c>
    </row>
    <row r="167" ht="15.75" customHeight="1">
      <c r="A167" s="2">
        <v>5.0</v>
      </c>
      <c r="B167" s="2" t="s">
        <v>577</v>
      </c>
      <c r="C167" s="2" t="s">
        <v>578</v>
      </c>
      <c r="D167" s="2" t="s">
        <v>20</v>
      </c>
      <c r="E167" s="2" t="s">
        <v>21</v>
      </c>
      <c r="F167" s="2" t="s">
        <v>15</v>
      </c>
      <c r="G167" s="2" t="s">
        <v>381</v>
      </c>
      <c r="H167" s="2" t="s">
        <v>51</v>
      </c>
      <c r="I167" s="2" t="str">
        <f>IFERROR(__xludf.DUMMYFUNCTION("GOOGLETRANSLATE(C167,""fr"",""en"")"),"I am satisfied with the services and the kindness of the telephone advisor who knew how to answer all my questions with great precision. I really recommend this insurance company which I will hasten to speak around me.")</f>
        <v>I am satisfied with the services and the kindness of the telephone advisor who knew how to answer all my questions with great precision. I really recommend this insurance company which I will hasten to speak around me.</v>
      </c>
    </row>
    <row r="168" ht="15.75" customHeight="1">
      <c r="A168" s="2">
        <v>1.0</v>
      </c>
      <c r="B168" s="2" t="s">
        <v>579</v>
      </c>
      <c r="C168" s="2" t="s">
        <v>580</v>
      </c>
      <c r="D168" s="2" t="s">
        <v>26</v>
      </c>
      <c r="E168" s="2" t="s">
        <v>14</v>
      </c>
      <c r="F168" s="2" t="s">
        <v>15</v>
      </c>
      <c r="G168" s="2" t="s">
        <v>169</v>
      </c>
      <c r="H168" s="2" t="s">
        <v>28</v>
      </c>
      <c r="I168" s="2" t="str">
        <f>IFERROR(__xludf.DUMMYFUNCTION("GOOGLETRANSLATE(C168,""fr"",""en"")"),"I just discovered my radiation without the slightest explanation on their part!
I am up to date in my contributions and 2 years of contract!
It takes effect tomorrow and I have no more mutual for my daughters and me while dental and osteo appointments a"&amp;"re planned for this month ....
Case to follow by my legal protection ...
")</f>
        <v>I just discovered my radiation without the slightest explanation on their part!
I am up to date in my contributions and 2 years of contract!
It takes effect tomorrow and I have no more mutual for my daughters and me while dental and osteo appointments are planned for this month ....
Case to follow by my legal protection ...
</v>
      </c>
    </row>
    <row r="169" ht="15.75" customHeight="1">
      <c r="A169" s="2">
        <v>1.0</v>
      </c>
      <c r="B169" s="2" t="s">
        <v>581</v>
      </c>
      <c r="C169" s="2" t="s">
        <v>582</v>
      </c>
      <c r="D169" s="2" t="s">
        <v>108</v>
      </c>
      <c r="E169" s="2" t="s">
        <v>21</v>
      </c>
      <c r="F169" s="2" t="s">
        <v>15</v>
      </c>
      <c r="G169" s="2" t="s">
        <v>583</v>
      </c>
      <c r="H169" s="2" t="s">
        <v>60</v>
      </c>
      <c r="I169" s="2" t="str">
        <f>IFERROR(__xludf.DUMMYFUNCTION("GOOGLETRANSLATE(C169,""fr"",""en"")"),"Flee quickly! You will lose money and will not be assured. I make a letter go with my lawyer to request full reimbursement and initiate prosecution. They enjoy people!
Join me if you too have had a bad experience with them !!!")</f>
        <v>Flee quickly! You will lose money and will not be assured. I make a letter go with my lawyer to request full reimbursement and initiate prosecution. They enjoy people!
Join me if you too have had a bad experience with them !!!</v>
      </c>
    </row>
    <row r="170" ht="15.75" customHeight="1">
      <c r="A170" s="2">
        <v>4.0</v>
      </c>
      <c r="B170" s="2" t="s">
        <v>584</v>
      </c>
      <c r="C170" s="2" t="s">
        <v>585</v>
      </c>
      <c r="D170" s="2" t="s">
        <v>72</v>
      </c>
      <c r="E170" s="2" t="s">
        <v>21</v>
      </c>
      <c r="F170" s="2" t="s">
        <v>15</v>
      </c>
      <c r="G170" s="2" t="s">
        <v>363</v>
      </c>
      <c r="H170" s="2" t="s">
        <v>51</v>
      </c>
      <c r="I170" s="2" t="str">
        <f>IFERROR(__xludf.DUMMYFUNCTION("GOOGLETRANSLATE(C170,""fr"",""en"")"),"The prices deserves to drop again to see very good drivers.
The services are perfect. You can easily access advisers by phone.")</f>
        <v>The prices deserves to drop again to see very good drivers.
The services are perfect. You can easily access advisers by phone.</v>
      </c>
    </row>
    <row r="171" ht="15.75" customHeight="1">
      <c r="A171" s="2">
        <v>1.0</v>
      </c>
      <c r="B171" s="2" t="s">
        <v>586</v>
      </c>
      <c r="C171" s="2" t="s">
        <v>587</v>
      </c>
      <c r="D171" s="2" t="s">
        <v>20</v>
      </c>
      <c r="E171" s="2" t="s">
        <v>21</v>
      </c>
      <c r="F171" s="2" t="s">
        <v>15</v>
      </c>
      <c r="G171" s="2" t="s">
        <v>244</v>
      </c>
      <c r="H171" s="2" t="s">
        <v>23</v>
      </c>
      <c r="I171" s="2" t="str">
        <f>IFERROR(__xludf.DUMMYFUNCTION("GOOGLETRANSLATE(C171,""fr"",""en"")"),"The catch is a little expensive for a third -party comfort, I am a young driver and I have to pay almost € 1000 per year, it is a friend who advise me the olive assurance")</f>
        <v>The catch is a little expensive for a third -party comfort, I am a young driver and I have to pay almost € 1000 per year, it is a friend who advise me the olive assurance</v>
      </c>
    </row>
    <row r="172" ht="15.75" customHeight="1">
      <c r="A172" s="2">
        <v>3.0</v>
      </c>
      <c r="B172" s="2" t="s">
        <v>588</v>
      </c>
      <c r="C172" s="2" t="s">
        <v>589</v>
      </c>
      <c r="D172" s="2" t="s">
        <v>41</v>
      </c>
      <c r="E172" s="2" t="s">
        <v>21</v>
      </c>
      <c r="F172" s="2" t="s">
        <v>15</v>
      </c>
      <c r="G172" s="2" t="s">
        <v>23</v>
      </c>
      <c r="H172" s="2" t="s">
        <v>23</v>
      </c>
      <c r="I172" s="2" t="str">
        <f>IFERROR(__xludf.DUMMYFUNCTION("GOOGLETRANSLATE(C172,""fr"",""en"")"),"I still noted a significant increase in contributions for the ""all risk"" of my vehicle, particularly surprising if we consider that since ""always"" I have been driving without accident")</f>
        <v>I still noted a significant increase in contributions for the "all risk" of my vehicle, particularly surprising if we consider that since "always" I have been driving without accident</v>
      </c>
    </row>
    <row r="173" ht="15.75" customHeight="1">
      <c r="A173" s="2">
        <v>1.0</v>
      </c>
      <c r="B173" s="2" t="s">
        <v>590</v>
      </c>
      <c r="C173" s="2" t="s">
        <v>591</v>
      </c>
      <c r="D173" s="2" t="s">
        <v>592</v>
      </c>
      <c r="E173" s="2" t="s">
        <v>14</v>
      </c>
      <c r="F173" s="2" t="s">
        <v>15</v>
      </c>
      <c r="G173" s="2" t="s">
        <v>593</v>
      </c>
      <c r="H173" s="2" t="s">
        <v>560</v>
      </c>
      <c r="I173" s="2" t="str">
        <f>IFERROR(__xludf.DUMMYFUNCTION("GOOGLETRANSLATE(C173,""fr"",""en"")"),"ASHAMED !!!! No response to emails or phone.
When I go to my bank for the sake maybe I will be contacting lol !!!!
")</f>
        <v>ASHAMED !!!! No response to emails or phone.
When I go to my bank for the sake maybe I will be contacting lol !!!!
</v>
      </c>
    </row>
    <row r="174" ht="15.75" customHeight="1">
      <c r="A174" s="2">
        <v>3.0</v>
      </c>
      <c r="B174" s="2" t="s">
        <v>594</v>
      </c>
      <c r="C174" s="2" t="s">
        <v>595</v>
      </c>
      <c r="D174" s="2" t="s">
        <v>150</v>
      </c>
      <c r="E174" s="2" t="s">
        <v>122</v>
      </c>
      <c r="F174" s="2" t="s">
        <v>15</v>
      </c>
      <c r="G174" s="2" t="s">
        <v>596</v>
      </c>
      <c r="H174" s="2" t="s">
        <v>74</v>
      </c>
      <c r="I174" s="2" t="str">
        <f>IFERROR(__xludf.DUMMYFUNCTION("GOOGLETRANSLATE(C174,""fr"",""en"")"),"I am satisfied with insurance coverage. The price although high in view of my bonus remains one of the best placed on the market. I still hope I never have any worries.")</f>
        <v>I am satisfied with insurance coverage. The price although high in view of my bonus remains one of the best placed on the market. I still hope I never have any worries.</v>
      </c>
    </row>
    <row r="175" ht="15.75" customHeight="1">
      <c r="A175" s="2">
        <v>4.0</v>
      </c>
      <c r="B175" s="2" t="s">
        <v>597</v>
      </c>
      <c r="C175" s="2" t="s">
        <v>598</v>
      </c>
      <c r="D175" s="2" t="s">
        <v>160</v>
      </c>
      <c r="E175" s="2" t="s">
        <v>58</v>
      </c>
      <c r="F175" s="2" t="s">
        <v>15</v>
      </c>
      <c r="G175" s="2" t="s">
        <v>599</v>
      </c>
      <c r="H175" s="2" t="s">
        <v>309</v>
      </c>
      <c r="I175" s="2" t="str">
        <f>IFERROR(__xludf.DUMMYFUNCTION("GOOGLETRANSLATE(C175,""fr"",""en"")"),"Listening insurance, which advises and reassures you. Good professionals with extraordinary responsiveness that makes your life easier. Very competent, they know their work perfectly.")</f>
        <v>Listening insurance, which advises and reassures you. Good professionals with extraordinary responsiveness that makes your life easier. Very competent, they know their work perfectly.</v>
      </c>
    </row>
    <row r="176" ht="15.75" customHeight="1">
      <c r="A176" s="2">
        <v>2.0</v>
      </c>
      <c r="B176" s="2" t="s">
        <v>600</v>
      </c>
      <c r="C176" s="2" t="s">
        <v>601</v>
      </c>
      <c r="D176" s="2" t="s">
        <v>36</v>
      </c>
      <c r="E176" s="2" t="s">
        <v>21</v>
      </c>
      <c r="F176" s="2" t="s">
        <v>15</v>
      </c>
      <c r="G176" s="2" t="s">
        <v>602</v>
      </c>
      <c r="H176" s="2" t="s">
        <v>38</v>
      </c>
      <c r="I176" s="2" t="str">
        <f>IFERROR(__xludf.DUMMYFUNCTION("GOOGLETRANSLATE(C176,""fr"",""en"")"),"The militant insurer!
Frenched TV advertisement requires, of course, you know.
It's Maif!
So I correct their slogan:
The faulty insurer!
You know ?
It's Maif!
Unable to respect his contractual commitments, from the slightest difficulty,
And a lame"&amp;"ntable customer relationship, I am extremely disappointed! Faithful client, I'm going!
Flee this insurer!")</f>
        <v>The militant insurer!
Frenched TV advertisement requires, of course, you know.
It's Maif!
So I correct their slogan:
The faulty insurer!
You know ?
It's Maif!
Unable to respect his contractual commitments, from the slightest difficulty,
And a lamentable customer relationship, I am extremely disappointed! Faithful client, I'm going!
Flee this insurer!</v>
      </c>
    </row>
    <row r="177" ht="15.75" customHeight="1">
      <c r="A177" s="2">
        <v>1.0</v>
      </c>
      <c r="B177" s="2" t="s">
        <v>603</v>
      </c>
      <c r="C177" s="2" t="s">
        <v>604</v>
      </c>
      <c r="D177" s="2" t="s">
        <v>605</v>
      </c>
      <c r="E177" s="2" t="s">
        <v>195</v>
      </c>
      <c r="F177" s="2" t="s">
        <v>15</v>
      </c>
      <c r="G177" s="2" t="s">
        <v>606</v>
      </c>
      <c r="H177" s="2" t="s">
        <v>47</v>
      </c>
      <c r="I177" s="2" t="str">
        <f>IFERROR(__xludf.DUMMYFUNCTION("GOOGLETRANSLATE(C177,""fr"",""en"")"),"I have a sick leave for March.
I have been waiting for a salary supplement since August 18 (date on which my employer requests it)
Since then, I have been wandered, certainly with a lot of compassion from the customer service team that I could have on t"&amp;"he phone ...
This morning, following my n-the 1st call, I am informed that my file will be processed within 2 weeks ...
Except that early September, I was told 4 to 5 weeks, and that 2 weeks ago, I was promised about ten days ...
We are taken hostage, "&amp;"and apart from putting negative comments on forums, and then turning to the DGCCRF and the ACPR, I do not see what we can do more.
The customer service team ""understands my problem"", thank you for their empathy !!
I post my first comment here, and I i"&amp;"ntend to turn to all forums.")</f>
        <v>I have a sick leave for March.
I have been waiting for a salary supplement since August 18 (date on which my employer requests it)
Since then, I have been wandered, certainly with a lot of compassion from the customer service team that I could have on the phone ...
This morning, following my n-the 1st call, I am informed that my file will be processed within 2 weeks ...
Except that early September, I was told 4 to 5 weeks, and that 2 weeks ago, I was promised about ten days ...
We are taken hostage, and apart from putting negative comments on forums, and then turning to the DGCCRF and the ACPR, I do not see what we can do more.
The customer service team "understands my problem", thank you for their empathy !!
I post my first comment here, and I intend to turn to all forums.</v>
      </c>
    </row>
    <row r="178" ht="15.75" customHeight="1">
      <c r="A178" s="2">
        <v>1.0</v>
      </c>
      <c r="B178" s="2" t="s">
        <v>607</v>
      </c>
      <c r="C178" s="2" t="s">
        <v>608</v>
      </c>
      <c r="D178" s="2" t="s">
        <v>41</v>
      </c>
      <c r="E178" s="2" t="s">
        <v>21</v>
      </c>
      <c r="F178" s="2" t="s">
        <v>15</v>
      </c>
      <c r="G178" s="2" t="s">
        <v>609</v>
      </c>
      <c r="H178" s="2" t="s">
        <v>610</v>
      </c>
      <c r="I178" s="2" t="str">
        <f>IFERROR(__xludf.DUMMYFUNCTION("GOOGLETRANSLATE(C178,""fr"",""en"")"),"Does not respect the Hamon law, and does not reimburse to pay it too much .. quality of reception when there is a deplorable problem .. flee .. the economy (which is not one) of the insurance is not worth Absolutely not the blow ...")</f>
        <v>Does not respect the Hamon law, and does not reimburse to pay it too much .. quality of reception when there is a deplorable problem .. flee .. the economy (which is not one) of the insurance is not worth Absolutely not the blow ...</v>
      </c>
    </row>
    <row r="179" ht="15.75" customHeight="1">
      <c r="A179" s="2">
        <v>5.0</v>
      </c>
      <c r="B179" s="2" t="s">
        <v>611</v>
      </c>
      <c r="C179" s="2" t="s">
        <v>612</v>
      </c>
      <c r="D179" s="2" t="s">
        <v>20</v>
      </c>
      <c r="E179" s="2" t="s">
        <v>21</v>
      </c>
      <c r="F179" s="2" t="s">
        <v>15</v>
      </c>
      <c r="G179" s="2" t="s">
        <v>613</v>
      </c>
      <c r="H179" s="2" t="s">
        <v>55</v>
      </c>
      <c r="I179" s="2" t="str">
        <f>IFERROR(__xludf.DUMMYFUNCTION("GOOGLETRANSLATE(C179,""fr"",""en"")"),"Simple fast and practical, advantageous price with very affordable options to advise near my friends if the opportunity arises and without hesitation.")</f>
        <v>Simple fast and practical, advantageous price with very affordable options to advise near my friends if the opportunity arises and without hesitation.</v>
      </c>
    </row>
    <row r="180" ht="15.75" customHeight="1">
      <c r="A180" s="2">
        <v>1.0</v>
      </c>
      <c r="B180" s="2" t="s">
        <v>614</v>
      </c>
      <c r="C180" s="2" t="s">
        <v>615</v>
      </c>
      <c r="D180" s="2" t="s">
        <v>212</v>
      </c>
      <c r="E180" s="2" t="s">
        <v>21</v>
      </c>
      <c r="F180" s="2" t="s">
        <v>15</v>
      </c>
      <c r="G180" s="2" t="s">
        <v>616</v>
      </c>
      <c r="H180" s="2" t="s">
        <v>560</v>
      </c>
      <c r="I180" s="2" t="str">
        <f>IFERROR(__xludf.DUMMYFUNCTION("GOOGLETRANSLATE(C180,""fr"",""en"")"),"Not satisfied because it is expensive not being in penalties!), 2 Depannages maximum per year (I found myself stuck on a highway), want to sell unnecessary services")</f>
        <v>Not satisfied because it is expensive not being in penalties!), 2 Depannages maximum per year (I found myself stuck on a highway), want to sell unnecessary services</v>
      </c>
    </row>
    <row r="181" ht="15.75" customHeight="1">
      <c r="A181" s="2">
        <v>2.0</v>
      </c>
      <c r="B181" s="2" t="s">
        <v>617</v>
      </c>
      <c r="C181" s="2" t="s">
        <v>618</v>
      </c>
      <c r="D181" s="2" t="s">
        <v>41</v>
      </c>
      <c r="E181" s="2" t="s">
        <v>21</v>
      </c>
      <c r="F181" s="2" t="s">
        <v>15</v>
      </c>
      <c r="G181" s="2" t="s">
        <v>619</v>
      </c>
      <c r="H181" s="2" t="s">
        <v>74</v>
      </c>
      <c r="I181" s="2" t="str">
        <f>IFERROR(__xludf.DUMMYFUNCTION("GOOGLETRANSLATE(C181,""fr"",""en"")"),"Moderately satisfied because I see an increase in my contributions each year when we have never had an accident, so bonus in the max!
")</f>
        <v>Moderately satisfied because I see an increase in my contributions each year when we have never had an accident, so bonus in the max!
</v>
      </c>
    </row>
    <row r="182" ht="15.75" customHeight="1">
      <c r="A182" s="2">
        <v>2.0</v>
      </c>
      <c r="B182" s="2" t="s">
        <v>620</v>
      </c>
      <c r="C182" s="2" t="s">
        <v>621</v>
      </c>
      <c r="D182" s="2" t="s">
        <v>20</v>
      </c>
      <c r="E182" s="2" t="s">
        <v>21</v>
      </c>
      <c r="F182" s="2" t="s">
        <v>15</v>
      </c>
      <c r="G182" s="2" t="s">
        <v>622</v>
      </c>
      <c r="H182" s="2" t="s">
        <v>42</v>
      </c>
      <c r="I182" s="2" t="str">
        <f>IFERROR(__xludf.DUMMYFUNCTION("GOOGLETRANSLATE(C182,""fr"",""en"")"),"Insured for 3 years at the Olivier Assurance. They attract their customers with attractive prices. Since then, my insurance contract has increased each year between 30 and 50 € without any justification, my penalty quotient drops it ...
I have never need"&amp;"ed to call on my insurance since I was at home for any claim.")</f>
        <v>Insured for 3 years at the Olivier Assurance. They attract their customers with attractive prices. Since then, my insurance contract has increased each year between 30 and 50 € without any justification, my penalty quotient drops it ...
I have never needed to call on my insurance since I was at home for any claim.</v>
      </c>
    </row>
    <row r="183" ht="15.75" customHeight="1">
      <c r="A183" s="2">
        <v>2.0</v>
      </c>
      <c r="B183" s="2" t="s">
        <v>623</v>
      </c>
      <c r="C183" s="2" t="s">
        <v>624</v>
      </c>
      <c r="D183" s="2" t="s">
        <v>395</v>
      </c>
      <c r="E183" s="2" t="s">
        <v>21</v>
      </c>
      <c r="F183" s="2" t="s">
        <v>15</v>
      </c>
      <c r="G183" s="2" t="s">
        <v>625</v>
      </c>
      <c r="H183" s="2" t="s">
        <v>88</v>
      </c>
      <c r="I183" s="2" t="str">
        <f>IFERROR(__xludf.DUMMYFUNCTION("GOOGLETRANSLATE(C183,""fr"",""en"")"),"We live a nightmare accident cause by a third party x nos, come back, in another car ... Monday we are insured, and on Tuesday we are suspended ... Following a formal notice of the month, of June which was paid .. accident in November 2017 ... he takes th"&amp;"e towing costs in account despite the so -called contract suspension but nothing else. Today I am claimed 2700 euro for the other person implies (I specify that she did not, a scratch) I lost my car lived from the night of hell and today I find myself ind"&amp;"ebted thank you axa But, we are not going to let any info do not even know how to tell me where the file is when the responsibility of the sleepless nights insured with Axa Fuye nobody of Axa for us, help ...")</f>
        <v>We live a nightmare accident cause by a third party x nos, come back, in another car ... Monday we are insured, and on Tuesday we are suspended ... Following a formal notice of the month, of June which was paid .. accident in November 2017 ... he takes the towing costs in account despite the so -called contract suspension but nothing else. Today I am claimed 2700 euro for the other person implies (I specify that she did not, a scratch) I lost my car lived from the night of hell and today I find myself indebted thank you axa But, we are not going to let any info do not even know how to tell me where the file is when the responsibility of the sleepless nights insured with Axa Fuye nobody of Axa for us, help ...</v>
      </c>
    </row>
    <row r="184" ht="15.75" customHeight="1">
      <c r="A184" s="2">
        <v>2.0</v>
      </c>
      <c r="B184" s="2" t="s">
        <v>626</v>
      </c>
      <c r="C184" s="2" t="s">
        <v>627</v>
      </c>
      <c r="D184" s="2" t="s">
        <v>164</v>
      </c>
      <c r="E184" s="2" t="s">
        <v>21</v>
      </c>
      <c r="F184" s="2" t="s">
        <v>15</v>
      </c>
      <c r="G184" s="2" t="s">
        <v>628</v>
      </c>
      <c r="H184" s="2" t="s">
        <v>42</v>
      </c>
      <c r="I184" s="2" t="str">
        <f>IFERROR(__xludf.DUMMYFUNCTION("GOOGLETRANSLATE(C184,""fr"",""en"")"),"Hello,
I call assistance. My battery no longer takes the charge. It is broken in the mountains. The vehicle starts with the pliers. They ask me on site, boss order ...! To pay 50 euro of exceeding (not planned) immediately, it was not informed. My vehicl"&amp;"e cannot be towed next to the convenience store. He started but I will fall back down by taking petrol. And they will not be able to come back. I'm not going to buy a battery at the convenience store either if it's the alternator. I have the Zero km more "&amp;"breakdown assistance. The last time I was towed for a malicious puncture and plants without transport by zero degree by the road.
What guarantees? In the past, I had never had a problem with Maif.")</f>
        <v>Hello,
I call assistance. My battery no longer takes the charge. It is broken in the mountains. The vehicle starts with the pliers. They ask me on site, boss order ...! To pay 50 euro of exceeding (not planned) immediately, it was not informed. My vehicle cannot be towed next to the convenience store. He started but I will fall back down by taking petrol. And they will not be able to come back. I'm not going to buy a battery at the convenience store either if it's the alternator. I have the Zero km more breakdown assistance. The last time I was towed for a malicious puncture and plants without transport by zero degree by the road.
What guarantees? In the past, I had never had a problem with Maif.</v>
      </c>
    </row>
    <row r="185" ht="15.75" customHeight="1">
      <c r="A185" s="2">
        <v>5.0</v>
      </c>
      <c r="B185" s="2" t="s">
        <v>629</v>
      </c>
      <c r="C185" s="2" t="s">
        <v>630</v>
      </c>
      <c r="D185" s="2" t="s">
        <v>150</v>
      </c>
      <c r="E185" s="2" t="s">
        <v>122</v>
      </c>
      <c r="F185" s="2" t="s">
        <v>15</v>
      </c>
      <c r="G185" s="2" t="s">
        <v>381</v>
      </c>
      <c r="H185" s="2" t="s">
        <v>51</v>
      </c>
      <c r="I185" s="2" t="str">
        <f>IFERROR(__xludf.DUMMYFUNCTION("GOOGLETRANSLATE(C185,""fr"",""en"")"),"This insurance is excellent with good value for money very easy to understand simple for use and very practical with regard to the registration of insurance")</f>
        <v>This insurance is excellent with good value for money very easy to understand simple for use and very practical with regard to the registration of insurance</v>
      </c>
    </row>
    <row r="186" ht="15.75" customHeight="1">
      <c r="A186" s="2">
        <v>2.0</v>
      </c>
      <c r="B186" s="2" t="s">
        <v>631</v>
      </c>
      <c r="C186" s="2" t="s">
        <v>632</v>
      </c>
      <c r="D186" s="2" t="s">
        <v>31</v>
      </c>
      <c r="E186" s="2" t="s">
        <v>58</v>
      </c>
      <c r="F186" s="2" t="s">
        <v>15</v>
      </c>
      <c r="G186" s="2" t="s">
        <v>633</v>
      </c>
      <c r="H186" s="2" t="s">
        <v>23</v>
      </c>
      <c r="I186" s="2" t="str">
        <f>IFERROR(__xludf.DUMMYFUNCTION("GOOGLETRANSLATE(C186,""fr"",""en"")"),"BJR, a claim (attack by my dog ​​by another) in the context of civil liability, was the subject of a declaration on my part the same day. The next day, receipt of documents to fill out, made immediately. Certificate of end of care scanned at RelationClien"&amp;"t on March 29. Since silence, despite a recovery email to Madame Faguette, a message on the Macif site, another asking to be recalled to have information.
The Macif was good insurance, I have been there for thirty years and customers were well treated in"&amp;" the event of a claim. For the past ten years it leaves something to be desired, except to take out insurance and take the deadlines :). There is no longer any mutualist spirit at the Macif. We don't even remind you!
I just sent an email to this lady, sp"&amp;"ecifying my dissatisfaction and my approach here.
Will I have an answer here?
")</f>
        <v>BJR, a claim (attack by my dog ​​by another) in the context of civil liability, was the subject of a declaration on my part the same day. The next day, receipt of documents to fill out, made immediately. Certificate of end of care scanned at RelationClient on March 29. Since silence, despite a recovery email to Madame Faguette, a message on the Macif site, another asking to be recalled to have information.
The Macif was good insurance, I have been there for thirty years and customers were well treated in the event of a claim. For the past ten years it leaves something to be desired, except to take out insurance and take the deadlines :). There is no longer any mutualist spirit at the Macif. We don't even remind you!
I just sent an email to this lady, specifying my dissatisfaction and my approach here.
Will I have an answer here?
</v>
      </c>
    </row>
    <row r="187" ht="15.75" customHeight="1">
      <c r="A187" s="2">
        <v>1.0</v>
      </c>
      <c r="B187" s="2" t="s">
        <v>634</v>
      </c>
      <c r="C187" s="2" t="s">
        <v>635</v>
      </c>
      <c r="D187" s="2" t="s">
        <v>194</v>
      </c>
      <c r="E187" s="2" t="s">
        <v>195</v>
      </c>
      <c r="F187" s="2" t="s">
        <v>15</v>
      </c>
      <c r="G187" s="2" t="s">
        <v>636</v>
      </c>
      <c r="H187" s="2" t="s">
        <v>33</v>
      </c>
      <c r="I187" s="2" t="str">
        <f>IFERROR(__xludf.DUMMYFUNCTION("GOOGLETRANSLATE(C187,""fr"",""en"")"),"I live a real hassle
 territorial civil servant for 25 years I have contributed to an interior in my former community group contract
 I changed employer in November 2018 and my new employer told us in February 2019 that he ended his group contract and t"&amp;"hat I had to find a new pension
 So I naturally went to see interior
 After having revived them repeatedly to obtain a contract quote was signed with effect on July 01, 2019 on which I no longer had group providents
 Unfortunately for me, and for the f"&amp;"irst time in my life I have been on work stoppage for more than 3 months
 So I contacted, and after transmitting all the documents, and after having called many occasions by having different interlocutors each time who do not give the same information I "&amp;"received this day of interior a letter from no Receive here is what is indicated
 I accuse receipt of your compensation request for guarantees maintenance of salary premiums and allowances for periods from 26 10 to 15 11
 However, after studying your fi"&amp;"le I regret informing you that I cannot provide a favorable response for the following reason in accordance with mutual regulations within the framework of ordinary sickness leave for new members it is established a period one year internship following th"&amp;"eir registration for ordinary sickness leave concerning the wage maintenance guarantee and 6 months concerning the guarantee Maintaining premiums and compensation no claim occurred during this period will be guaranteed
Great I have never been informed of"&amp;" this
 I never received the conditions when they sent me the quote and the contract none of the interlocutors upstream and downstream of my judgment spoke to me
I have a salary of 1600 euros
2000 in November with my premium and 1600 in December
I unde"&amp;"rwent a loss of 2,000 euros with 1000 euros in monthly expenses
 This mutual lack of seriousness
 I am alone with a child and has no one to help me financially
 In addition, they increase my contributions by 25 percent from 40 euros monthly to 52 euros"&amp;" in 6 months
I will try to get closer to a consumer defense association")</f>
        <v>I live a real hassle
 territorial civil servant for 25 years I have contributed to an interior in my former community group contract
 I changed employer in November 2018 and my new employer told us in February 2019 that he ended his group contract and that I had to find a new pension
 So I naturally went to see interior
 After having revived them repeatedly to obtain a contract quote was signed with effect on July 01, 2019 on which I no longer had group providents
 Unfortunately for me, and for the first time in my life I have been on work stoppage for more than 3 months
 So I contacted, and after transmitting all the documents, and after having called many occasions by having different interlocutors each time who do not give the same information I received this day of interior a letter from no Receive here is what is indicated
 I accuse receipt of your compensation request for guarantees maintenance of salary premiums and allowances for periods from 26 10 to 15 11
 However, after studying your file I regret informing you that I cannot provide a favorable response for the following reason in accordance with mutual regulations within the framework of ordinary sickness leave for new members it is established a period one year internship following their registration for ordinary sickness leave concerning the wage maintenance guarantee and 6 months concerning the guarantee Maintaining premiums and compensation no claim occurred during this period will be guaranteed
Great I have never been informed of this
 I never received the conditions when they sent me the quote and the contract none of the interlocutors upstream and downstream of my judgment spoke to me
I have a salary of 1600 euros
2000 in November with my premium and 1600 in December
I underwent a loss of 2,000 euros with 1000 euros in monthly expenses
 This mutual lack of seriousness
 I am alone with a child and has no one to help me financially
 In addition, they increase my contributions by 25 percent from 40 euros monthly to 52 euros in 6 months
I will try to get closer to a consumer defense association</v>
      </c>
    </row>
    <row r="188" ht="15.75" customHeight="1">
      <c r="A188" s="2">
        <v>4.0</v>
      </c>
      <c r="B188" s="2" t="s">
        <v>637</v>
      </c>
      <c r="C188" s="2" t="s">
        <v>638</v>
      </c>
      <c r="D188" s="2" t="s">
        <v>41</v>
      </c>
      <c r="E188" s="2" t="s">
        <v>21</v>
      </c>
      <c r="F188" s="2" t="s">
        <v>15</v>
      </c>
      <c r="G188" s="2" t="s">
        <v>639</v>
      </c>
      <c r="H188" s="2" t="s">
        <v>28</v>
      </c>
      <c r="I188" s="2" t="str">
        <f>IFERROR(__xludf.DUMMYFUNCTION("GOOGLETRANSLATE(C188,""fr"",""en"")"),"I am very satisfied with the service, well received and informed by phone. The prices are correct, this is why I entrusted the insurance of my first house and especially that I have not lived in the accommodation for more than a year.")</f>
        <v>I am very satisfied with the service, well received and informed by phone. The prices are correct, this is why I entrusted the insurance of my first house and especially that I have not lived in the accommodation for more than a year.</v>
      </c>
    </row>
    <row r="189" ht="15.75" customHeight="1">
      <c r="A189" s="2">
        <v>3.0</v>
      </c>
      <c r="B189" s="2" t="s">
        <v>640</v>
      </c>
      <c r="C189" s="2" t="s">
        <v>641</v>
      </c>
      <c r="D189" s="2" t="s">
        <v>41</v>
      </c>
      <c r="E189" s="2" t="s">
        <v>21</v>
      </c>
      <c r="F189" s="2" t="s">
        <v>15</v>
      </c>
      <c r="G189" s="2" t="s">
        <v>642</v>
      </c>
      <c r="H189" s="2" t="s">
        <v>197</v>
      </c>
      <c r="I189" s="2" t="str">
        <f>IFERROR(__xludf.DUMMYFUNCTION("GOOGLETRANSLATE(C189,""fr"",""en"")"),"Frankly for auto insurance at third party maximum for my case, great, nothing to say !!!, very pro, especially they informed me about my insurance contract")</f>
        <v>Frankly for auto insurance at third party maximum for my case, great, nothing to say !!!, very pro, especially they informed me about my insurance contract</v>
      </c>
    </row>
    <row r="190" ht="15.75" customHeight="1">
      <c r="A190" s="2">
        <v>5.0</v>
      </c>
      <c r="B190" s="2" t="s">
        <v>643</v>
      </c>
      <c r="C190" s="2" t="s">
        <v>644</v>
      </c>
      <c r="D190" s="2" t="s">
        <v>91</v>
      </c>
      <c r="E190" s="2" t="s">
        <v>14</v>
      </c>
      <c r="F190" s="2" t="s">
        <v>15</v>
      </c>
      <c r="G190" s="2" t="s">
        <v>645</v>
      </c>
      <c r="H190" s="2" t="s">
        <v>78</v>
      </c>
      <c r="I190" s="2" t="str">
        <f>IFERROR(__xludf.DUMMYFUNCTION("GOOGLETRANSLATE(C190,""fr"",""en"")"),"I always go through brokers for my insurance whether for auto, health, house etc in terms of health I therefore went through santiane.fr following one of their advertising that I saw at TV and to be honest they have many more services than many other brok"&amp;"ers!")</f>
        <v>I always go through brokers for my insurance whether for auto, health, house etc in terms of health I therefore went through santiane.fr following one of their advertising that I saw at TV and to be honest they have many more services than many other brokers!</v>
      </c>
    </row>
    <row r="191" ht="15.75" customHeight="1">
      <c r="A191" s="2">
        <v>1.0</v>
      </c>
      <c r="B191" s="2" t="s">
        <v>646</v>
      </c>
      <c r="C191" s="2" t="s">
        <v>647</v>
      </c>
      <c r="D191" s="2" t="s">
        <v>31</v>
      </c>
      <c r="E191" s="2" t="s">
        <v>58</v>
      </c>
      <c r="F191" s="2" t="s">
        <v>15</v>
      </c>
      <c r="G191" s="2" t="s">
        <v>648</v>
      </c>
      <c r="H191" s="2" t="s">
        <v>74</v>
      </c>
      <c r="I191" s="2" t="str">
        <f>IFERROR(__xludf.DUMMYFUNCTION("GOOGLETRANSLATE(C191,""fr"",""en"")"),"Archi insurance! I can not stand it anymore ! Sinister water damage that has been lying in length for 1 year:
Macif without reaction, need to revive a lot of times for it to move, Exxx expert (not the right to give the name in the charter!) Who does not "&amp;"answer, then Exxx expert who responds after x reminders on my part and after many Time ..., Exxx expert who does not take into account all that there is to repair, Macif to revive and we leave from the start.
Macif insurance that never responds to emails"&amp;" sent via its online site and very difficult to have on the phone! Frankly my opinion? To flee !!!!! PS: I would really like a Macif manager to call me so that I would tell him my ordeal, I said my file number to do this!")</f>
        <v>Archi insurance! I can not stand it anymore ! Sinister water damage that has been lying in length for 1 year:
Macif without reaction, need to revive a lot of times for it to move, Exxx expert (not the right to give the name in the charter!) Who does not answer, then Exxx expert who responds after x reminders on my part and after many Time ..., Exxx expert who does not take into account all that there is to repair, Macif to revive and we leave from the start.
Macif insurance that never responds to emails sent via its online site and very difficult to have on the phone! Frankly my opinion? To flee !!!!! PS: I would really like a Macif manager to call me so that I would tell him my ordeal, I said my file number to do this!</v>
      </c>
    </row>
    <row r="192" ht="15.75" customHeight="1">
      <c r="A192" s="2">
        <v>1.0</v>
      </c>
      <c r="B192" s="2" t="s">
        <v>649</v>
      </c>
      <c r="C192" s="2" t="s">
        <v>650</v>
      </c>
      <c r="D192" s="2" t="s">
        <v>651</v>
      </c>
      <c r="E192" s="2" t="s">
        <v>14</v>
      </c>
      <c r="F192" s="2" t="s">
        <v>15</v>
      </c>
      <c r="G192" s="2" t="s">
        <v>652</v>
      </c>
      <c r="H192" s="2" t="s">
        <v>134</v>
      </c>
      <c r="I192" s="2" t="str">
        <f>IFERROR(__xludf.DUMMYFUNCTION("GOOGLETRANSLATE(C192,""fr"",""en"")"),"Mutual ghost to use if you need nothing. Do not respond to the quote and request for care and more unreachable by phone. There is only one solution to wait for the end of the contract, the broker who advised me in this choice already told me that nothing "&amp;"else and possible.
So double note 0 because nothing goes including the price since they reimburse when they want")</f>
        <v>Mutual ghost to use if you need nothing. Do not respond to the quote and request for care and more unreachable by phone. There is only one solution to wait for the end of the contract, the broker who advised me in this choice already told me that nothing else and possible.
So double note 0 because nothing goes including the price since they reimburse when they want</v>
      </c>
    </row>
    <row r="193" ht="15.75" customHeight="1">
      <c r="A193" s="2">
        <v>1.0</v>
      </c>
      <c r="B193" s="2" t="s">
        <v>653</v>
      </c>
      <c r="C193" s="2" t="s">
        <v>654</v>
      </c>
      <c r="D193" s="2" t="s">
        <v>121</v>
      </c>
      <c r="E193" s="2" t="s">
        <v>122</v>
      </c>
      <c r="F193" s="2" t="s">
        <v>15</v>
      </c>
      <c r="G193" s="2" t="s">
        <v>655</v>
      </c>
      <c r="H193" s="2" t="s">
        <v>100</v>
      </c>
      <c r="I193" s="2" t="str">
        <f>IFERROR(__xludf.DUMMYFUNCTION("GOOGLETRANSLATE(C193,""fr"",""en"")"),"All risk insurance with reimbursement to new vehicle: Result € 1,675 reimbursement for a scooter stolen within 3 months, purchased € 2200.
No accessories support?
No support for repairing and towing costs linked to the accident when my scooter was found"&amp;"?
More than 3 months to be reimbursed.
No response to emails sent.
MISERY.")</f>
        <v>All risk insurance with reimbursement to new vehicle: Result € 1,675 reimbursement for a scooter stolen within 3 months, purchased € 2200.
No accessories support?
No support for repairing and towing costs linked to the accident when my scooter was found?
More than 3 months to be reimbursed.
No response to emails sent.
MISERY.</v>
      </c>
    </row>
    <row r="194" ht="15.75" customHeight="1">
      <c r="A194" s="2">
        <v>1.0</v>
      </c>
      <c r="B194" s="2" t="s">
        <v>656</v>
      </c>
      <c r="C194" s="2" t="s">
        <v>657</v>
      </c>
      <c r="D194" s="2" t="s">
        <v>658</v>
      </c>
      <c r="E194" s="2" t="s">
        <v>195</v>
      </c>
      <c r="F194" s="2" t="s">
        <v>15</v>
      </c>
      <c r="G194" s="2" t="s">
        <v>659</v>
      </c>
      <c r="H194" s="2" t="s">
        <v>660</v>
      </c>
      <c r="I194" s="2" t="str">
        <f>IFERROR(__xludf.DUMMYFUNCTION("GOOGLETRANSLATE(C194,""fr"",""en"")"),"Impossible to join them to have an advisor. Make sure of customers. I have contacted my old email and phone advisor several times. No response. I will withdraw my money from this insurer. Who makes fun of his customers. High relational problem. A shame. 0"&amp;"+0 = 0 that makes fun of its customers.")</f>
        <v>Impossible to join them to have an advisor. Make sure of customers. I have contacted my old email and phone advisor several times. No response. I will withdraw my money from this insurer. Who makes fun of his customers. High relational problem. A shame. 0+0 = 0 that makes fun of its customers.</v>
      </c>
    </row>
    <row r="195" ht="15.75" customHeight="1">
      <c r="A195" s="2">
        <v>5.0</v>
      </c>
      <c r="B195" s="2" t="s">
        <v>661</v>
      </c>
      <c r="C195" s="2" t="s">
        <v>662</v>
      </c>
      <c r="D195" s="2" t="s">
        <v>13</v>
      </c>
      <c r="E195" s="2" t="s">
        <v>14</v>
      </c>
      <c r="F195" s="2" t="s">
        <v>15</v>
      </c>
      <c r="G195" s="2" t="s">
        <v>663</v>
      </c>
      <c r="H195" s="2" t="s">
        <v>497</v>
      </c>
      <c r="I195" s="2" t="str">
        <f>IFERROR(__xludf.DUMMYFUNCTION("GOOGLETRANSLATE(C195,""fr"",""en"")"),"The insurer Rali is very attentive who quickly answers, clearly and efficiently to the questions requested.")</f>
        <v>The insurer Rali is very attentive who quickly answers, clearly and efficiently to the questions requested.</v>
      </c>
    </row>
    <row r="196" ht="15.75" customHeight="1">
      <c r="A196" s="2">
        <v>4.0</v>
      </c>
      <c r="B196" s="2" t="s">
        <v>664</v>
      </c>
      <c r="C196" s="2" t="s">
        <v>665</v>
      </c>
      <c r="D196" s="2" t="s">
        <v>41</v>
      </c>
      <c r="E196" s="2" t="s">
        <v>21</v>
      </c>
      <c r="F196" s="2" t="s">
        <v>15</v>
      </c>
      <c r="G196" s="2" t="s">
        <v>223</v>
      </c>
      <c r="H196" s="2" t="s">
        <v>74</v>
      </c>
      <c r="I196" s="2" t="str">
        <f>IFERROR(__xludf.DUMMYFUNCTION("GOOGLETRANSLATE(C196,""fr"",""en"")"),"Simple and effective service, ease of entering the information as well as the subscription
Prices that are also quite advantageous hoping not to have a bad surprise if I have a problem
CORDIALLY")</f>
        <v>Simple and effective service, ease of entering the information as well as the subscription
Prices that are also quite advantageous hoping not to have a bad surprise if I have a problem
CORDIALLY</v>
      </c>
    </row>
    <row r="197" ht="15.75" customHeight="1">
      <c r="A197" s="2">
        <v>2.0</v>
      </c>
      <c r="B197" s="2" t="s">
        <v>666</v>
      </c>
      <c r="C197" s="2" t="s">
        <v>667</v>
      </c>
      <c r="D197" s="2" t="s">
        <v>668</v>
      </c>
      <c r="E197" s="2" t="s">
        <v>104</v>
      </c>
      <c r="F197" s="2" t="s">
        <v>15</v>
      </c>
      <c r="G197" s="2" t="s">
        <v>669</v>
      </c>
      <c r="H197" s="2" t="s">
        <v>309</v>
      </c>
      <c r="I197" s="2" t="str">
        <f>IFERROR(__xludf.DUMMYFUNCTION("GOOGLETRANSLATE(C197,""fr"",""en"")"),"They have never terminated my old insurance, I find myself paying 2 insurances and no longer even respond to my emails")</f>
        <v>They have never terminated my old insurance, I find myself paying 2 insurances and no longer even respond to my emails</v>
      </c>
    </row>
    <row r="198" ht="15.75" customHeight="1">
      <c r="A198" s="2">
        <v>4.0</v>
      </c>
      <c r="B198" s="2" t="s">
        <v>670</v>
      </c>
      <c r="C198" s="2" t="s">
        <v>671</v>
      </c>
      <c r="D198" s="2" t="s">
        <v>20</v>
      </c>
      <c r="E198" s="2" t="s">
        <v>21</v>
      </c>
      <c r="F198" s="2" t="s">
        <v>15</v>
      </c>
      <c r="G198" s="2" t="s">
        <v>672</v>
      </c>
      <c r="H198" s="2" t="s">
        <v>23</v>
      </c>
      <c r="I198" s="2" t="str">
        <f>IFERROR(__xludf.DUMMYFUNCTION("GOOGLETRANSLATE(C198,""fr"",""en"")"),"I am satisfied with my membership journey within the Insurance Olivier.
I hope my choice and my loyalty will be rewarded.
Thanking you")</f>
        <v>I am satisfied with my membership journey within the Insurance Olivier.
I hope my choice and my loyalty will be rewarded.
Thanking you</v>
      </c>
    </row>
    <row r="199" ht="15.75" customHeight="1">
      <c r="A199" s="2">
        <v>4.0</v>
      </c>
      <c r="B199" s="2" t="s">
        <v>673</v>
      </c>
      <c r="C199" s="2" t="s">
        <v>674</v>
      </c>
      <c r="D199" s="2" t="s">
        <v>20</v>
      </c>
      <c r="E199" s="2" t="s">
        <v>21</v>
      </c>
      <c r="F199" s="2" t="s">
        <v>15</v>
      </c>
      <c r="G199" s="2" t="s">
        <v>675</v>
      </c>
      <c r="H199" s="2" t="s">
        <v>51</v>
      </c>
      <c r="I199" s="2" t="str">
        <f>IFERROR(__xludf.DUMMYFUNCTION("GOOGLETRANSLATE(C199,""fr"",""en"")"),"The prices are low for young drivers, with few franchises and any risk.
To see in time, unbeatable on prices these on!
good brood")</f>
        <v>The prices are low for young drivers, with few franchises and any risk.
To see in time, unbeatable on prices these on!
good brood</v>
      </c>
    </row>
    <row r="200" ht="15.75" customHeight="1">
      <c r="A200" s="2">
        <v>1.0</v>
      </c>
      <c r="B200" s="2" t="s">
        <v>676</v>
      </c>
      <c r="C200" s="2" t="s">
        <v>677</v>
      </c>
      <c r="D200" s="2" t="s">
        <v>678</v>
      </c>
      <c r="E200" s="2" t="s">
        <v>21</v>
      </c>
      <c r="F200" s="2" t="s">
        <v>15</v>
      </c>
      <c r="G200" s="2" t="s">
        <v>679</v>
      </c>
      <c r="H200" s="2" t="s">
        <v>124</v>
      </c>
      <c r="I200" s="2" t="str">
        <f>IFERROR(__xludf.DUMMYFUNCTION("GOOGLETRANSLATE(C200,""fr"",""en"")"),"The advisers are rude, aggressive, you are forced to change your contractual data according to their convenience following a telephone conversation: they do what they want, they abuse to manipulate their customers!")</f>
        <v>The advisers are rude, aggressive, you are forced to change your contractual data according to their convenience following a telephone conversation: they do what they want, they abuse to manipulate their customers!</v>
      </c>
    </row>
    <row r="201" ht="15.75" customHeight="1">
      <c r="A201" s="2">
        <v>5.0</v>
      </c>
      <c r="B201" s="2" t="s">
        <v>680</v>
      </c>
      <c r="C201" s="2" t="s">
        <v>681</v>
      </c>
      <c r="D201" s="2" t="s">
        <v>20</v>
      </c>
      <c r="E201" s="2" t="s">
        <v>21</v>
      </c>
      <c r="F201" s="2" t="s">
        <v>15</v>
      </c>
      <c r="G201" s="2" t="s">
        <v>682</v>
      </c>
      <c r="H201" s="2" t="s">
        <v>17</v>
      </c>
      <c r="I201" s="2" t="str">
        <f>IFERROR(__xludf.DUMMYFUNCTION("GOOGLETRANSLATE(C201,""fr"",""en"")"),"Nickel! Fluid super easy to use fast use everything is done by the Internet you just have to take a photo of your papers and send them directly from the personal space I recommend this insurance it is cheap and serious")</f>
        <v>Nickel! Fluid super easy to use fast use everything is done by the Internet you just have to take a photo of your papers and send them directly from the personal space I recommend this insurance it is cheap and serious</v>
      </c>
    </row>
    <row r="202" ht="15.75" customHeight="1">
      <c r="A202" s="2">
        <v>4.0</v>
      </c>
      <c r="B202" s="2" t="s">
        <v>683</v>
      </c>
      <c r="C202" s="2" t="s">
        <v>684</v>
      </c>
      <c r="D202" s="2" t="s">
        <v>41</v>
      </c>
      <c r="E202" s="2" t="s">
        <v>21</v>
      </c>
      <c r="F202" s="2" t="s">
        <v>15</v>
      </c>
      <c r="G202" s="2" t="s">
        <v>685</v>
      </c>
      <c r="H202" s="2" t="s">
        <v>74</v>
      </c>
      <c r="I202" s="2" t="str">
        <f>IFERROR(__xludf.DUMMYFUNCTION("GOOGLETRANSLATE(C202,""fr"",""en"")"),"Site very easy to use, the prices are attractive. I had no difficulty filling out the file to have the car insurance quote. Thanks")</f>
        <v>Site very easy to use, the prices are attractive. I had no difficulty filling out the file to have the car insurance quote. Thanks</v>
      </c>
    </row>
    <row r="203" ht="15.75" customHeight="1">
      <c r="A203" s="2">
        <v>3.0</v>
      </c>
      <c r="B203" s="2" t="s">
        <v>686</v>
      </c>
      <c r="C203" s="2" t="s">
        <v>687</v>
      </c>
      <c r="D203" s="2" t="s">
        <v>41</v>
      </c>
      <c r="E203" s="2" t="s">
        <v>21</v>
      </c>
      <c r="F203" s="2" t="s">
        <v>15</v>
      </c>
      <c r="G203" s="2" t="s">
        <v>688</v>
      </c>
      <c r="H203" s="2" t="s">
        <v>689</v>
      </c>
      <c r="I203" s="2" t="str">
        <f>IFERROR(__xludf.DUMMYFUNCTION("GOOGLETRANSLATE(C203,""fr"",""en"")"),"Well between 2010-2015
I find that there is a relaxation of the call center teams
Very important I wanted to give in my vehicle but my blocked sinister file prevented me from making a decision because it is administratively bloblovous at Direct Insura"&amp;"nce.")</f>
        <v>Well between 2010-2015
I find that there is a relaxation of the call center teams
Very important I wanted to give in my vehicle but my blocked sinister file prevented me from making a decision because it is administratively bloblovous at Direct Insurance.</v>
      </c>
    </row>
    <row r="204" ht="15.75" customHeight="1">
      <c r="A204" s="2">
        <v>1.0</v>
      </c>
      <c r="B204" s="2" t="s">
        <v>690</v>
      </c>
      <c r="C204" s="2" t="s">
        <v>691</v>
      </c>
      <c r="D204" s="2" t="s">
        <v>36</v>
      </c>
      <c r="E204" s="2" t="s">
        <v>58</v>
      </c>
      <c r="F204" s="2" t="s">
        <v>15</v>
      </c>
      <c r="G204" s="2" t="s">
        <v>692</v>
      </c>
      <c r="H204" s="2" t="s">
        <v>693</v>
      </c>
      <c r="I204" s="2" t="str">
        <f>IFERROR(__xludf.DUMMYFUNCTION("GOOGLETRANSLATE(C204,""fr"",""en"")"),"If you want to have to manage the procedure alone go ahead!
It feels like having to manage on your own. No correct follow -up of the file. We have to make the connection with the expert and the company in charge of work. No one is properly informed of th"&amp;"e progress of the file. We must constantly go to fishing for information. Without counting the errors in the instructions given, the last being a deductible payment requirement when we are not responsible and that the third party is identified and recogni"&amp;"zed its responsibility, that the observations have been established in good and due form.")</f>
        <v>If you want to have to manage the procedure alone go ahead!
It feels like having to manage on your own. No correct follow -up of the file. We have to make the connection with the expert and the company in charge of work. No one is properly informed of the progress of the file. We must constantly go to fishing for information. Without counting the errors in the instructions given, the last being a deductible payment requirement when we are not responsible and that the third party is identified and recognized its responsibility, that the observations have been established in good and due form.</v>
      </c>
    </row>
    <row r="205" ht="15.75" customHeight="1">
      <c r="A205" s="2">
        <v>3.0</v>
      </c>
      <c r="B205" s="2" t="s">
        <v>694</v>
      </c>
      <c r="C205" s="2" t="s">
        <v>695</v>
      </c>
      <c r="D205" s="2" t="s">
        <v>172</v>
      </c>
      <c r="E205" s="2" t="s">
        <v>14</v>
      </c>
      <c r="F205" s="2" t="s">
        <v>15</v>
      </c>
      <c r="G205" s="2" t="s">
        <v>696</v>
      </c>
      <c r="H205" s="2" t="s">
        <v>231</v>
      </c>
      <c r="I205" s="2" t="str">
        <f>IFERROR(__xludf.DUMMYFUNCTION("GOOGLETRANSLATE(C205,""fr"",""en"")"),"Mutual always present alongside us. I am completely satisfied.")</f>
        <v>Mutual always present alongside us. I am completely satisfied.</v>
      </c>
    </row>
    <row r="206" ht="15.75" customHeight="1">
      <c r="A206" s="2">
        <v>4.0</v>
      </c>
      <c r="B206" s="2" t="s">
        <v>697</v>
      </c>
      <c r="C206" s="2" t="s">
        <v>698</v>
      </c>
      <c r="D206" s="2" t="s">
        <v>91</v>
      </c>
      <c r="E206" s="2" t="s">
        <v>14</v>
      </c>
      <c r="F206" s="2" t="s">
        <v>15</v>
      </c>
      <c r="G206" s="2" t="s">
        <v>699</v>
      </c>
      <c r="H206" s="2" t="s">
        <v>453</v>
      </c>
      <c r="I206" s="2" t="str">
        <f>IFERROR(__xludf.DUMMYFUNCTION("GOOGLETRANSLATE(C206,""fr"",""en"")"),"Impeccable communication service ok
Too bad the telephonic service is so binding (quarraining discharge when you are called after it is ok
I wish you a good day ..............")</f>
        <v>Impeccable communication service ok
Too bad the telephonic service is so binding (quarraining discharge when you are called after it is ok
I wish you a good day ..............</v>
      </c>
    </row>
    <row r="207" ht="15.75" customHeight="1">
      <c r="A207" s="2">
        <v>2.0</v>
      </c>
      <c r="B207" s="2" t="s">
        <v>700</v>
      </c>
      <c r="C207" s="2" t="s">
        <v>701</v>
      </c>
      <c r="D207" s="2" t="s">
        <v>63</v>
      </c>
      <c r="E207" s="2" t="s">
        <v>14</v>
      </c>
      <c r="F207" s="2" t="s">
        <v>15</v>
      </c>
      <c r="G207" s="2" t="s">
        <v>188</v>
      </c>
      <c r="H207" s="2" t="s">
        <v>28</v>
      </c>
      <c r="I207" s="2" t="str">
        <f>IFERROR(__xludf.DUMMYFUNCTION("GOOGLETRANSLATE(C207,""fr"",""en"")"),"It is a disaster lately at Mercer. Over 2 to 4 months to repay. No response to emails.
I can't take it anymore, I have been waiting for a dental implant refund for 2 months, I am 5 reminders. Ditto on October care reimbursed in January.
I don't know wha"&amp;"t's going on at home.
And if we call, the advisers know nothing and are unable to answer.
It is my business mutual, I went back to the social partners.
To run away absolutely, it must be made known by the networks
")</f>
        <v>It is a disaster lately at Mercer. Over 2 to 4 months to repay. No response to emails.
I can't take it anymore, I have been waiting for a dental implant refund for 2 months, I am 5 reminders. Ditto on October care reimbursed in January.
I don't know what's going on at home.
And if we call, the advisers know nothing and are unable to answer.
It is my business mutual, I went back to the social partners.
To run away absolutely, it must be made known by the networks
</v>
      </c>
    </row>
    <row r="208" ht="15.75" customHeight="1">
      <c r="A208" s="2">
        <v>5.0</v>
      </c>
      <c r="B208" s="2" t="s">
        <v>702</v>
      </c>
      <c r="C208" s="2" t="s">
        <v>703</v>
      </c>
      <c r="D208" s="2" t="s">
        <v>41</v>
      </c>
      <c r="E208" s="2" t="s">
        <v>21</v>
      </c>
      <c r="F208" s="2" t="s">
        <v>15</v>
      </c>
      <c r="G208" s="2" t="s">
        <v>619</v>
      </c>
      <c r="H208" s="2" t="s">
        <v>74</v>
      </c>
      <c r="I208" s="2" t="str">
        <f>IFERROR(__xludf.DUMMYFUNCTION("GOOGLETRANSLATE(C208,""fr"",""en"")"),"Very well very sastifs I recommend
Quick quote online advisor as the disposition of the customer always pleasant with clear answers is clear is we direct us very well during the procedures")</f>
        <v>Very well very sastifs I recommend
Quick quote online advisor as the disposition of the customer always pleasant with clear answers is clear is we direct us very well during the procedures</v>
      </c>
    </row>
    <row r="209" ht="15.75" customHeight="1">
      <c r="A209" s="2">
        <v>1.0</v>
      </c>
      <c r="B209" s="2" t="s">
        <v>704</v>
      </c>
      <c r="C209" s="2" t="s">
        <v>705</v>
      </c>
      <c r="D209" s="2" t="s">
        <v>41</v>
      </c>
      <c r="E209" s="2" t="s">
        <v>21</v>
      </c>
      <c r="F209" s="2" t="s">
        <v>15</v>
      </c>
      <c r="G209" s="2" t="s">
        <v>305</v>
      </c>
      <c r="H209" s="2" t="s">
        <v>134</v>
      </c>
      <c r="I209" s="2" t="str">
        <f>IFERROR(__xludf.DUMMYFUNCTION("GOOGLETRANSLATE(C209,""fr"",""en"")"),"I do not advise direct insurance at all. Already they refuse to take care of us if we have a problem within 50 km from his home.
For this year 2021, I had the pleasant surprise to see my subscription increase by more than 8%. However, I had no accident o"&amp;"r hanging. In 2020 the number of accidents is down in France, thank you confinement!
No tangible element justifies such an increase, by the goodwill of direct insurance.
Today my insurance costs me more than during my subscription, that's 5 years ago. T"&amp;"his is the second opinion that I put because the first was refused to me. For them, the truth should not be known. Be careful if you choose to subscribe, read the small tiny lines well ...")</f>
        <v>I do not advise direct insurance at all. Already they refuse to take care of us if we have a problem within 50 km from his home.
For this year 2021, I had the pleasant surprise to see my subscription increase by more than 8%. However, I had no accident or hanging. In 2020 the number of accidents is down in France, thank you confinement!
No tangible element justifies such an increase, by the goodwill of direct insurance.
Today my insurance costs me more than during my subscription, that's 5 years ago. This is the second opinion that I put because the first was refused to me. For them, the truth should not be known. Be careful if you choose to subscribe, read the small tiny lines well ...</v>
      </c>
    </row>
    <row r="210" ht="15.75" customHeight="1">
      <c r="A210" s="2">
        <v>1.0</v>
      </c>
      <c r="B210" s="2" t="s">
        <v>706</v>
      </c>
      <c r="C210" s="2" t="s">
        <v>707</v>
      </c>
      <c r="D210" s="2" t="s">
        <v>592</v>
      </c>
      <c r="E210" s="2" t="s">
        <v>14</v>
      </c>
      <c r="F210" s="2" t="s">
        <v>15</v>
      </c>
      <c r="G210" s="2" t="s">
        <v>708</v>
      </c>
      <c r="H210" s="2" t="s">
        <v>110</v>
      </c>
      <c r="I210" s="2" t="str">
        <f>IFERROR(__xludf.DUMMYFUNCTION("GOOGLETRANSLATE(C210,""fr"",""en"")"),"Anyway, I hope that Cocoon customers will not be trapped and will quickly send their resignation letter like me.")</f>
        <v>Anyway, I hope that Cocoon customers will not be trapped and will quickly send their resignation letter like me.</v>
      </c>
    </row>
    <row r="211" ht="15.75" customHeight="1">
      <c r="A211" s="2">
        <v>5.0</v>
      </c>
      <c r="B211" s="2" t="s">
        <v>709</v>
      </c>
      <c r="C211" s="2" t="s">
        <v>710</v>
      </c>
      <c r="D211" s="2" t="s">
        <v>41</v>
      </c>
      <c r="E211" s="2" t="s">
        <v>21</v>
      </c>
      <c r="F211" s="2" t="s">
        <v>15</v>
      </c>
      <c r="G211" s="2" t="s">
        <v>711</v>
      </c>
      <c r="H211" s="2" t="s">
        <v>118</v>
      </c>
      <c r="I211" s="2" t="str">
        <f>IFERROR(__xludf.DUMMYFUNCTION("GOOGLETRANSLATE(C211,""fr"",""en"")"),"I am satisfied, less dear that all the other damage that there is no monthly payment otherwise it's great
Fast and efficient everything goes on the application")</f>
        <v>I am satisfied, less dear that all the other damage that there is no monthly payment otherwise it's great
Fast and efficient everything goes on the application</v>
      </c>
    </row>
    <row r="212" ht="15.75" customHeight="1">
      <c r="A212" s="2">
        <v>2.0</v>
      </c>
      <c r="B212" s="2" t="s">
        <v>712</v>
      </c>
      <c r="C212" s="2" t="s">
        <v>713</v>
      </c>
      <c r="D212" s="2" t="s">
        <v>121</v>
      </c>
      <c r="E212" s="2" t="s">
        <v>122</v>
      </c>
      <c r="F212" s="2" t="s">
        <v>15</v>
      </c>
      <c r="G212" s="2" t="s">
        <v>714</v>
      </c>
      <c r="H212" s="2" t="s">
        <v>416</v>
      </c>
      <c r="I212" s="2" t="str">
        <f>IFERROR(__xludf.DUMMYFUNCTION("GOOGLETRANSLATE(C212,""fr"",""en"")"),"Insured for years at AMV ... I am experiencing their lack of professionalism !! To be advised; the assistance and advice of a real insurer in litigious situations are precious")</f>
        <v>Insured for years at AMV ... I am experiencing their lack of professionalism !! To be advised; the assistance and advice of a real insurer in litigious situations are precious</v>
      </c>
    </row>
    <row r="213" ht="15.75" customHeight="1">
      <c r="A213" s="2">
        <v>1.0</v>
      </c>
      <c r="B213" s="2" t="s">
        <v>715</v>
      </c>
      <c r="C213" s="2" t="s">
        <v>716</v>
      </c>
      <c r="D213" s="2" t="s">
        <v>41</v>
      </c>
      <c r="E213" s="2" t="s">
        <v>21</v>
      </c>
      <c r="F213" s="2" t="s">
        <v>15</v>
      </c>
      <c r="G213" s="2" t="s">
        <v>54</v>
      </c>
      <c r="H213" s="2" t="s">
        <v>55</v>
      </c>
      <c r="I213" s="2" t="str">
        <f>IFERROR(__xludf.DUMMYFUNCTION("GOOGLETRANSLATE(C213,""fr"",""en"")"),"Constantly increasing price despite the seniority of the vehicle, no information from advisers on this subject.")</f>
        <v>Constantly increasing price despite the seniority of the vehicle, no information from advisers on this subject.</v>
      </c>
    </row>
    <row r="214" ht="15.75" customHeight="1">
      <c r="A214" s="2">
        <v>5.0</v>
      </c>
      <c r="B214" s="2" t="s">
        <v>717</v>
      </c>
      <c r="C214" s="2" t="s">
        <v>718</v>
      </c>
      <c r="D214" s="2" t="s">
        <v>121</v>
      </c>
      <c r="E214" s="2" t="s">
        <v>122</v>
      </c>
      <c r="F214" s="2" t="s">
        <v>15</v>
      </c>
      <c r="G214" s="2" t="s">
        <v>719</v>
      </c>
      <c r="H214" s="2" t="s">
        <v>372</v>
      </c>
      <c r="I214" s="2" t="str">
        <f>IFERROR(__xludf.DUMMYFUNCTION("GOOGLETRANSLATE(C214,""fr"",""en"")"),"Top customer service, always very simple with them and without surprises. I strongly advise them, the scooter rates are incomparable with my other insurance. What to say more .................................")</f>
        <v>Top customer service, always very simple with them and without surprises. I strongly advise them, the scooter rates are incomparable with my other insurance. What to say more .................................</v>
      </c>
    </row>
    <row r="215" ht="15.75" customHeight="1">
      <c r="A215" s="2">
        <v>3.0</v>
      </c>
      <c r="B215" s="2" t="s">
        <v>720</v>
      </c>
      <c r="C215" s="2" t="s">
        <v>721</v>
      </c>
      <c r="D215" s="2" t="s">
        <v>20</v>
      </c>
      <c r="E215" s="2" t="s">
        <v>21</v>
      </c>
      <c r="F215" s="2" t="s">
        <v>15</v>
      </c>
      <c r="G215" s="2" t="s">
        <v>722</v>
      </c>
      <c r="H215" s="2" t="s">
        <v>134</v>
      </c>
      <c r="I215" s="2" t="str">
        <f>IFERROR(__xludf.DUMMYFUNCTION("GOOGLETRANSLATE(C215,""fr"",""en"")"),"I will give my opinion over time it makes a few months.")</f>
        <v>I will give my opinion over time it makes a few months.</v>
      </c>
    </row>
    <row r="216" ht="15.75" customHeight="1">
      <c r="A216" s="2">
        <v>5.0</v>
      </c>
      <c r="B216" s="2" t="s">
        <v>723</v>
      </c>
      <c r="C216" s="2" t="s">
        <v>724</v>
      </c>
      <c r="D216" s="2" t="s">
        <v>36</v>
      </c>
      <c r="E216" s="2" t="s">
        <v>58</v>
      </c>
      <c r="F216" s="2" t="s">
        <v>15</v>
      </c>
      <c r="G216" s="2" t="s">
        <v>725</v>
      </c>
      <c r="H216" s="2" t="s">
        <v>726</v>
      </c>
      <c r="I216" s="2" t="str">
        <f>IFERROR(__xludf.DUMMYFUNCTION("GOOGLETRANSLATE(C216,""fr"",""en"")"),"Insurer present in the event of a claim (so when you need it), serious, responsive and reachable, I am not ready to change.
In addition, the maif does not take its insured for pigeons and they do not question your honesty in the event of a disaster, conf"&amp;"idence is there.")</f>
        <v>Insurer present in the event of a claim (so when you need it), serious, responsive and reachable, I am not ready to change.
In addition, the maif does not take its insured for pigeons and they do not question your honesty in the event of a disaster, confidence is there.</v>
      </c>
    </row>
    <row r="217" ht="15.75" customHeight="1">
      <c r="A217" s="2">
        <v>5.0</v>
      </c>
      <c r="B217" s="2" t="s">
        <v>727</v>
      </c>
      <c r="C217" s="2" t="s">
        <v>728</v>
      </c>
      <c r="D217" s="2" t="s">
        <v>41</v>
      </c>
      <c r="E217" s="2" t="s">
        <v>21</v>
      </c>
      <c r="F217" s="2" t="s">
        <v>15</v>
      </c>
      <c r="G217" s="2" t="s">
        <v>729</v>
      </c>
      <c r="H217" s="2" t="s">
        <v>42</v>
      </c>
      <c r="I217" s="2" t="str">
        <f>IFERROR(__xludf.DUMMYFUNCTION("GOOGLETRANSLATE(C217,""fr"",""en"")"),"Listening to customers, very clear in the answers to the questions, rather reasonable prices, and fan of the ""Youdrive"" concept
I highly recommend direct insurance")</f>
        <v>Listening to customers, very clear in the answers to the questions, rather reasonable prices, and fan of the "Youdrive" concept
I highly recommend direct insurance</v>
      </c>
    </row>
    <row r="218" ht="15.75" customHeight="1">
      <c r="A218" s="2">
        <v>1.0</v>
      </c>
      <c r="B218" s="2" t="s">
        <v>730</v>
      </c>
      <c r="C218" s="2" t="s">
        <v>731</v>
      </c>
      <c r="D218" s="2" t="s">
        <v>31</v>
      </c>
      <c r="E218" s="2" t="s">
        <v>58</v>
      </c>
      <c r="F218" s="2" t="s">
        <v>15</v>
      </c>
      <c r="G218" s="2" t="s">
        <v>732</v>
      </c>
      <c r="H218" s="2" t="s">
        <v>320</v>
      </c>
      <c r="I218" s="2" t="str">
        <f>IFERROR(__xludf.DUMMYFUNCTION("GOOGLETRANSLATE(C218,""fr"",""en"")"),"No follow -up in the total contempt file of emails total incompetence with non -argued responses and referral is the standard. Exorbitant prix: service rendered 0 pointed. Losing a customer does not disrupt anyone, however: 2250 euros annual ???")</f>
        <v>No follow -up in the total contempt file of emails total incompetence with non -argued responses and referral is the standard. Exorbitant prix: service rendered 0 pointed. Losing a customer does not disrupt anyone, however: 2250 euros annual ???</v>
      </c>
    </row>
    <row r="219" ht="15.75" customHeight="1">
      <c r="A219" s="2">
        <v>1.0</v>
      </c>
      <c r="B219" s="2" t="s">
        <v>733</v>
      </c>
      <c r="C219" s="2" t="s">
        <v>734</v>
      </c>
      <c r="D219" s="2" t="s">
        <v>20</v>
      </c>
      <c r="E219" s="2" t="s">
        <v>21</v>
      </c>
      <c r="F219" s="2" t="s">
        <v>15</v>
      </c>
      <c r="G219" s="2" t="s">
        <v>735</v>
      </c>
      <c r="H219" s="2" t="s">
        <v>47</v>
      </c>
      <c r="I219" s="2" t="str">
        <f>IFERROR(__xludf.DUMMYFUNCTION("GOOGLETRANSLATE(C219,""fr"",""en"")"),"I am completely not satisfied with this insurance, it is the worst insurance to my taste I strongly advise against, from the flight to the pure state because under the pretext ""young driver""")</f>
        <v>I am completely not satisfied with this insurance, it is the worst insurance to my taste I strongly advise against, from the flight to the pure state because under the pretext "young driver"</v>
      </c>
    </row>
    <row r="220" ht="15.75" customHeight="1">
      <c r="A220" s="2">
        <v>4.0</v>
      </c>
      <c r="B220" s="2" t="s">
        <v>736</v>
      </c>
      <c r="C220" s="2" t="s">
        <v>737</v>
      </c>
      <c r="D220" s="2" t="s">
        <v>20</v>
      </c>
      <c r="E220" s="2" t="s">
        <v>21</v>
      </c>
      <c r="F220" s="2" t="s">
        <v>15</v>
      </c>
      <c r="G220" s="2" t="s">
        <v>738</v>
      </c>
      <c r="H220" s="2" t="s">
        <v>55</v>
      </c>
      <c r="I220" s="2" t="str">
        <f>IFERROR(__xludf.DUMMYFUNCTION("GOOGLETRANSLATE(C220,""fr"",""en"")"),"Hello,
I am satisfied with the service as well as the listening and the help provided by those of customer service when I made a quote.
The prices are relatively correct in your home, hence the addition of the second family vehicle.
I hope it will la"&amp;"st over time ...
Cordially,
David Vauriac.")</f>
        <v>Hello,
I am satisfied with the service as well as the listening and the help provided by those of customer service when I made a quote.
The prices are relatively correct in your home, hence the addition of the second family vehicle.
I hope it will last over time ...
Cordially,
David Vauriac.</v>
      </c>
    </row>
    <row r="221" ht="15.75" customHeight="1">
      <c r="A221" s="2">
        <v>4.0</v>
      </c>
      <c r="B221" s="2" t="s">
        <v>739</v>
      </c>
      <c r="C221" s="2" t="s">
        <v>740</v>
      </c>
      <c r="D221" s="2" t="s">
        <v>116</v>
      </c>
      <c r="E221" s="2" t="s">
        <v>58</v>
      </c>
      <c r="F221" s="2" t="s">
        <v>15</v>
      </c>
      <c r="G221" s="2" t="s">
        <v>741</v>
      </c>
      <c r="H221" s="2" t="s">
        <v>88</v>
      </c>
      <c r="I221" s="2" t="str">
        <f>IFERROR(__xludf.DUMMYFUNCTION("GOOGLETRANSLATE(C221,""fr"",""en"")"),"I am satisfied with this insurer following the change of holder following death, unlike my car insurer. It was done in no way with an advisor to listen to me.")</f>
        <v>I am satisfied with this insurer following the change of holder following death, unlike my car insurer. It was done in no way with an advisor to listen to me.</v>
      </c>
    </row>
    <row r="222" ht="15.75" customHeight="1">
      <c r="A222" s="2">
        <v>1.0</v>
      </c>
      <c r="B222" s="2" t="s">
        <v>742</v>
      </c>
      <c r="C222" s="2" t="s">
        <v>743</v>
      </c>
      <c r="D222" s="2" t="s">
        <v>605</v>
      </c>
      <c r="E222" s="2" t="s">
        <v>195</v>
      </c>
      <c r="F222" s="2" t="s">
        <v>15</v>
      </c>
      <c r="G222" s="2" t="s">
        <v>744</v>
      </c>
      <c r="H222" s="2" t="s">
        <v>197</v>
      </c>
      <c r="I222" s="2" t="str">
        <f>IFERROR(__xludf.DUMMYFUNCTION("GOOGLETRANSLATE(C222,""fr"",""en"")"),"Hello,
I have been contributing for 2 years now to AG2R La Mondiale, compulsory foresight of my company. Since the birth of my daughter I have also contributed for her. However I have not received any card for her or proof that she is well affiliated d"&amp;"espite the many requests from my HR service. I start to accumulate a certain number of reimbursements, for 15 months that my daughter was born but impossible to contact anyone, it is the desert. I asked in my turn via online service but I have only receiv"&amp;"ed an automatic response so far.
I strongly advise against this provident. TO BAN !!!")</f>
        <v>Hello,
I have been contributing for 2 years now to AG2R La Mondiale, compulsory foresight of my company. Since the birth of my daughter I have also contributed for her. However I have not received any card for her or proof that she is well affiliated despite the many requests from my HR service. I start to accumulate a certain number of reimbursements, for 15 months that my daughter was born but impossible to contact anyone, it is the desert. I asked in my turn via online service but I have only received an automatic response so far.
I strongly advise against this provident. TO BAN !!!</v>
      </c>
    </row>
    <row r="223" ht="15.75" customHeight="1">
      <c r="A223" s="2">
        <v>2.0</v>
      </c>
      <c r="B223" s="2" t="s">
        <v>745</v>
      </c>
      <c r="C223" s="2" t="s">
        <v>746</v>
      </c>
      <c r="D223" s="2" t="s">
        <v>395</v>
      </c>
      <c r="E223" s="2" t="s">
        <v>122</v>
      </c>
      <c r="F223" s="2" t="s">
        <v>15</v>
      </c>
      <c r="G223" s="2" t="s">
        <v>511</v>
      </c>
      <c r="H223" s="2" t="s">
        <v>320</v>
      </c>
      <c r="I223" s="2" t="str">
        <f>IFERROR(__xludf.DUMMYFUNCTION("GOOGLETRANSLATE(C223,""fr"",""en"")"),"Following body accident.
Like a lot of insurance, they don't care about us ...
Unacceptable and unacceptable compensation time.
Soon 3 years and still compensated to date.
The compensation department sends me an email asking me to remind them that in "&amp;"the morning ...
After many calls (in the morning) still answering machine ...
Once had, nobody can be lovable who sends me a farty ...
I explain to him that I call, because an email asks me to do it ....
In short, all the same ...
Pay your contributi"&amp;"ons immediately and without delay, if not, you will suffer the anger of the gods insurers ...
But when you need us .... we are only good to wait, wait, and always wait ...
That's wonderful....")</f>
        <v>Following body accident.
Like a lot of insurance, they don't care about us ...
Unacceptable and unacceptable compensation time.
Soon 3 years and still compensated to date.
The compensation department sends me an email asking me to remind them that in the morning ...
After many calls (in the morning) still answering machine ...
Once had, nobody can be lovable who sends me a farty ...
I explain to him that I call, because an email asks me to do it ....
In short, all the same ...
Pay your contributions immediately and without delay, if not, you will suffer the anger of the gods insurers ...
But when you need us .... we are only good to wait, wait, and always wait ...
That's wonderful....</v>
      </c>
    </row>
    <row r="224" ht="15.75" customHeight="1">
      <c r="A224" s="2">
        <v>1.0</v>
      </c>
      <c r="B224" s="2" t="s">
        <v>747</v>
      </c>
      <c r="C224" s="2" t="s">
        <v>748</v>
      </c>
      <c r="D224" s="2" t="s">
        <v>298</v>
      </c>
      <c r="E224" s="2" t="s">
        <v>195</v>
      </c>
      <c r="F224" s="2" t="s">
        <v>15</v>
      </c>
      <c r="G224" s="2" t="s">
        <v>749</v>
      </c>
      <c r="H224" s="2" t="s">
        <v>292</v>
      </c>
      <c r="I224" s="2" t="str">
        <f>IFERROR(__xludf.DUMMYFUNCTION("GOOGLETRANSLATE(C224,""fr"",""en"")"),"I dedicated my life insurance at Swisslife I have already paid the sum of 17600.-CHF for swisslife the buyout value is 9400.-CHF which is 8200.- Account holding costs and the risks of 'insurance. It is for 12 years: 683.-CHF per year I find it exorbitant "&amp;"a v ... organized.
So you have to think very well before getting involved with these insurances.
On a simple account I would have been better paid.
You should not fall sick and no longer be able to work, because if you need your money before the end of"&amp;" the contract we take the half.
")</f>
        <v>I dedicated my life insurance at Swisslife I have already paid the sum of 17600.-CHF for swisslife the buyout value is 9400.-CHF which is 8200.- Account holding costs and the risks of 'insurance. It is for 12 years: 683.-CHF per year I find it exorbitant a v ... organized.
So you have to think very well before getting involved with these insurances.
On a simple account I would have been better paid.
You should not fall sick and no longer be able to work, because if you need your money before the end of the contract we take the half.
</v>
      </c>
    </row>
    <row r="225" ht="15.75" customHeight="1">
      <c r="A225" s="2">
        <v>4.0</v>
      </c>
      <c r="B225" s="2" t="s">
        <v>750</v>
      </c>
      <c r="C225" s="2" t="s">
        <v>751</v>
      </c>
      <c r="D225" s="2" t="s">
        <v>41</v>
      </c>
      <c r="E225" s="2" t="s">
        <v>21</v>
      </c>
      <c r="F225" s="2" t="s">
        <v>15</v>
      </c>
      <c r="G225" s="2" t="s">
        <v>752</v>
      </c>
      <c r="H225" s="2" t="s">
        <v>74</v>
      </c>
      <c r="I225" s="2" t="str">
        <f>IFERROR(__xludf.DUMMYFUNCTION("GOOGLETRANSLATE(C225,""fr"",""en"")"),"I am satisfied with the price and insurance conditions for my repair vehicle and having the permit for years and never having an accident even at the professional level")</f>
        <v>I am satisfied with the price and insurance conditions for my repair vehicle and having the permit for years and never having an accident even at the professional level</v>
      </c>
    </row>
    <row r="226" ht="15.75" customHeight="1">
      <c r="A226" s="2">
        <v>5.0</v>
      </c>
      <c r="B226" s="2" t="s">
        <v>753</v>
      </c>
      <c r="C226" s="2" t="s">
        <v>754</v>
      </c>
      <c r="D226" s="2" t="s">
        <v>41</v>
      </c>
      <c r="E226" s="2" t="s">
        <v>21</v>
      </c>
      <c r="F226" s="2" t="s">
        <v>15</v>
      </c>
      <c r="G226" s="2" t="s">
        <v>755</v>
      </c>
      <c r="H226" s="2" t="s">
        <v>42</v>
      </c>
      <c r="I226" s="2" t="str">
        <f>IFERROR(__xludf.DUMMYFUNCTION("GOOGLETRANSLATE(C226,""fr"",""en"")"),"I satisfy the service and price and the quality of listening of the person I did the contract with.
Nice, cooperative and common sense of work and orient the new customer.")</f>
        <v>I satisfy the service and price and the quality of listening of the person I did the contract with.
Nice, cooperative and common sense of work and orient the new customer.</v>
      </c>
    </row>
    <row r="227" ht="15.75" customHeight="1">
      <c r="A227" s="2">
        <v>2.0</v>
      </c>
      <c r="B227" s="2" t="s">
        <v>756</v>
      </c>
      <c r="C227" s="2" t="s">
        <v>757</v>
      </c>
      <c r="D227" s="2" t="s">
        <v>20</v>
      </c>
      <c r="E227" s="2" t="s">
        <v>21</v>
      </c>
      <c r="F227" s="2" t="s">
        <v>15</v>
      </c>
      <c r="G227" s="2" t="s">
        <v>758</v>
      </c>
      <c r="H227" s="2" t="s">
        <v>269</v>
      </c>
      <c r="I227" s="2" t="str">
        <f>IFERROR(__xludf.DUMMYFUNCTION("GOOGLETRANSLATE(C227,""fr"",""en"")"),"The ad: ""loan vehicle, no fee in the approved garage""
The reality: I chose my garage without being contradicted or that I am given a garage list (I managed alone), so no loan vehicle, I advanced the money of repairs .
For information, my claim dates f"&amp;"rom July 2019 (currently in January 2020) I had to do the steps to obtain opposing insurance information to advance the file.
Big amateurism, I am not an insurer but I think I will do much better than them.
The icing on the cake, I am not responsible "&amp;"for my accident but the amount of my insurance at the quay even increased (despite the annual bonus).
")</f>
        <v>The ad: "loan vehicle, no fee in the approved garage"
The reality: I chose my garage without being contradicted or that I am given a garage list (I managed alone), so no loan vehicle, I advanced the money of repairs .
For information, my claim dates from July 2019 (currently in January 2020) I had to do the steps to obtain opposing insurance information to advance the file.
Big amateurism, I am not an insurer but I think I will do much better than them.
The icing on the cake, I am not responsible for my accident but the amount of my insurance at the quay even increased (despite the annual bonus).
</v>
      </c>
    </row>
    <row r="228" ht="15.75" customHeight="1">
      <c r="A228" s="2">
        <v>5.0</v>
      </c>
      <c r="B228" s="2" t="s">
        <v>759</v>
      </c>
      <c r="C228" s="2" t="s">
        <v>760</v>
      </c>
      <c r="D228" s="2" t="s">
        <v>20</v>
      </c>
      <c r="E228" s="2" t="s">
        <v>21</v>
      </c>
      <c r="F228" s="2" t="s">
        <v>15</v>
      </c>
      <c r="G228" s="2" t="s">
        <v>761</v>
      </c>
      <c r="H228" s="2" t="s">
        <v>134</v>
      </c>
      <c r="I228" s="2" t="str">
        <f>IFERROR(__xludf.DUMMYFUNCTION("GOOGLETRANSLATE(C228,""fr"",""en"")"),"I am very satisfied with the telephone service. The agent was competent, efficient and rapid. The price is very correct. I hope this will continue in the future.")</f>
        <v>I am very satisfied with the telephone service. The agent was competent, efficient and rapid. The price is very correct. I hope this will continue in the future.</v>
      </c>
    </row>
    <row r="229" ht="15.75" customHeight="1">
      <c r="A229" s="2">
        <v>1.0</v>
      </c>
      <c r="B229" s="2" t="s">
        <v>762</v>
      </c>
      <c r="C229" s="2" t="s">
        <v>763</v>
      </c>
      <c r="D229" s="2" t="s">
        <v>164</v>
      </c>
      <c r="E229" s="2" t="s">
        <v>21</v>
      </c>
      <c r="F229" s="2" t="s">
        <v>15</v>
      </c>
      <c r="G229" s="2" t="s">
        <v>764</v>
      </c>
      <c r="H229" s="2" t="s">
        <v>416</v>
      </c>
      <c r="I229" s="2" t="str">
        <f>IFERROR(__xludf.DUMMYFUNCTION("GOOGLETRANSLATE(C229,""fr"",""en"")"),"Having had a car breakdown, I was treated to a loan car (fortunately seen the price I pay!) Once my car is repaired, I have no choice but to ask half a day of holidays With my employer in order to be able to make the loan car even if in my contract I have"&amp;" the right to the loan car for another 6 days !! As for the telephone reception received, as much to automate it, the result will be the same !!")</f>
        <v>Having had a car breakdown, I was treated to a loan car (fortunately seen the price I pay!) Once my car is repaired, I have no choice but to ask half a day of holidays With my employer in order to be able to make the loan car even if in my contract I have the right to the loan car for another 6 days !! As for the telephone reception received, as much to automate it, the result will be the same !!</v>
      </c>
    </row>
    <row r="230" ht="15.75" customHeight="1">
      <c r="A230" s="2">
        <v>5.0</v>
      </c>
      <c r="B230" s="2" t="s">
        <v>765</v>
      </c>
      <c r="C230" s="2" t="s">
        <v>766</v>
      </c>
      <c r="D230" s="2" t="s">
        <v>20</v>
      </c>
      <c r="E230" s="2" t="s">
        <v>21</v>
      </c>
      <c r="F230" s="2" t="s">
        <v>15</v>
      </c>
      <c r="G230" s="2" t="s">
        <v>767</v>
      </c>
      <c r="H230" s="2" t="s">
        <v>74</v>
      </c>
      <c r="I230" s="2" t="str">
        <f>IFERROR(__xludf.DUMMYFUNCTION("GOOGLETRANSLATE(C230,""fr"",""en"")"),"Pleasant and competent telephone reception. Very competitive price. I highly recommend the olive assurance. Raide, efficient, professional, explicit.")</f>
        <v>Pleasant and competent telephone reception. Very competitive price. I highly recommend the olive assurance. Raide, efficient, professional, explicit.</v>
      </c>
    </row>
    <row r="231" ht="15.75" customHeight="1">
      <c r="A231" s="2">
        <v>4.0</v>
      </c>
      <c r="B231" s="2" t="s">
        <v>768</v>
      </c>
      <c r="C231" s="2" t="s">
        <v>769</v>
      </c>
      <c r="D231" s="2" t="s">
        <v>41</v>
      </c>
      <c r="E231" s="2" t="s">
        <v>21</v>
      </c>
      <c r="F231" s="2" t="s">
        <v>15</v>
      </c>
      <c r="G231" s="2" t="s">
        <v>770</v>
      </c>
      <c r="H231" s="2" t="s">
        <v>51</v>
      </c>
      <c r="I231" s="2" t="str">
        <f>IFERROR(__xludf.DUMMYFUNCTION("GOOGLETRANSLATE(C231,""fr"",""en"")"),"For the moment no problem to see in the long term.
I hope I have unpleasant surprises choose insurance is always delicate whatever the vehicle")</f>
        <v>For the moment no problem to see in the long term.
I hope I have unpleasant surprises choose insurance is always delicate whatever the vehicle</v>
      </c>
    </row>
    <row r="232" ht="15.75" customHeight="1">
      <c r="A232" s="2">
        <v>1.0</v>
      </c>
      <c r="B232" s="2" t="s">
        <v>771</v>
      </c>
      <c r="C232" s="2" t="s">
        <v>772</v>
      </c>
      <c r="D232" s="2" t="s">
        <v>773</v>
      </c>
      <c r="E232" s="2" t="s">
        <v>58</v>
      </c>
      <c r="F232" s="2" t="s">
        <v>15</v>
      </c>
      <c r="G232" s="2" t="s">
        <v>774</v>
      </c>
      <c r="H232" s="2" t="s">
        <v>144</v>
      </c>
      <c r="I232" s="2" t="str">
        <f>IFERROR(__xludf.DUMMYFUNCTION("GOOGLETRANSLATE(C232,""fr"",""en"")")," Fire: Groupama does not pay and dragged to court.
I suffered a significant fire by third party identified in March 2016
Groupama against expertise claims to be a proportionate regime to reduce compensation (the insurer visited the premises a few months"&amp;" before the claim).
I dispute this proposal, but any attempt at contact remains unanswered. This forces me to assign them in justice and allows them to save time.
Since then I have met several people who have had problems of the same nature with them.
"&amp;"This method seems to be an assumed and systematic policy to delay compensation or try to minore them.")</f>
        <v> Fire: Groupama does not pay and dragged to court.
I suffered a significant fire by third party identified in March 2016
Groupama against expertise claims to be a proportionate regime to reduce compensation (the insurer visited the premises a few months before the claim).
I dispute this proposal, but any attempt at contact remains unanswered. This forces me to assign them in justice and allows them to save time.
Since then I have met several people who have had problems of the same nature with them.
This method seems to be an assumed and systematic policy to delay compensation or try to minore them.</v>
      </c>
    </row>
    <row r="233" ht="15.75" customHeight="1">
      <c r="A233" s="2">
        <v>5.0</v>
      </c>
      <c r="B233" s="2" t="s">
        <v>775</v>
      </c>
      <c r="C233" s="2" t="s">
        <v>776</v>
      </c>
      <c r="D233" s="2" t="s">
        <v>20</v>
      </c>
      <c r="E233" s="2" t="s">
        <v>21</v>
      </c>
      <c r="F233" s="2" t="s">
        <v>15</v>
      </c>
      <c r="G233" s="2" t="s">
        <v>619</v>
      </c>
      <c r="H233" s="2" t="s">
        <v>74</v>
      </c>
      <c r="I233" s="2" t="str">
        <f>IFERROR(__xludf.DUMMYFUNCTION("GOOGLETRANSLATE(C233,""fr"",""en"")"),"I am satisfied with the service, the prices are correct, the staff are very welcoming, attentive and know how to answer the various questions asked during the interview")</f>
        <v>I am satisfied with the service, the prices are correct, the staff are very welcoming, attentive and know how to answer the various questions asked during the interview</v>
      </c>
    </row>
    <row r="234" ht="15.75" customHeight="1">
      <c r="A234" s="2">
        <v>1.0</v>
      </c>
      <c r="B234" s="2" t="s">
        <v>777</v>
      </c>
      <c r="C234" s="2" t="s">
        <v>778</v>
      </c>
      <c r="D234" s="2" t="s">
        <v>108</v>
      </c>
      <c r="E234" s="2" t="s">
        <v>21</v>
      </c>
      <c r="F234" s="2" t="s">
        <v>15</v>
      </c>
      <c r="G234" s="2" t="s">
        <v>779</v>
      </c>
      <c r="H234" s="2" t="s">
        <v>23</v>
      </c>
      <c r="I234" s="2" t="str">
        <f>IFERROR(__xludf.DUMMYFUNCTION("GOOGLETRANSLATE(C234,""fr"",""en"")"),"It is an insurer that must be flee. This insurance should not have approval.
You pay first and discuss then and you no longer have your hand.
These are purely and simply abusive business practices.
I strongly advise against")</f>
        <v>It is an insurer that must be flee. This insurance should not have approval.
You pay first and discuss then and you no longer have your hand.
These are purely and simply abusive business practices.
I strongly advise against</v>
      </c>
    </row>
    <row r="235" ht="15.75" customHeight="1">
      <c r="A235" s="2">
        <v>1.0</v>
      </c>
      <c r="B235" s="2" t="s">
        <v>780</v>
      </c>
      <c r="C235" s="2" t="s">
        <v>781</v>
      </c>
      <c r="D235" s="2" t="s">
        <v>206</v>
      </c>
      <c r="E235" s="2" t="s">
        <v>207</v>
      </c>
      <c r="F235" s="2" t="s">
        <v>15</v>
      </c>
      <c r="G235" s="2" t="s">
        <v>782</v>
      </c>
      <c r="H235" s="2" t="s">
        <v>372</v>
      </c>
      <c r="I235" s="2" t="str">
        <f>IFERROR(__xludf.DUMMYFUNCTION("GOOGLETRANSLATE(C235,""fr"",""en"")"),"I am very disappointed with this insurance, to sign the contract we are harassing all day but when it comes to reaching them there is no one left, never responds to email when we call we come across a very aggressive operator Who does not let you peel and"&amp;" takes you from high and especially who does not answer your questions, she is content to read her text that has been provided to her training !! I am very disappointed and scandalized ... for insurance that takes care of animals they treat us less well t"&amp;"han them !!! I do not recommend make the same mistake as me")</f>
        <v>I am very disappointed with this insurance, to sign the contract we are harassing all day but when it comes to reaching them there is no one left, never responds to email when we call we come across a very aggressive operator Who does not let you peel and takes you from high and especially who does not answer your questions, she is content to read her text that has been provided to her training !! I am very disappointed and scandalized ... for insurance that takes care of animals they treat us less well than them !!! I do not recommend make the same mistake as me</v>
      </c>
    </row>
    <row r="236" ht="15.75" customHeight="1">
      <c r="A236" s="2">
        <v>3.0</v>
      </c>
      <c r="B236" s="2" t="s">
        <v>783</v>
      </c>
      <c r="C236" s="2" t="s">
        <v>784</v>
      </c>
      <c r="D236" s="2" t="s">
        <v>13</v>
      </c>
      <c r="E236" s="2" t="s">
        <v>14</v>
      </c>
      <c r="F236" s="2" t="s">
        <v>15</v>
      </c>
      <c r="G236" s="2" t="s">
        <v>785</v>
      </c>
      <c r="H236" s="2" t="s">
        <v>786</v>
      </c>
      <c r="I236" s="2" t="str">
        <f>IFERROR(__xludf.DUMMYFUNCTION("GOOGLETRANSLATE(C236,""fr"",""en"")"),"It's been a month since I signed a mutual health contract. To date, I have still not received neither my signing contract nor my paid third party card. And in view of the opinions posted on the net I am in full doubt about the seriousness of this mutual. "&amp;"Impossible to reach them by phone and even less by email having not received my contract so no information. It has been a week since things last. If I have no news quickly I wonder if I will not oppose payments and call on my legal service.,")</f>
        <v>It's been a month since I signed a mutual health contract. To date, I have still not received neither my signing contract nor my paid third party card. And in view of the opinions posted on the net I am in full doubt about the seriousness of this mutual. Impossible to reach them by phone and even less by email having not received my contract so no information. It has been a week since things last. If I have no news quickly I wonder if I will not oppose payments and call on my legal service.,</v>
      </c>
    </row>
    <row r="237" ht="15.75" customHeight="1">
      <c r="A237" s="2">
        <v>2.0</v>
      </c>
      <c r="B237" s="2" t="s">
        <v>787</v>
      </c>
      <c r="C237" s="2" t="s">
        <v>788</v>
      </c>
      <c r="D237" s="2" t="s">
        <v>103</v>
      </c>
      <c r="E237" s="2" t="s">
        <v>104</v>
      </c>
      <c r="F237" s="2" t="s">
        <v>15</v>
      </c>
      <c r="G237" s="2" t="s">
        <v>789</v>
      </c>
      <c r="H237" s="2" t="s">
        <v>790</v>
      </c>
      <c r="I237" s="2" t="str">
        <f>IFERROR(__xludf.DUMMYFUNCTION("GOOGLETRANSLATE(C237,""fr"",""en"")"),"Hello then Zen'up is just a way to make the files leave the net but those who manage its MNCAP and frankly its dummies so go your way")</f>
        <v>Hello then Zen'up is just a way to make the files leave the net but those who manage its MNCAP and frankly its dummies so go your way</v>
      </c>
    </row>
    <row r="238" ht="15.75" customHeight="1">
      <c r="A238" s="2">
        <v>2.0</v>
      </c>
      <c r="B238" s="2" t="s">
        <v>791</v>
      </c>
      <c r="C238" s="2" t="s">
        <v>792</v>
      </c>
      <c r="D238" s="2" t="s">
        <v>36</v>
      </c>
      <c r="E238" s="2" t="s">
        <v>58</v>
      </c>
      <c r="F238" s="2" t="s">
        <v>15</v>
      </c>
      <c r="G238" s="2" t="s">
        <v>793</v>
      </c>
      <c r="H238" s="2" t="s">
        <v>346</v>
      </c>
      <c r="I238" s="2" t="str">
        <f>IFERROR(__xludf.DUMMYFUNCTION("GOOGLETRANSLATE(C238,""fr"",""en"")"),"When you have to pay it there is no worries but when there is a disaster it is a whole different story and I am very disappointed ... a friend of my son made her phone fall by Earth and this one is unusable. Despite several calls, the moving in agency did"&amp;" nothing. The operator on the phone did not well understand the origin of the disaster I resume her she tells me that it is the same, in the end I am made to understand that we are liars and that ""the affair"" will pass before Experts when it happened mo"&amp;"re than 2 months ago ... I was even told that my repair quote had been ""inflated"" and bah not sorry, if you had approved repairers this question will not arise not. But hey that is always the same I could never repair it, my son being a student does not"&amp;" have the means to redeem a new one to pay the repair.")</f>
        <v>When you have to pay it there is no worries but when there is a disaster it is a whole different story and I am very disappointed ... a friend of my son made her phone fall by Earth and this one is unusable. Despite several calls, the moving in agency did nothing. The operator on the phone did not well understand the origin of the disaster I resume her she tells me that it is the same, in the end I am made to understand that we are liars and that "the affair" will pass before Experts when it happened more than 2 months ago ... I was even told that my repair quote had been "inflated" and bah not sorry, if you had approved repairers this question will not arise not. But hey that is always the same I could never repair it, my son being a student does not have the means to redeem a new one to pay the repair.</v>
      </c>
    </row>
    <row r="239" ht="15.75" customHeight="1">
      <c r="A239" s="2">
        <v>1.0</v>
      </c>
      <c r="B239" s="2" t="s">
        <v>794</v>
      </c>
      <c r="C239" s="2" t="s">
        <v>795</v>
      </c>
      <c r="D239" s="2" t="s">
        <v>212</v>
      </c>
      <c r="E239" s="2" t="s">
        <v>21</v>
      </c>
      <c r="F239" s="2" t="s">
        <v>15</v>
      </c>
      <c r="G239" s="2" t="s">
        <v>796</v>
      </c>
      <c r="H239" s="2" t="s">
        <v>797</v>
      </c>
      <c r="I239" s="2" t="str">
        <f>IFERROR(__xludf.DUMMYFUNCTION("GOOGLETRANSLATE(C239,""fr"",""en"")"),"No customer respect! Do they have the strategy of causing the business: unheard of! It's really a shame. Several reminders and nobody moves.
I pay 1,200 euros for my vehicle insurance. I declared a claim following the degradation of my vehicle by a truck"&amp;" whose witnesses had left the plate number when it was parked. That's 17 days and nothing was done: since the convenience store towed the vehicle on October 18 and then deposited it on a approved coachbuilder, nothing was done. If not to have scratched it"&amp;" again in the convenience store or in the carrier garage. When I had called the sinister service on 19102019, the man I had talked about had nothing to do with my problem: '' I don't know where your vehicle is, I need a number of . Contact the assistance "&amp;"then remind us ''. He talked to me almost in Morse, words interspersed with someone who spent a white night; Who is really exhausted and who absolutely did not want to speak. Before hanging up, I apologized twice to this ne-fatigue, for having disturbed h"&amp;"im. I hope they will keep the telephone recordings. It was not until my second call that a lady reassured me at the place where the vehicle was and set an appointment with the expert for October 22. No expert passes 22. I went to the Allianz agency twice."&amp;" I have written many times. I sent the photos. On October 25, I informed in writing the sinister service and the Allianz agency that if nothing is done I was going to put them in notice. They replied that photo expertise is not enough and that I will be c"&amp;"ontacted by the expert. I waited for 5 days and as nothing was done, on the 30th I sent a registered letter of formal notice with copy by emails. Believe me, it still didn't make them move. 17 days without vehicle, not even an appointment with the expert;"&amp;" And in addition I am made to pay the franchise.
On the French site, Allianz prides himself and taunts to be the 1st brand of insurance in the world: but what can it do with us if you are 0 zero in France! Can we prescribe insurance at Allianz in Germany"&amp;", Switzerland or USA so that it also works for us!")</f>
        <v>No customer respect! Do they have the strategy of causing the business: unheard of! It's really a shame. Several reminders and nobody moves.
I pay 1,200 euros for my vehicle insurance. I declared a claim following the degradation of my vehicle by a truck whose witnesses had left the plate number when it was parked. That's 17 days and nothing was done: since the convenience store towed the vehicle on October 18 and then deposited it on a approved coachbuilder, nothing was done. If not to have scratched it again in the convenience store or in the carrier garage. When I had called the sinister service on 19102019, the man I had talked about had nothing to do with my problem: '' I don't know where your vehicle is, I need a number of . Contact the assistance then remind us ''. He talked to me almost in Morse, words interspersed with someone who spent a white night; Who is really exhausted and who absolutely did not want to speak. Before hanging up, I apologized twice to this ne-fatigue, for having disturbed him. I hope they will keep the telephone recordings. It was not until my second call that a lady reassured me at the place where the vehicle was and set an appointment with the expert for October 22. No expert passes 22. I went to the Allianz agency twice. I have written many times. I sent the photos. On October 25, I informed in writing the sinister service and the Allianz agency that if nothing is done I was going to put them in notice. They replied that photo expertise is not enough and that I will be contacted by the expert. I waited for 5 days and as nothing was done, on the 30th I sent a registered letter of formal notice with copy by emails. Believe me, it still didn't make them move. 17 days without vehicle, not even an appointment with the expert; And in addition I am made to pay the franchise.
On the French site, Allianz prides himself and taunts to be the 1st brand of insurance in the world: but what can it do with us if you are 0 zero in France! Can we prescribe insurance at Allianz in Germany, Switzerland or USA so that it also works for us!</v>
      </c>
    </row>
    <row r="240" ht="15.75" customHeight="1">
      <c r="A240" s="2">
        <v>1.0</v>
      </c>
      <c r="B240" s="2" t="s">
        <v>798</v>
      </c>
      <c r="C240" s="2" t="s">
        <v>799</v>
      </c>
      <c r="D240" s="2" t="s">
        <v>395</v>
      </c>
      <c r="E240" s="2" t="s">
        <v>21</v>
      </c>
      <c r="F240" s="2" t="s">
        <v>15</v>
      </c>
      <c r="G240" s="2" t="s">
        <v>800</v>
      </c>
      <c r="H240" s="2" t="s">
        <v>118</v>
      </c>
      <c r="I240" s="2" t="str">
        <f>IFERROR(__xludf.DUMMYFUNCTION("GOOGLETRANSLATE(C240,""fr"",""en"")"),"Is your job insurer? When we pay there is no worries but when we have a problem there is no one left, we are really not happy after you, you put us in shit with a child of 3 and a half who The arm in the 900km bag from home, you sent us to Switzerland (1h"&amp;"30 drive) for a rental car that you did not book. And as your incompetence goes beyond the ultimate you made us peele 4 hours more (we have to take a break) the joke frankly !!
PS: no need to turn my comments, I will do it until I have a competent sale"&amp;"sperson on the phone in order to be reimbursed")</f>
        <v>Is your job insurer? When we pay there is no worries but when we have a problem there is no one left, we are really not happy after you, you put us in shit with a child of 3 and a half who The arm in the 900km bag from home, you sent us to Switzerland (1h30 drive) for a rental car that you did not book. And as your incompetence goes beyond the ultimate you made us peele 4 hours more (we have to take a break) the joke frankly !!
PS: no need to turn my comments, I will do it until I have a competent salesperson on the phone in order to be reimbursed</v>
      </c>
    </row>
    <row r="241" ht="15.75" customHeight="1">
      <c r="A241" s="2">
        <v>1.0</v>
      </c>
      <c r="B241" s="2" t="s">
        <v>801</v>
      </c>
      <c r="C241" s="2" t="s">
        <v>802</v>
      </c>
      <c r="D241" s="2" t="s">
        <v>72</v>
      </c>
      <c r="E241" s="2" t="s">
        <v>21</v>
      </c>
      <c r="F241" s="2" t="s">
        <v>15</v>
      </c>
      <c r="G241" s="2" t="s">
        <v>803</v>
      </c>
      <c r="H241" s="2" t="s">
        <v>346</v>
      </c>
      <c r="I241" s="2" t="str">
        <f>IFERROR(__xludf.DUMMYFUNCTION("GOOGLETRANSLATE(C241,""fr"",""en"")"),"Hello,
After having my vandalized vehicle is irreparable my GMF insurance with which we have 2 auto contracts 1 dwellings and 1 multi -risk,
We only supported the replacement vehicle for 8 days, today 18 rental day are at my expense up to 480 euros, I f"&amp;"ind it absolutely scandalous coming from this Marnière brand to treat its customers. more faithful. Because I work so I have other choice than to pay at my expense
Today I can no longer extend because I have already left a good part of my salary really t"&amp;"hank you
To really be avoided because I find Merquin to act from the kind.")</f>
        <v>Hello,
After having my vandalized vehicle is irreparable my GMF insurance with which we have 2 auto contracts 1 dwellings and 1 multi -risk,
We only supported the replacement vehicle for 8 days, today 18 rental day are at my expense up to 480 euros, I find it absolutely scandalous coming from this Marnière brand to treat its customers. more faithful. Because I work so I have other choice than to pay at my expense
Today I can no longer extend because I have already left a good part of my salary really thank you
To really be avoided because I find Merquin to act from the kind.</v>
      </c>
    </row>
    <row r="242" ht="15.75" customHeight="1">
      <c r="A242" s="2">
        <v>5.0</v>
      </c>
      <c r="B242" s="2" t="s">
        <v>804</v>
      </c>
      <c r="C242" s="2" t="s">
        <v>805</v>
      </c>
      <c r="D242" s="2" t="s">
        <v>20</v>
      </c>
      <c r="E242" s="2" t="s">
        <v>21</v>
      </c>
      <c r="F242" s="2" t="s">
        <v>15</v>
      </c>
      <c r="G242" s="2" t="s">
        <v>806</v>
      </c>
      <c r="H242" s="2" t="s">
        <v>23</v>
      </c>
      <c r="I242" s="2" t="str">
        <f>IFERROR(__xludf.DUMMYFUNCTION("GOOGLETRANSLATE(C242,""fr"",""en"")"),"Prices suit me.
Customer service on a very kind phone, speed and understanding at the top.
Now wait for my final card.
Cordially
")</f>
        <v>Prices suit me.
Customer service on a very kind phone, speed and understanding at the top.
Now wait for my final card.
Cordially
</v>
      </c>
    </row>
    <row r="243" ht="15.75" customHeight="1">
      <c r="A243" s="2">
        <v>5.0</v>
      </c>
      <c r="B243" s="2" t="s">
        <v>807</v>
      </c>
      <c r="C243" s="2" t="s">
        <v>808</v>
      </c>
      <c r="D243" s="2" t="s">
        <v>121</v>
      </c>
      <c r="E243" s="2" t="s">
        <v>122</v>
      </c>
      <c r="F243" s="2" t="s">
        <v>15</v>
      </c>
      <c r="G243" s="2" t="s">
        <v>809</v>
      </c>
      <c r="H243" s="2" t="s">
        <v>51</v>
      </c>
      <c r="I243" s="2" t="str">
        <f>IFERROR(__xludf.DUMMYFUNCTION("GOOGLETRANSLATE(C243,""fr"",""en"")"),"I am satisfied with the price chosen and the rapidity of execution to take out compared insurance to other more expensive and slower proposals")</f>
        <v>I am satisfied with the price chosen and the rapidity of execution to take out compared insurance to other more expensive and slower proposals</v>
      </c>
    </row>
    <row r="244" ht="15.75" customHeight="1">
      <c r="A244" s="2">
        <v>4.0</v>
      </c>
      <c r="B244" s="2" t="s">
        <v>810</v>
      </c>
      <c r="C244" s="2" t="s">
        <v>811</v>
      </c>
      <c r="D244" s="2" t="s">
        <v>91</v>
      </c>
      <c r="E244" s="2" t="s">
        <v>14</v>
      </c>
      <c r="F244" s="2" t="s">
        <v>15</v>
      </c>
      <c r="G244" s="2" t="s">
        <v>166</v>
      </c>
      <c r="H244" s="2" t="s">
        <v>166</v>
      </c>
      <c r="I244" s="2" t="str">
        <f>IFERROR(__xludf.DUMMYFUNCTION("GOOGLETRANSLATE(C244,""fr"",""en"")"),"Very statified of my mutual or I have been since 2019")</f>
        <v>Very statified of my mutual or I have been since 2019</v>
      </c>
    </row>
    <row r="245" ht="15.75" customHeight="1">
      <c r="A245" s="2">
        <v>1.0</v>
      </c>
      <c r="B245" s="2" t="s">
        <v>812</v>
      </c>
      <c r="C245" s="2" t="s">
        <v>813</v>
      </c>
      <c r="D245" s="2" t="s">
        <v>91</v>
      </c>
      <c r="E245" s="2" t="s">
        <v>14</v>
      </c>
      <c r="F245" s="2" t="s">
        <v>15</v>
      </c>
      <c r="G245" s="2" t="s">
        <v>814</v>
      </c>
      <c r="H245" s="2" t="s">
        <v>100</v>
      </c>
      <c r="I245" s="2" t="str">
        <f>IFERROR(__xludf.DUMMYFUNCTION("GOOGLETRANSLATE(C245,""fr"",""en"")"),"Member of Santiane since September 2020, with 2 contracts a mutual and foresight, it is a real disaster, I have never lived such a care close to 0!
The calls are put on hold for at least 45 minutes before they can ask the slightest question, the delay in"&amp;" processing exceptional files, and the availability of non -existent advisers and the relevance of the answers is great anything !!! I do not recommend considering a subscription!")</f>
        <v>Member of Santiane since September 2020, with 2 contracts a mutual and foresight, it is a real disaster, I have never lived such a care close to 0!
The calls are put on hold for at least 45 minutes before they can ask the slightest question, the delay in processing exceptional files, and the availability of non -existent advisers and the relevance of the answers is great anything !!! I do not recommend considering a subscription!</v>
      </c>
    </row>
    <row r="246" ht="15.75" customHeight="1">
      <c r="A246" s="2">
        <v>4.0</v>
      </c>
      <c r="B246" s="2" t="s">
        <v>815</v>
      </c>
      <c r="C246" s="2" t="s">
        <v>816</v>
      </c>
      <c r="D246" s="2" t="s">
        <v>41</v>
      </c>
      <c r="E246" s="2" t="s">
        <v>21</v>
      </c>
      <c r="F246" s="2" t="s">
        <v>15</v>
      </c>
      <c r="G246" s="2" t="s">
        <v>817</v>
      </c>
      <c r="H246" s="2" t="s">
        <v>118</v>
      </c>
      <c r="I246" s="2" t="str">
        <f>IFERROR(__xludf.DUMMYFUNCTION("GOOGLETRANSLATE(C246,""fr"",""en"")"),"I am satisfied with the questionnaire and prices. Direct Insurance has a lot of advantages for a young driver like me. I would recommend it to my loved ones without problems")</f>
        <v>I am satisfied with the questionnaire and prices. Direct Insurance has a lot of advantages for a young driver like me. I would recommend it to my loved ones without problems</v>
      </c>
    </row>
    <row r="247" ht="15.75" customHeight="1">
      <c r="A247" s="2">
        <v>4.0</v>
      </c>
      <c r="B247" s="2" t="s">
        <v>818</v>
      </c>
      <c r="C247" s="2" t="s">
        <v>819</v>
      </c>
      <c r="D247" s="2" t="s">
        <v>41</v>
      </c>
      <c r="E247" s="2" t="s">
        <v>21</v>
      </c>
      <c r="F247" s="2" t="s">
        <v>15</v>
      </c>
      <c r="G247" s="2" t="s">
        <v>820</v>
      </c>
      <c r="H247" s="2" t="s">
        <v>118</v>
      </c>
      <c r="I247" s="2" t="str">
        <f>IFERROR(__xludf.DUMMYFUNCTION("GOOGLETRANSLATE(C247,""fr"",""en"")"),"I like the connected option, the prices seem more interesting than elsewhere and more flexible. However, franchises are a little higher than elsewhere")</f>
        <v>I like the connected option, the prices seem more interesting than elsewhere and more flexible. However, franchises are a little higher than elsewhere</v>
      </c>
    </row>
    <row r="248" ht="15.75" customHeight="1">
      <c r="A248" s="2">
        <v>3.0</v>
      </c>
      <c r="B248" s="2" t="s">
        <v>821</v>
      </c>
      <c r="C248" s="2" t="s">
        <v>822</v>
      </c>
      <c r="D248" s="2" t="s">
        <v>41</v>
      </c>
      <c r="E248" s="2" t="s">
        <v>21</v>
      </c>
      <c r="F248" s="2" t="s">
        <v>15</v>
      </c>
      <c r="G248" s="2" t="s">
        <v>800</v>
      </c>
      <c r="H248" s="2" t="s">
        <v>118</v>
      </c>
      <c r="I248" s="2" t="str">
        <f>IFERROR(__xludf.DUMMYFUNCTION("GOOGLETRANSLATE(C248,""fr"",""en"")"),"I regret not being able to see the content of the guarantees, in particular the ice bros (franchisee or not)
Oblige to inform lots of pages and receive the quote to read this essential condition")</f>
        <v>I regret not being able to see the content of the guarantees, in particular the ice bros (franchisee or not)
Oblige to inform lots of pages and receive the quote to read this essential condition</v>
      </c>
    </row>
    <row r="249" ht="15.75" customHeight="1">
      <c r="A249" s="2">
        <v>2.0</v>
      </c>
      <c r="B249" s="2" t="s">
        <v>823</v>
      </c>
      <c r="C249" s="2" t="s">
        <v>824</v>
      </c>
      <c r="D249" s="2" t="s">
        <v>31</v>
      </c>
      <c r="E249" s="2" t="s">
        <v>58</v>
      </c>
      <c r="F249" s="2" t="s">
        <v>15</v>
      </c>
      <c r="G249" s="2" t="s">
        <v>825</v>
      </c>
      <c r="H249" s="2" t="s">
        <v>55</v>
      </c>
      <c r="I249" s="2" t="str">
        <f>IFERROR(__xludf.DUMMYFUNCTION("GOOGLETRANSLATE(C249,""fr"",""en"")"),"Crazy house, natural disaster declaration in good and due form, expert of the insurer sent on site. Result refusal of the expert for the care of work on the grounds: poorly made foundations?! Question: How to evoke such a reason on an outside visual and a"&amp;" soil study without having seen the said foundations?
I specify that the expert had suggested a probable cause of cracks by drought. To conclude this insurer boasts of being close to his ""members"" during problems and what he offers is a counter-experti"&amp;"se, at my expense of course with an expert battle before the court ... In summary the pooling is not a local guarantee")</f>
        <v>Crazy house, natural disaster declaration in good and due form, expert of the insurer sent on site. Result refusal of the expert for the care of work on the grounds: poorly made foundations?! Question: How to evoke such a reason on an outside visual and a soil study without having seen the said foundations?
I specify that the expert had suggested a probable cause of cracks by drought. To conclude this insurer boasts of being close to his "members" during problems and what he offers is a counter-expertise, at my expense of course with an expert battle before the court ... In summary the pooling is not a local guarantee</v>
      </c>
    </row>
    <row r="250" ht="15.75" customHeight="1">
      <c r="A250" s="2">
        <v>3.0</v>
      </c>
      <c r="B250" s="2" t="s">
        <v>826</v>
      </c>
      <c r="C250" s="2" t="s">
        <v>827</v>
      </c>
      <c r="D250" s="2" t="s">
        <v>41</v>
      </c>
      <c r="E250" s="2" t="s">
        <v>21</v>
      </c>
      <c r="F250" s="2" t="s">
        <v>15</v>
      </c>
      <c r="G250" s="2" t="s">
        <v>260</v>
      </c>
      <c r="H250" s="2" t="s">
        <v>42</v>
      </c>
      <c r="I250" s="2" t="str">
        <f>IFERROR(__xludf.DUMMYFUNCTION("GOOGLETRANSLATE(C250,""fr"",""en"")"),"The prices are expensive I drive very little. I barely 5000 km per year I find the expensive prices for the kilometers done in a year I think you can make a little effort for your prices thank you my greetings")</f>
        <v>The prices are expensive I drive very little. I barely 5000 km per year I find the expensive prices for the kilometers done in a year I think you can make a little effort for your prices thank you my greetings</v>
      </c>
    </row>
    <row r="251" ht="15.75" customHeight="1">
      <c r="A251" s="2">
        <v>5.0</v>
      </c>
      <c r="B251" s="2" t="s">
        <v>828</v>
      </c>
      <c r="C251" s="2" t="s">
        <v>829</v>
      </c>
      <c r="D251" s="2" t="s">
        <v>20</v>
      </c>
      <c r="E251" s="2" t="s">
        <v>21</v>
      </c>
      <c r="F251" s="2" t="s">
        <v>15</v>
      </c>
      <c r="G251" s="2" t="s">
        <v>105</v>
      </c>
      <c r="H251" s="2" t="s">
        <v>74</v>
      </c>
      <c r="I251" s="2" t="str">
        <f>IFERROR(__xludf.DUMMYFUNCTION("GOOGLETRANSLATE(C251,""fr"",""en"")"),"Very satisfied with the service, very good advice! I recommend the Olivier Assurances pee his prices more than affordable and there kindness of the advisers!")</f>
        <v>Very satisfied with the service, very good advice! I recommend the Olivier Assurances pee his prices more than affordable and there kindness of the advisers!</v>
      </c>
    </row>
    <row r="252" ht="15.75" customHeight="1">
      <c r="A252" s="2">
        <v>5.0</v>
      </c>
      <c r="B252" s="2" t="s">
        <v>830</v>
      </c>
      <c r="C252" s="2" t="s">
        <v>831</v>
      </c>
      <c r="D252" s="2" t="s">
        <v>72</v>
      </c>
      <c r="E252" s="2" t="s">
        <v>21</v>
      </c>
      <c r="F252" s="2" t="s">
        <v>15</v>
      </c>
      <c r="G252" s="2" t="s">
        <v>105</v>
      </c>
      <c r="H252" s="2" t="s">
        <v>74</v>
      </c>
      <c r="I252" s="2" t="str">
        <f>IFERROR(__xludf.DUMMYFUNCTION("GOOGLETRANSLATE(C252,""fr"",""en"")"),"Top, well, we will see at the first pepper to confirm. On the other hand, forcing us to put an opinion is far from top. If I signed, it is because I seem to me that I adhere to the service")</f>
        <v>Top, well, we will see at the first pepper to confirm. On the other hand, forcing us to put an opinion is far from top. If I signed, it is because I seem to me that I adhere to the service</v>
      </c>
    </row>
    <row r="253" ht="15.75" customHeight="1">
      <c r="A253" s="2">
        <v>5.0</v>
      </c>
      <c r="B253" s="2" t="s">
        <v>832</v>
      </c>
      <c r="C253" s="2" t="s">
        <v>833</v>
      </c>
      <c r="D253" s="2" t="s">
        <v>41</v>
      </c>
      <c r="E253" s="2" t="s">
        <v>21</v>
      </c>
      <c r="F253" s="2" t="s">
        <v>15</v>
      </c>
      <c r="G253" s="2" t="s">
        <v>752</v>
      </c>
      <c r="H253" s="2" t="s">
        <v>74</v>
      </c>
      <c r="I253" s="2" t="str">
        <f>IFERROR(__xludf.DUMMYFUNCTION("GOOGLETRANSLATE(C253,""fr"",""en"")"),"I am satisfied with this service which is simple and precise. The prices are advantageous.
In addition, from the finalized estimate, after regulations by CB our vehicle is immediately assured.")</f>
        <v>I am satisfied with this service which is simple and precise. The prices are advantageous.
In addition, from the finalized estimate, after regulations by CB our vehicle is immediately assured.</v>
      </c>
    </row>
    <row r="254" ht="15.75" customHeight="1">
      <c r="A254" s="2">
        <v>4.0</v>
      </c>
      <c r="B254" s="2" t="s">
        <v>834</v>
      </c>
      <c r="C254" s="2" t="s">
        <v>835</v>
      </c>
      <c r="D254" s="2" t="s">
        <v>20</v>
      </c>
      <c r="E254" s="2" t="s">
        <v>21</v>
      </c>
      <c r="F254" s="2" t="s">
        <v>15</v>
      </c>
      <c r="G254" s="2" t="s">
        <v>836</v>
      </c>
      <c r="H254" s="2" t="s">
        <v>42</v>
      </c>
      <c r="I254" s="2" t="str">
        <f>IFERROR(__xludf.DUMMYFUNCTION("GOOGLETRANSLATE(C254,""fr"",""en"")"),"It is a very competitive insurance
Very fast response and shipping card in a few minutes
I recommend this eyes closed eyes")</f>
        <v>It is a very competitive insurance
Very fast response and shipping card in a few minutes
I recommend this eyes closed eyes</v>
      </c>
    </row>
    <row r="255" ht="15.75" customHeight="1">
      <c r="A255" s="2">
        <v>4.0</v>
      </c>
      <c r="B255" s="2" t="s">
        <v>837</v>
      </c>
      <c r="C255" s="2" t="s">
        <v>838</v>
      </c>
      <c r="D255" s="2" t="s">
        <v>41</v>
      </c>
      <c r="E255" s="2" t="s">
        <v>21</v>
      </c>
      <c r="F255" s="2" t="s">
        <v>15</v>
      </c>
      <c r="G255" s="2" t="s">
        <v>729</v>
      </c>
      <c r="H255" s="2" t="s">
        <v>42</v>
      </c>
      <c r="I255" s="2" t="str">
        <f>IFERROR(__xludf.DUMMYFUNCTION("GOOGLETRANSLATE(C255,""fr"",""en"")"),"Very friendly and responsive hotline. The person was well attentive to my needs, and did his best to meet my request, unfortunately in a negative way.")</f>
        <v>Very friendly and responsive hotline. The person was well attentive to my needs, and did his best to meet my request, unfortunately in a negative way.</v>
      </c>
    </row>
    <row r="256" ht="15.75" customHeight="1">
      <c r="A256" s="2">
        <v>2.0</v>
      </c>
      <c r="B256" s="2" t="s">
        <v>839</v>
      </c>
      <c r="C256" s="2" t="s">
        <v>840</v>
      </c>
      <c r="D256" s="2" t="s">
        <v>31</v>
      </c>
      <c r="E256" s="2" t="s">
        <v>122</v>
      </c>
      <c r="F256" s="2" t="s">
        <v>15</v>
      </c>
      <c r="G256" s="2" t="s">
        <v>841</v>
      </c>
      <c r="H256" s="2" t="s">
        <v>251</v>
      </c>
      <c r="I256" s="2" t="str">
        <f>IFERROR(__xludf.DUMMYFUNCTION("GOOGLETRANSLATE(C256,""fr"",""en"")"),"Hello, more than 2 months after the flight of my vehicle, still no compensation. Impossible to have the same interlocutor at the Macif (who is on teleworking .... difficult to reachable ...) my subscription is always taken .... I have no more cars to go t"&amp;"o work. It's been 2 months since I sent: emails, calls, recommended .... a file as big as the telephone directory *** too much is too much *** when I subscribed to the Macif, I imagined quality of service, professionalism .... *** Huge disappointment ****"&amp;"*")</f>
        <v>Hello, more than 2 months after the flight of my vehicle, still no compensation. Impossible to have the same interlocutor at the Macif (who is on teleworking .... difficult to reachable ...) my subscription is always taken .... I have no more cars to go to work. It's been 2 months since I sent: emails, calls, recommended .... a file as big as the telephone directory *** too much is too much *** when I subscribed to the Macif, I imagined quality of service, professionalism .... *** Huge disappointment *****</v>
      </c>
    </row>
    <row r="257" ht="15.75" customHeight="1">
      <c r="A257" s="2">
        <v>3.0</v>
      </c>
      <c r="B257" s="2" t="s">
        <v>842</v>
      </c>
      <c r="C257" s="2" t="s">
        <v>843</v>
      </c>
      <c r="D257" s="2" t="s">
        <v>41</v>
      </c>
      <c r="E257" s="2" t="s">
        <v>21</v>
      </c>
      <c r="F257" s="2" t="s">
        <v>15</v>
      </c>
      <c r="G257" s="2" t="s">
        <v>825</v>
      </c>
      <c r="H257" s="2" t="s">
        <v>55</v>
      </c>
      <c r="I257" s="2" t="str">
        <f>IFERROR(__xludf.DUMMYFUNCTION("GOOGLETRANSLATE(C257,""fr"",""en"")")," Telephone interview to have practically impossible help, too much waiting. Online statement yes but why make you complicated when you can make it simple for an unveil accident.
 ")</f>
        <v> Telephone interview to have practically impossible help, too much waiting. Online statement yes but why make you complicated when you can make it simple for an unveil accident.
 </v>
      </c>
    </row>
    <row r="258" ht="15.75" customHeight="1">
      <c r="A258" s="2">
        <v>5.0</v>
      </c>
      <c r="B258" s="2" t="s">
        <v>844</v>
      </c>
      <c r="C258" s="2" t="s">
        <v>845</v>
      </c>
      <c r="D258" s="2" t="s">
        <v>121</v>
      </c>
      <c r="E258" s="2" t="s">
        <v>122</v>
      </c>
      <c r="F258" s="2" t="s">
        <v>15</v>
      </c>
      <c r="G258" s="2" t="s">
        <v>846</v>
      </c>
      <c r="H258" s="2" t="s">
        <v>100</v>
      </c>
      <c r="I258" s="2" t="str">
        <f>IFERROR(__xludf.DUMMYFUNCTION("GOOGLETRANSLATE(C258,""fr"",""en"")"),"REACTIVITEE price and satisfaction in the event of a very reliable loss interlocutor on the other hand too many papers requested and invoices that we do not always keep")</f>
        <v>REACTIVITEE price and satisfaction in the event of a very reliable loss interlocutor on the other hand too many papers requested and invoices that we do not always keep</v>
      </c>
    </row>
    <row r="259" ht="15.75" customHeight="1">
      <c r="A259" s="2">
        <v>1.0</v>
      </c>
      <c r="B259" s="2" t="s">
        <v>847</v>
      </c>
      <c r="C259" s="2" t="s">
        <v>848</v>
      </c>
      <c r="D259" s="2" t="s">
        <v>263</v>
      </c>
      <c r="E259" s="2" t="s">
        <v>104</v>
      </c>
      <c r="F259" s="2" t="s">
        <v>15</v>
      </c>
      <c r="G259" s="2" t="s">
        <v>849</v>
      </c>
      <c r="H259" s="2" t="s">
        <v>110</v>
      </c>
      <c r="I259" s="2" t="str">
        <f>IFERROR(__xludf.DUMMYFUNCTION("GOOGLETRANSLATE(C259,""fr"",""en"")"),"Borrowing made in January 2016 with temporary incapacity for work.
March 2018 requested care because long -term work stoppage for wrist intervention
July 2018 notification of refusal of care because I have been taking Levothyrox for thyroid for 10 years"&amp;". But they have never asked any health questionnaire ...")</f>
        <v>Borrowing made in January 2016 with temporary incapacity for work.
March 2018 requested care because long -term work stoppage for wrist intervention
July 2018 notification of refusal of care because I have been taking Levothyrox for thyroid for 10 years. But they have never asked any health questionnaire ...</v>
      </c>
    </row>
    <row r="260" ht="15.75" customHeight="1">
      <c r="A260" s="2">
        <v>1.0</v>
      </c>
      <c r="B260" s="2" t="s">
        <v>850</v>
      </c>
      <c r="C260" s="2" t="s">
        <v>851</v>
      </c>
      <c r="D260" s="2" t="s">
        <v>164</v>
      </c>
      <c r="E260" s="2" t="s">
        <v>21</v>
      </c>
      <c r="F260" s="2" t="s">
        <v>15</v>
      </c>
      <c r="G260" s="2" t="s">
        <v>852</v>
      </c>
      <c r="H260" s="2" t="s">
        <v>118</v>
      </c>
      <c r="I260" s="2" t="str">
        <f>IFERROR(__xludf.DUMMYFUNCTION("GOOGLETRANSLATE(C260,""fr"",""en"")"),"It's been more than two months since I changed my car and I have still not received my contract, so that I at least know how I am assured (on the other hand I received at least 8 insurance certificates) , I have the impression that I speak in the void. Al"&amp;"l this via the Andelys agency 27.")</f>
        <v>It's been more than two months since I changed my car and I have still not received my contract, so that I at least know how I am assured (on the other hand I received at least 8 insurance certificates) , I have the impression that I speak in the void. All this via the Andelys agency 27.</v>
      </c>
    </row>
    <row r="261" ht="15.75" customHeight="1">
      <c r="A261" s="2">
        <v>5.0</v>
      </c>
      <c r="B261" s="2" t="s">
        <v>853</v>
      </c>
      <c r="C261" s="2" t="s">
        <v>854</v>
      </c>
      <c r="D261" s="2" t="s">
        <v>20</v>
      </c>
      <c r="E261" s="2" t="s">
        <v>21</v>
      </c>
      <c r="F261" s="2" t="s">
        <v>15</v>
      </c>
      <c r="G261" s="2" t="s">
        <v>490</v>
      </c>
      <c r="H261" s="2" t="s">
        <v>55</v>
      </c>
      <c r="I261" s="2" t="str">
        <f>IFERROR(__xludf.DUMMYFUNCTION("GOOGLETRANSLATE(C261,""fr"",""en"")"),"I am very satisfied, the care was fast, I had an answer to all the questions asked. The prices are very affordable.
Pleasant services. Fast and effective")</f>
        <v>I am very satisfied, the care was fast, I had an answer to all the questions asked. The prices are very affordable.
Pleasant services. Fast and effective</v>
      </c>
    </row>
    <row r="262" ht="15.75" customHeight="1">
      <c r="A262" s="2">
        <v>2.0</v>
      </c>
      <c r="B262" s="2" t="s">
        <v>855</v>
      </c>
      <c r="C262" s="2" t="s">
        <v>856</v>
      </c>
      <c r="D262" s="2" t="s">
        <v>41</v>
      </c>
      <c r="E262" s="2" t="s">
        <v>21</v>
      </c>
      <c r="F262" s="2" t="s">
        <v>15</v>
      </c>
      <c r="G262" s="2" t="s">
        <v>857</v>
      </c>
      <c r="H262" s="2" t="s">
        <v>100</v>
      </c>
      <c r="I262" s="2" t="str">
        <f>IFERROR(__xludf.DUMMYFUNCTION("GOOGLETRANSLATE(C262,""fr"",""en"")"),"To flee ! Attractive with top prices but as soon as you have a car concern you pay it very expensive !!!! The advisor dedicated true .... but content with erroneous emails and especially not in line with the realization of deadlines and repair at the mech"&amp;"anic.
In short, went back to my old insurer. More expensive subscription but real reimbursement and reimbursement.")</f>
        <v>To flee ! Attractive with top prices but as soon as you have a car concern you pay it very expensive !!!! The advisor dedicated true .... but content with erroneous emails and especially not in line with the realization of deadlines and repair at the mechanic.
In short, went back to my old insurer. More expensive subscription but real reimbursement and reimbursement.</v>
      </c>
    </row>
    <row r="263" ht="15.75" customHeight="1">
      <c r="A263" s="2">
        <v>5.0</v>
      </c>
      <c r="B263" s="2" t="s">
        <v>858</v>
      </c>
      <c r="C263" s="2" t="s">
        <v>859</v>
      </c>
      <c r="D263" s="2" t="s">
        <v>41</v>
      </c>
      <c r="E263" s="2" t="s">
        <v>21</v>
      </c>
      <c r="F263" s="2" t="s">
        <v>15</v>
      </c>
      <c r="G263" s="2" t="s">
        <v>860</v>
      </c>
      <c r="H263" s="2" t="s">
        <v>51</v>
      </c>
      <c r="I263" s="2" t="str">
        <f>IFERROR(__xludf.DUMMYFUNCTION("GOOGLETRANSLATE(C263,""fr"",""en"")"),"Hello
The prices are very attractive.
The website is easy to use.
I am very satisfied with your services. I hope this will continue.
Cordially")</f>
        <v>Hello
The prices are very attractive.
The website is easy to use.
I am very satisfied with your services. I hope this will continue.
Cordially</v>
      </c>
    </row>
    <row r="264" ht="15.75" customHeight="1">
      <c r="A264" s="2">
        <v>1.0</v>
      </c>
      <c r="B264" s="2" t="s">
        <v>861</v>
      </c>
      <c r="C264" s="2" t="s">
        <v>862</v>
      </c>
      <c r="D264" s="2" t="s">
        <v>36</v>
      </c>
      <c r="E264" s="2" t="s">
        <v>21</v>
      </c>
      <c r="F264" s="2" t="s">
        <v>15</v>
      </c>
      <c r="G264" s="2" t="s">
        <v>863</v>
      </c>
      <c r="H264" s="2" t="s">
        <v>790</v>
      </c>
      <c r="I264" s="2" t="str">
        <f>IFERROR(__xludf.DUMMYFUNCTION("GOOGLETRANSLATE(C264,""fr"",""en"")"),"Bad. Assistance is bad. For helping people and for technical assistance. Under the guise of mutualism, we try to defend guardianships about people. There is no respect for the disabled.")</f>
        <v>Bad. Assistance is bad. For helping people and for technical assistance. Under the guise of mutualism, we try to defend guardianships about people. There is no respect for the disabled.</v>
      </c>
    </row>
    <row r="265" ht="15.75" customHeight="1">
      <c r="A265" s="2">
        <v>3.0</v>
      </c>
      <c r="B265" s="2" t="s">
        <v>864</v>
      </c>
      <c r="C265" s="2" t="s">
        <v>865</v>
      </c>
      <c r="D265" s="2" t="s">
        <v>20</v>
      </c>
      <c r="E265" s="2" t="s">
        <v>21</v>
      </c>
      <c r="F265" s="2" t="s">
        <v>15</v>
      </c>
      <c r="G265" s="2" t="s">
        <v>866</v>
      </c>
      <c r="H265" s="2" t="s">
        <v>134</v>
      </c>
      <c r="I265" s="2" t="str">
        <f>IFERROR(__xludf.DUMMYFUNCTION("GOOGLETRANSLATE(C265,""fr"",""en"")"),"Registration is practical, easy and quick. The price is a bit high compared to competition. But there are more choices in the police therme, and level of insurance.")</f>
        <v>Registration is practical, easy and quick. The price is a bit high compared to competition. But there are more choices in the police therme, and level of insurance.</v>
      </c>
    </row>
    <row r="266" ht="15.75" customHeight="1">
      <c r="A266" s="2">
        <v>4.0</v>
      </c>
      <c r="B266" s="2" t="s">
        <v>867</v>
      </c>
      <c r="C266" s="2" t="s">
        <v>868</v>
      </c>
      <c r="D266" s="2" t="s">
        <v>41</v>
      </c>
      <c r="E266" s="2" t="s">
        <v>21</v>
      </c>
      <c r="F266" s="2" t="s">
        <v>15</v>
      </c>
      <c r="G266" s="2" t="s">
        <v>809</v>
      </c>
      <c r="H266" s="2" t="s">
        <v>51</v>
      </c>
      <c r="I266" s="2" t="str">
        <f>IFERROR(__xludf.DUMMYFUNCTION("GOOGLETRANSLATE(C266,""fr"",""en"")"),"I am satisfied with the price. Good telephone contact. Very satisfied with my subscription, really competitive prices, reactive advisor by phone")</f>
        <v>I am satisfied with the price. Good telephone contact. Very satisfied with my subscription, really competitive prices, reactive advisor by phone</v>
      </c>
    </row>
    <row r="267" ht="15.75" customHeight="1">
      <c r="A267" s="2">
        <v>1.0</v>
      </c>
      <c r="B267" s="2" t="s">
        <v>869</v>
      </c>
      <c r="C267" s="2" t="s">
        <v>870</v>
      </c>
      <c r="D267" s="2" t="s">
        <v>871</v>
      </c>
      <c r="E267" s="2" t="s">
        <v>122</v>
      </c>
      <c r="F267" s="2" t="s">
        <v>15</v>
      </c>
      <c r="G267" s="2" t="s">
        <v>872</v>
      </c>
      <c r="H267" s="2" t="s">
        <v>241</v>
      </c>
      <c r="I267" s="2" t="str">
        <f>IFERROR(__xludf.DUMMYFUNCTION("GOOGLETRANSLATE(C267,""fr"",""en"")"),"1 motorcycle 600 cm3 1 scooter 125 cm3 + 2 cars in all risks Twingo 2012 and C3 2017
All sleep in parking. On the C3 Bris de la Vitre near retro, hood flight, headlights, grille, bumper, battery ...
Even at all risk insurance does not want to take car"&amp;"e of anything. These parts, however essential to the proper functioning of the vehicle are considered by the mutual of bikers as accessories.
If this dispute is not resolved I will surely make legal proceedings
Really scandalous
""I am not satisfie"&amp;"d with my car insurance. I have been at Mutuelle des Motards for 2 years.""")</f>
        <v>1 motorcycle 600 cm3 1 scooter 125 cm3 + 2 cars in all risks Twingo 2012 and C3 2017
All sleep in parking. On the C3 Bris de la Vitre near retro, hood flight, headlights, grille, bumper, battery ...
Even at all risk insurance does not want to take care of anything. These parts, however essential to the proper functioning of the vehicle are considered by the mutual of bikers as accessories.
If this dispute is not resolved I will surely make legal proceedings
Really scandalous
"I am not satisfied with my car insurance. I have been at Mutuelle des Motards for 2 years."</v>
      </c>
    </row>
    <row r="268" ht="15.75" customHeight="1">
      <c r="A268" s="2">
        <v>4.0</v>
      </c>
      <c r="B268" s="2" t="s">
        <v>873</v>
      </c>
      <c r="C268" s="2" t="s">
        <v>874</v>
      </c>
      <c r="D268" s="2" t="s">
        <v>20</v>
      </c>
      <c r="E268" s="2" t="s">
        <v>21</v>
      </c>
      <c r="F268" s="2" t="s">
        <v>15</v>
      </c>
      <c r="G268" s="2" t="s">
        <v>432</v>
      </c>
      <c r="H268" s="2" t="s">
        <v>28</v>
      </c>
      <c r="I268" s="2" t="str">
        <f>IFERROR(__xludf.DUMMYFUNCTION("GOOGLETRANSLATE(C268,""fr"",""en"")"),"I am delighted with the price that was offered to me, very affordable. I would like to ensure another Citroën C Crosser, 2009 model vehicle and buy a week ago. For the Fiat, I keep insurance.")</f>
        <v>I am delighted with the price that was offered to me, very affordable. I would like to ensure another Citroën C Crosser, 2009 model vehicle and buy a week ago. For the Fiat, I keep insurance.</v>
      </c>
    </row>
    <row r="269" ht="15.75" customHeight="1">
      <c r="A269" s="2">
        <v>5.0</v>
      </c>
      <c r="B269" s="2" t="s">
        <v>875</v>
      </c>
      <c r="C269" s="2" t="s">
        <v>876</v>
      </c>
      <c r="D269" s="2" t="s">
        <v>103</v>
      </c>
      <c r="E269" s="2" t="s">
        <v>104</v>
      </c>
      <c r="F269" s="2" t="s">
        <v>15</v>
      </c>
      <c r="G269" s="2" t="s">
        <v>877</v>
      </c>
      <c r="H269" s="2" t="s">
        <v>28</v>
      </c>
      <c r="I269" s="2" t="str">
        <f>IFERROR(__xludf.DUMMYFUNCTION("GOOGLETRANSLATE(C269,""fr"",""en"")"),"Zen Up offers fast, easy cheap and online service.
It is appreciable not to have to make paper files with exchanges by post.
")</f>
        <v>Zen Up offers fast, easy cheap and online service.
It is appreciable not to have to make paper files with exchanges by post.
</v>
      </c>
    </row>
    <row r="270" ht="15.75" customHeight="1">
      <c r="A270" s="2">
        <v>1.0</v>
      </c>
      <c r="B270" s="2" t="s">
        <v>878</v>
      </c>
      <c r="C270" s="2" t="s">
        <v>879</v>
      </c>
      <c r="D270" s="2" t="s">
        <v>45</v>
      </c>
      <c r="E270" s="2" t="s">
        <v>14</v>
      </c>
      <c r="F270" s="2" t="s">
        <v>15</v>
      </c>
      <c r="G270" s="2" t="s">
        <v>880</v>
      </c>
      <c r="H270" s="2" t="s">
        <v>372</v>
      </c>
      <c r="I270" s="2" t="str">
        <f>IFERROR(__xludf.DUMMYFUNCTION("GOOGLETRANSLATE(C270,""fr"",""en"")"),"Very very bad experience !!!
Mutual to flee!
Following an orthodontic compression rest, I had been held completely taken care of, then after intervention I was told a refund in a year because the care is not so saying. False the care is finished, it i"&amp;"s an intervention made in one time and which lasts between 10 and 15 years.
My membership is open until the end of January and now I am even announced a reimbursement in proportion to 2 months out of 340 euros.
The announced things are not respected
"&amp;"
To be strongly advised
For my part the file is not closed.")</f>
        <v>Very very bad experience !!!
Mutual to flee!
Following an orthodontic compression rest, I had been held completely taken care of, then after intervention I was told a refund in a year because the care is not so saying. False the care is finished, it is an intervention made in one time and which lasts between 10 and 15 years.
My membership is open until the end of January and now I am even announced a reimbursement in proportion to 2 months out of 340 euros.
The announced things are not respected
To be strongly advised
For my part the file is not closed.</v>
      </c>
    </row>
    <row r="271" ht="15.75" customHeight="1">
      <c r="A271" s="2">
        <v>1.0</v>
      </c>
      <c r="B271" s="2" t="s">
        <v>881</v>
      </c>
      <c r="C271" s="2" t="s">
        <v>882</v>
      </c>
      <c r="D271" s="2" t="s">
        <v>41</v>
      </c>
      <c r="E271" s="2" t="s">
        <v>21</v>
      </c>
      <c r="F271" s="2" t="s">
        <v>15</v>
      </c>
      <c r="G271" s="2" t="s">
        <v>883</v>
      </c>
      <c r="H271" s="2" t="s">
        <v>118</v>
      </c>
      <c r="I271" s="2" t="str">
        <f>IFERROR(__xludf.DUMMYFUNCTION("GOOGLETRANSLATE(C271,""fr"",""en"")"),"Insured for more than two years at Direct Insurance I have just noticed that the price has not changed since the start of the contract without having a claim (see increasing with the change of address) so I redid an online quote when I returned Same infor"&amp;"mation, it went with 500 euros less ...")</f>
        <v>Insured for more than two years at Direct Insurance I have just noticed that the price has not changed since the start of the contract without having a claim (see increasing with the change of address) so I redid an online quote when I returned Same information, it went with 500 euros less ...</v>
      </c>
    </row>
    <row r="272" ht="15.75" customHeight="1">
      <c r="A272" s="2">
        <v>5.0</v>
      </c>
      <c r="B272" s="2" t="s">
        <v>884</v>
      </c>
      <c r="C272" s="2" t="s">
        <v>885</v>
      </c>
      <c r="D272" s="2" t="s">
        <v>13</v>
      </c>
      <c r="E272" s="2" t="s">
        <v>14</v>
      </c>
      <c r="F272" s="2" t="s">
        <v>15</v>
      </c>
      <c r="G272" s="2" t="s">
        <v>725</v>
      </c>
      <c r="H272" s="2" t="s">
        <v>726</v>
      </c>
      <c r="I272" s="2" t="str">
        <f>IFERROR(__xludf.DUMMYFUNCTION("GOOGLETRANSLATE(C272,""fr"",""en"")"),"Néoliane has been covering me for two years now and being very close to my reimbursements I am happy to be reimbursed very quickly because that's all I am waiting for my complementary with the amount of my monthly subscription.")</f>
        <v>Néoliane has been covering me for two years now and being very close to my reimbursements I am happy to be reimbursed very quickly because that's all I am waiting for my complementary with the amount of my monthly subscription.</v>
      </c>
    </row>
    <row r="273" ht="15.75" customHeight="1">
      <c r="A273" s="2">
        <v>3.0</v>
      </c>
      <c r="B273" s="2" t="s">
        <v>886</v>
      </c>
      <c r="C273" s="2" t="s">
        <v>887</v>
      </c>
      <c r="D273" s="2" t="s">
        <v>41</v>
      </c>
      <c r="E273" s="2" t="s">
        <v>21</v>
      </c>
      <c r="F273" s="2" t="s">
        <v>15</v>
      </c>
      <c r="G273" s="2" t="s">
        <v>140</v>
      </c>
      <c r="H273" s="2" t="s">
        <v>23</v>
      </c>
      <c r="I273" s="2" t="str">
        <f>IFERROR(__xludf.DUMMYFUNCTION("GOOGLETRANSLATE(C273,""fr"",""en"")"),"I am satisfied with the Direct Insurance service,
Simple and quick, customer service always listening to its customers
Question price is exactly price, no loyalty offer")</f>
        <v>I am satisfied with the Direct Insurance service,
Simple and quick, customer service always listening to its customers
Question price is exactly price, no loyalty offer</v>
      </c>
    </row>
    <row r="274" ht="15.75" customHeight="1">
      <c r="A274" s="2">
        <v>2.0</v>
      </c>
      <c r="B274" s="2" t="s">
        <v>888</v>
      </c>
      <c r="C274" s="2" t="s">
        <v>889</v>
      </c>
      <c r="D274" s="2" t="s">
        <v>164</v>
      </c>
      <c r="E274" s="2" t="s">
        <v>58</v>
      </c>
      <c r="F274" s="2" t="s">
        <v>15</v>
      </c>
      <c r="G274" s="2" t="s">
        <v>890</v>
      </c>
      <c r="H274" s="2" t="s">
        <v>51</v>
      </c>
      <c r="I274" s="2" t="str">
        <f>IFERROR(__xludf.DUMMYFUNCTION("GOOGLETRANSLATE(C274,""fr"",""en"")"),"My neighbor pours his wastewater in my cellar The building is cracked and the foundations are affected.
Their expert says that I am not insured for that !!? !!
I have to fend for myself on the opposing insurance.
Pacifica… to flee")</f>
        <v>My neighbor pours his wastewater in my cellar The building is cracked and the foundations are affected.
Their expert says that I am not insured for that !!? !!
I have to fend for myself on the opposing insurance.
Pacifica… to flee</v>
      </c>
    </row>
    <row r="275" ht="15.75" customHeight="1">
      <c r="A275" s="2">
        <v>3.0</v>
      </c>
      <c r="B275" s="2" t="s">
        <v>891</v>
      </c>
      <c r="C275" s="2" t="s">
        <v>892</v>
      </c>
      <c r="D275" s="2" t="s">
        <v>150</v>
      </c>
      <c r="E275" s="2" t="s">
        <v>122</v>
      </c>
      <c r="F275" s="2" t="s">
        <v>15</v>
      </c>
      <c r="G275" s="2" t="s">
        <v>893</v>
      </c>
      <c r="H275" s="2" t="s">
        <v>47</v>
      </c>
      <c r="I275" s="2" t="str">
        <f>IFERROR(__xludf.DUMMYFUNCTION("GOOGLETRANSLATE(C275,""fr"",""en"")"),"The prices do not suit me but you have to ensure the vehicles so no choice ... In addition, the procedures to obtain the papers are long. The service should be improved.")</f>
        <v>The prices do not suit me but you have to ensure the vehicles so no choice ... In addition, the procedures to obtain the papers are long. The service should be improved.</v>
      </c>
    </row>
    <row r="276" ht="15.75" customHeight="1">
      <c r="A276" s="2">
        <v>2.0</v>
      </c>
      <c r="B276" s="2" t="s">
        <v>894</v>
      </c>
      <c r="C276" s="2" t="s">
        <v>895</v>
      </c>
      <c r="D276" s="2" t="s">
        <v>116</v>
      </c>
      <c r="E276" s="2" t="s">
        <v>21</v>
      </c>
      <c r="F276" s="2" t="s">
        <v>15</v>
      </c>
      <c r="G276" s="2" t="s">
        <v>896</v>
      </c>
      <c r="H276" s="2" t="s">
        <v>660</v>
      </c>
      <c r="I276" s="2" t="str">
        <f>IFERROR(__xludf.DUMMYFUNCTION("GOOGLETRANSLATE(C276,""fr"",""en"")"),"I want to share my deep dissatisfaction with the Matmut, in terms of assistance nothing to complain about but the matmut is something else.
My vehicle was affected on 18/12/2020 (smoke departure from the engine compartment, without any flame because quic"&amp;"kly mastered by the firefighters), the Matmut decides to transfer it to a spavator without the expert having seen it and May give his opinion. The expert therefore moves to the spavors and concluded that the car repairability is repairability.
The car is"&amp;" transferred to a garage to be repaired (01/18/2021). As by chance, the amount of the work does not exceed the amount of the franchise !!. The garage which was to repair the car refuses to do it. I call the Matmut (with great trouble having them) to trans"&amp;"fer the car to a Another garage, but the person on the phone tells me that you have to call the assistance to take care of it, I call the assistance who tells me that it is the insurance that must be called !! And so on for 15 days.
In short, we are 4/02"&amp;"/2021 and the car is still not repaired because I think that in fact the repair costs will exceed the amount of the deductible and the Matmut does not want to get their hands Pocket, yet I am a good customer, I have never had a claim since I was at home ("&amp;"2011) and the contributions have been well received.
All that to say that I am very disappointed with this insurance.")</f>
        <v>I want to share my deep dissatisfaction with the Matmut, in terms of assistance nothing to complain about but the matmut is something else.
My vehicle was affected on 18/12/2020 (smoke departure from the engine compartment, without any flame because quickly mastered by the firefighters), the Matmut decides to transfer it to a spavator without the expert having seen it and May give his opinion. The expert therefore moves to the spavors and concluded that the car repairability is repairability.
The car is transferred to a garage to be repaired (01/18/2021). As by chance, the amount of the work does not exceed the amount of the franchise !!. The garage which was to repair the car refuses to do it. I call the Matmut (with great trouble having them) to transfer the car to a Another garage, but the person on the phone tells me that you have to call the assistance to take care of it, I call the assistance who tells me that it is the insurance that must be called !! And so on for 15 days.
In short, we are 4/02/2021 and the car is still not repaired because I think that in fact the repair costs will exceed the amount of the deductible and the Matmut does not want to get their hands Pocket, yet I am a good customer, I have never had a claim since I was at home (2011) and the contributions have been well received.
All that to say that I am very disappointed with this insurance.</v>
      </c>
    </row>
    <row r="277" ht="15.75" customHeight="1">
      <c r="A277" s="2">
        <v>1.0</v>
      </c>
      <c r="B277" s="2" t="s">
        <v>897</v>
      </c>
      <c r="C277" s="2" t="s">
        <v>898</v>
      </c>
      <c r="D277" s="2" t="s">
        <v>899</v>
      </c>
      <c r="E277" s="2" t="s">
        <v>104</v>
      </c>
      <c r="F277" s="2" t="s">
        <v>15</v>
      </c>
      <c r="G277" s="2" t="s">
        <v>900</v>
      </c>
      <c r="H277" s="2" t="s">
        <v>209</v>
      </c>
      <c r="I277" s="2" t="str">
        <f>IFERROR(__xludf.DUMMYFUNCTION("GOOGLETRANSLATE(C277,""fr"",""en"")"),"Very unhappy with this insurance, on the pretext that the occupational physician who prolongs my stop says that I am able to drive but also too fair for walking tasks, loading and unloading of the truck cannot be put in safety shoes this Insurance cuts me"&amp;" reimbursements")</f>
        <v>Very unhappy with this insurance, on the pretext that the occupational physician who prolongs my stop says that I am able to drive but also too fair for walking tasks, loading and unloading of the truck cannot be put in safety shoes this Insurance cuts me reimbursements</v>
      </c>
    </row>
    <row r="278" ht="15.75" customHeight="1">
      <c r="A278" s="2">
        <v>1.0</v>
      </c>
      <c r="B278" s="2" t="s">
        <v>901</v>
      </c>
      <c r="C278" s="2" t="s">
        <v>902</v>
      </c>
      <c r="D278" s="2" t="s">
        <v>67</v>
      </c>
      <c r="E278" s="2" t="s">
        <v>122</v>
      </c>
      <c r="F278" s="2" t="s">
        <v>15</v>
      </c>
      <c r="G278" s="2" t="s">
        <v>903</v>
      </c>
      <c r="H278" s="2" t="s">
        <v>372</v>
      </c>
      <c r="I278" s="2" t="str">
        <f>IFERROR(__xludf.DUMMYFUNCTION("GOOGLETRANSLATE(C278,""fr"",""en"")"),"I have been with you for years and I have no customer advantage. No reduction on big contributions .. I went to the Argenteuil agency to be very badly received. Unable to make the slightest effort to try to keep me.")</f>
        <v>I have been with you for years and I have no customer advantage. No reduction on big contributions .. I went to the Argenteuil agency to be very badly received. Unable to make the slightest effort to try to keep me.</v>
      </c>
    </row>
    <row r="279" ht="15.75" customHeight="1">
      <c r="A279" s="2">
        <v>1.0</v>
      </c>
      <c r="B279" s="2" t="s">
        <v>904</v>
      </c>
      <c r="C279" s="2" t="s">
        <v>905</v>
      </c>
      <c r="D279" s="2" t="s">
        <v>116</v>
      </c>
      <c r="E279" s="2" t="s">
        <v>58</v>
      </c>
      <c r="F279" s="2" t="s">
        <v>15</v>
      </c>
      <c r="G279" s="2" t="s">
        <v>906</v>
      </c>
      <c r="H279" s="2" t="s">
        <v>372</v>
      </c>
      <c r="I279" s="2" t="str">
        <f>IFERROR(__xludf.DUMMYFUNCTION("GOOGLETRANSLATE(C279,""fr"",""en"")"),"Water damage in my main residence (current sinister) The management of my file is a disaster! 170 euros reimbursed without anyone asking for damage precisely. Estimate made at random, poorly polished teleoperator!
11 years that I am in the Matmut is a sh"&amp;"ame.
I will terminate my contract today.")</f>
        <v>Water damage in my main residence (current sinister) The management of my file is a disaster! 170 euros reimbursed without anyone asking for damage precisely. Estimate made at random, poorly polished teleoperator!
11 years that I am in the Matmut is a shame.
I will terminate my contract today.</v>
      </c>
    </row>
    <row r="280" ht="15.75" customHeight="1">
      <c r="A280" s="2">
        <v>4.0</v>
      </c>
      <c r="B280" s="2" t="s">
        <v>907</v>
      </c>
      <c r="C280" s="2" t="s">
        <v>908</v>
      </c>
      <c r="D280" s="2" t="s">
        <v>20</v>
      </c>
      <c r="E280" s="2" t="s">
        <v>21</v>
      </c>
      <c r="F280" s="2" t="s">
        <v>15</v>
      </c>
      <c r="G280" s="2" t="s">
        <v>909</v>
      </c>
      <c r="H280" s="2" t="s">
        <v>23</v>
      </c>
      <c r="I280" s="2" t="str">
        <f>IFERROR(__xludf.DUMMYFUNCTION("GOOGLETRANSLATE(C280,""fr"",""en"")"),"I am satisfied with this super price insurance for young drivers and a top follow -up, always attentive and very good customer services.")</f>
        <v>I am satisfied with this super price insurance for young drivers and a top follow -up, always attentive and very good customer services.</v>
      </c>
    </row>
    <row r="281" ht="15.75" customHeight="1">
      <c r="A281" s="2">
        <v>1.0</v>
      </c>
      <c r="B281" s="2" t="s">
        <v>910</v>
      </c>
      <c r="C281" s="2" t="s">
        <v>911</v>
      </c>
      <c r="D281" s="2" t="s">
        <v>605</v>
      </c>
      <c r="E281" s="2" t="s">
        <v>14</v>
      </c>
      <c r="F281" s="2" t="s">
        <v>15</v>
      </c>
      <c r="G281" s="2" t="s">
        <v>912</v>
      </c>
      <c r="H281" s="2" t="s">
        <v>913</v>
      </c>
      <c r="I281" s="2" t="str">
        <f>IFERROR(__xludf.DUMMYFUNCTION("GOOGLETRANSLATE(C281,""fr"",""en"")"),"I have this business mutual since I arrived, we were at AG2R Reunica now AG2R (same group) and this is still catastrophic.
For 4 weeks now, I have been waiting for my adult orthodontic reimbursements (which are not charged by social security).
I am stro"&amp;"lled by telling me that it lacks dates, I refer the invoice, then cannot be taken into account because it is straddling between two contracts (despite a call in the morning before sending my invoice by email to your services for the proportion of this inv"&amp;"oice).
A week after rebelote invoice refused downright.
Since the beginning of the week I find myself with three interlocutors different from the management center who have been unable to give their violin on their response.
We end up telling me that a"&amp;" statement of social security is needed (difficult for an invoice on which it is annotated not reimbursed by the S.S) and also a non -refund of Reunica (you have the termination slips in your possession), Like all sheep I refer the termination slip of my "&amp;"company and the email of the management center.
We have been supposed to have been reminded to me since Monday, if I do not have online service by Friday July 07, 2017, I will send a registered letter to the repressions of fraud, for non -compliance with"&amp;" the contract.
Because to make the reimbursement period last on files is unacceptable, as soon as it is a question of getting out of the money, the slightest pretext is good for making reimbursements last.
")</f>
        <v>I have this business mutual since I arrived, we were at AG2R Reunica now AG2R (same group) and this is still catastrophic.
For 4 weeks now, I have been waiting for my adult orthodontic reimbursements (which are not charged by social security).
I am strolled by telling me that it lacks dates, I refer the invoice, then cannot be taken into account because it is straddling between two contracts (despite a call in the morning before sending my invoice by email to your services for the proportion of this invoice).
A week after rebelote invoice refused downright.
Since the beginning of the week I find myself with three interlocutors different from the management center who have been unable to give their violin on their response.
We end up telling me that a statement of social security is needed (difficult for an invoice on which it is annotated not reimbursed by the S.S) and also a non -refund of Reunica (you have the termination slips in your possession), Like all sheep I refer the termination slip of my company and the email of the management center.
We have been supposed to have been reminded to me since Monday, if I do not have online service by Friday July 07, 2017, I will send a registered letter to the repressions of fraud, for non -compliance with the contract.
Because to make the reimbursement period last on files is unacceptable, as soon as it is a question of getting out of the money, the slightest pretext is good for making reimbursements last.
</v>
      </c>
    </row>
    <row r="282" ht="15.75" customHeight="1">
      <c r="A282" s="2">
        <v>4.0</v>
      </c>
      <c r="B282" s="2" t="s">
        <v>914</v>
      </c>
      <c r="C282" s="2" t="s">
        <v>915</v>
      </c>
      <c r="D282" s="2" t="s">
        <v>41</v>
      </c>
      <c r="E282" s="2" t="s">
        <v>21</v>
      </c>
      <c r="F282" s="2" t="s">
        <v>15</v>
      </c>
      <c r="G282" s="2" t="s">
        <v>523</v>
      </c>
      <c r="H282" s="2" t="s">
        <v>42</v>
      </c>
      <c r="I282" s="2" t="str">
        <f>IFERROR(__xludf.DUMMYFUNCTION("GOOGLETRANSLATE(C282,""fr"",""en"")"),"I am satisfied with the subscription service. Everything happened quickly. And the interface is simple and practical to use.
My husband is rather satisfied with the service")</f>
        <v>I am satisfied with the subscription service. Everything happened quickly. And the interface is simple and practical to use.
My husband is rather satisfied with the service</v>
      </c>
    </row>
    <row r="283" ht="15.75" customHeight="1">
      <c r="A283" s="2">
        <v>5.0</v>
      </c>
      <c r="B283" s="2" t="s">
        <v>916</v>
      </c>
      <c r="C283" s="2" t="s">
        <v>917</v>
      </c>
      <c r="D283" s="2" t="s">
        <v>20</v>
      </c>
      <c r="E283" s="2" t="s">
        <v>21</v>
      </c>
      <c r="F283" s="2" t="s">
        <v>15</v>
      </c>
      <c r="G283" s="2" t="s">
        <v>247</v>
      </c>
      <c r="H283" s="2" t="s">
        <v>47</v>
      </c>
      <c r="I283" s="2" t="str">
        <f>IFERROR(__xludf.DUMMYFUNCTION("GOOGLETRANSLATE(C283,""fr"",""en"")"),"I am satisfied with the service of the speed of quality and information that I have been able to obtain very happy with professional telephone quality")</f>
        <v>I am satisfied with the service of the speed of quality and information that I have been able to obtain very happy with professional telephone quality</v>
      </c>
    </row>
    <row r="284" ht="15.75" customHeight="1">
      <c r="A284" s="2">
        <v>3.0</v>
      </c>
      <c r="B284" s="2" t="s">
        <v>918</v>
      </c>
      <c r="C284" s="2" t="s">
        <v>919</v>
      </c>
      <c r="D284" s="2" t="s">
        <v>121</v>
      </c>
      <c r="E284" s="2" t="s">
        <v>122</v>
      </c>
      <c r="F284" s="2" t="s">
        <v>15</v>
      </c>
      <c r="G284" s="2" t="s">
        <v>809</v>
      </c>
      <c r="H284" s="2" t="s">
        <v>51</v>
      </c>
      <c r="I284" s="2" t="str">
        <f>IFERROR(__xludf.DUMMYFUNCTION("GOOGLETRANSLATE(C284,""fr"",""en"")"),"For my membership as a new customer, a well -explained and easy -to -use site. To see in time and in the event of a disaster.
Level Prices, very attractive, just regrets the reimbursement of the value of the helmet (250 €).")</f>
        <v>For my membership as a new customer, a well -explained and easy -to -use site. To see in time and in the event of a disaster.
Level Prices, very attractive, just regrets the reimbursement of the value of the helmet (250 €).</v>
      </c>
    </row>
    <row r="285" ht="15.75" customHeight="1">
      <c r="A285" s="2">
        <v>2.0</v>
      </c>
      <c r="B285" s="2" t="s">
        <v>920</v>
      </c>
      <c r="C285" s="2" t="s">
        <v>921</v>
      </c>
      <c r="D285" s="2" t="s">
        <v>212</v>
      </c>
      <c r="E285" s="2" t="s">
        <v>922</v>
      </c>
      <c r="F285" s="2" t="s">
        <v>15</v>
      </c>
      <c r="G285" s="2" t="s">
        <v>923</v>
      </c>
      <c r="H285" s="2" t="s">
        <v>465</v>
      </c>
      <c r="I285" s="2" t="str">
        <f>IFERROR(__xludf.DUMMYFUNCTION("GOOGLETRANSLATE(C285,""fr"",""en"")"),"A file started in May no full request but by documents. And this .... until July! Complete August validation payment within 8 days 8sep no news despite the obligation to pay! At Allianz we like to do last the files.
An insurer to avoid.")</f>
        <v>A file started in May no full request but by documents. And this .... until July! Complete August validation payment within 8 days 8sep no news despite the obligation to pay! At Allianz we like to do last the files.
An insurer to avoid.</v>
      </c>
    </row>
    <row r="286" ht="15.75" customHeight="1">
      <c r="A286" s="2">
        <v>4.0</v>
      </c>
      <c r="B286" s="2" t="s">
        <v>924</v>
      </c>
      <c r="C286" s="2" t="s">
        <v>925</v>
      </c>
      <c r="D286" s="2" t="s">
        <v>150</v>
      </c>
      <c r="E286" s="2" t="s">
        <v>122</v>
      </c>
      <c r="F286" s="2" t="s">
        <v>15</v>
      </c>
      <c r="G286" s="2" t="s">
        <v>735</v>
      </c>
      <c r="H286" s="2" t="s">
        <v>47</v>
      </c>
      <c r="I286" s="2" t="str">
        <f>IFERROR(__xludf.DUMMYFUNCTION("GOOGLETRANSLATE(C286,""fr"",""en"")"),"I am satisfied with the service.
The prices are quite reasonable.
The folder is easy to fill.
Just to see if the insurance certificate arrives quickly on my mailbox")</f>
        <v>I am satisfied with the service.
The prices are quite reasonable.
The folder is easy to fill.
Just to see if the insurance certificate arrives quickly on my mailbox</v>
      </c>
    </row>
    <row r="287" ht="15.75" customHeight="1">
      <c r="A287" s="2">
        <v>1.0</v>
      </c>
      <c r="B287" s="2" t="s">
        <v>926</v>
      </c>
      <c r="C287" s="2" t="s">
        <v>927</v>
      </c>
      <c r="D287" s="2" t="s">
        <v>67</v>
      </c>
      <c r="E287" s="2" t="s">
        <v>58</v>
      </c>
      <c r="F287" s="2" t="s">
        <v>15</v>
      </c>
      <c r="G287" s="2" t="s">
        <v>928</v>
      </c>
      <c r="H287" s="2" t="s">
        <v>309</v>
      </c>
      <c r="I287" s="2" t="str">
        <f>IFERROR(__xludf.DUMMYFUNCTION("GOOGLETRANSLATE(C287,""fr"",""en"")"),"We have been waiting since December 18 that the MAAF has been taking care of significant water damage. Since that time, we can no longer use the only bathroom in the apartment. The expert does not give anything at all - he promises to call but does not do"&amp;" so, does not answer questions by email, does not give us the results of the meetings, and is now ""gone on vacation for a month"". We had to pay the repairs ourselves because we couldn't wait. I am absolutely disgusted by the incompetence and the bad fai"&amp;"th shown by the Maaf and its 'experts'.")</f>
        <v>We have been waiting since December 18 that the MAAF has been taking care of significant water damage. Since that time, we can no longer use the only bathroom in the apartment. The expert does not give anything at all - he promises to call but does not do so, does not answer questions by email, does not give us the results of the meetings, and is now "gone on vacation for a month". We had to pay the repairs ourselves because we couldn't wait. I am absolutely disgusted by the incompetence and the bad faith shown by the Maaf and its 'experts'.</v>
      </c>
    </row>
    <row r="288" ht="15.75" customHeight="1">
      <c r="A288" s="2">
        <v>4.0</v>
      </c>
      <c r="B288" s="2" t="s">
        <v>929</v>
      </c>
      <c r="C288" s="2" t="s">
        <v>930</v>
      </c>
      <c r="D288" s="2" t="s">
        <v>41</v>
      </c>
      <c r="E288" s="2" t="s">
        <v>21</v>
      </c>
      <c r="F288" s="2" t="s">
        <v>15</v>
      </c>
      <c r="G288" s="2" t="s">
        <v>711</v>
      </c>
      <c r="H288" s="2" t="s">
        <v>118</v>
      </c>
      <c r="I288" s="2" t="str">
        <f>IFERROR(__xludf.DUMMYFUNCTION("GOOGLETRANSLATE(C288,""fr"",""en"")"),"Satisfied with the price. I'm going to read the details quote to decide. Quick quote request. Very good site efficiency. The site is well done.")</f>
        <v>Satisfied with the price. I'm going to read the details quote to decide. Quick quote request. Very good site efficiency. The site is well done.</v>
      </c>
    </row>
    <row r="289" ht="15.75" customHeight="1">
      <c r="A289" s="2">
        <v>1.0</v>
      </c>
      <c r="B289" s="2" t="s">
        <v>931</v>
      </c>
      <c r="C289" s="2" t="s">
        <v>932</v>
      </c>
      <c r="D289" s="2" t="s">
        <v>212</v>
      </c>
      <c r="E289" s="2" t="s">
        <v>21</v>
      </c>
      <c r="F289" s="2" t="s">
        <v>15</v>
      </c>
      <c r="G289" s="2" t="s">
        <v>316</v>
      </c>
      <c r="H289" s="2" t="s">
        <v>55</v>
      </c>
      <c r="I289" s="2" t="str">
        <f>IFERROR(__xludf.DUMMYFUNCTION("GOOGLETRANSLATE(C289,""fr"",""en"")"),"Since the merger with our Allsecur insurance we have encountered that problems with Allianz
Hours for waiting for an advisor to take care of you
Customer service that (nothing to do with customers)
Grabs without knowing why knowing that he has never pr"&amp;"esented a Mondat SEPA neither to my bank nor ask me (namely that during IBAN change it is necessary to warn the customer)
Advisers who happen the fault between them.
No follow -up of the complaint I do not understand
A single advice do not commit yours"&amp;"elf I imagine if you encounter a problem on the road it can last for months
")</f>
        <v>Since the merger with our Allsecur insurance we have encountered that problems with Allianz
Hours for waiting for an advisor to take care of you
Customer service that (nothing to do with customers)
Grabs without knowing why knowing that he has never presented a Mondat SEPA neither to my bank nor ask me (namely that during IBAN change it is necessary to warn the customer)
Advisers who happen the fault between them.
No follow -up of the complaint I do not understand
A single advice do not commit yourself I imagine if you encounter a problem on the road it can last for months
</v>
      </c>
    </row>
    <row r="290" ht="15.75" customHeight="1">
      <c r="A290" s="2">
        <v>4.0</v>
      </c>
      <c r="B290" s="2" t="s">
        <v>933</v>
      </c>
      <c r="C290" s="2" t="s">
        <v>934</v>
      </c>
      <c r="D290" s="2" t="s">
        <v>20</v>
      </c>
      <c r="E290" s="2" t="s">
        <v>21</v>
      </c>
      <c r="F290" s="2" t="s">
        <v>15</v>
      </c>
      <c r="G290" s="2" t="s">
        <v>935</v>
      </c>
      <c r="H290" s="2" t="s">
        <v>134</v>
      </c>
      <c r="I290" s="2" t="str">
        <f>IFERROR(__xludf.DUMMYFUNCTION("GOOGLETRANSLATE(C290,""fr"",""en"")"),"I am satisfied with the service, the price is reasonable for young driver and the contract is quickly set up. I will recommend this insurance")</f>
        <v>I am satisfied with the service, the price is reasonable for young driver and the contract is quickly set up. I will recommend this insurance</v>
      </c>
    </row>
    <row r="291" ht="15.75" customHeight="1">
      <c r="A291" s="2">
        <v>4.0</v>
      </c>
      <c r="B291" s="2" t="s">
        <v>936</v>
      </c>
      <c r="C291" s="2" t="s">
        <v>937</v>
      </c>
      <c r="D291" s="2" t="s">
        <v>20</v>
      </c>
      <c r="E291" s="2" t="s">
        <v>21</v>
      </c>
      <c r="F291" s="2" t="s">
        <v>15</v>
      </c>
      <c r="G291" s="2" t="s">
        <v>735</v>
      </c>
      <c r="H291" s="2" t="s">
        <v>47</v>
      </c>
      <c r="I291" s="2" t="str">
        <f>IFERROR(__xludf.DUMMYFUNCTION("GOOGLETRANSLATE(C291,""fr"",""en"")"),"I gladly recommend to a friend! For an internet subscription we manage to reach them easily in order to have vocal correspondence and that's what I need.")</f>
        <v>I gladly recommend to a friend! For an internet subscription we manage to reach them easily in order to have vocal correspondence and that's what I need.</v>
      </c>
    </row>
    <row r="292" ht="15.75" customHeight="1">
      <c r="A292" s="2">
        <v>1.0</v>
      </c>
      <c r="B292" s="2" t="s">
        <v>938</v>
      </c>
      <c r="C292" s="2" t="s">
        <v>939</v>
      </c>
      <c r="D292" s="2" t="s">
        <v>605</v>
      </c>
      <c r="E292" s="2" t="s">
        <v>195</v>
      </c>
      <c r="F292" s="2" t="s">
        <v>15</v>
      </c>
      <c r="G292" s="2" t="s">
        <v>940</v>
      </c>
      <c r="H292" s="2" t="s">
        <v>610</v>
      </c>
      <c r="I292" s="2" t="str">
        <f>IFERROR(__xludf.DUMMYFUNCTION("GOOGLETRANSLATE(C292,""fr"",""en"")"),"AG2R practices a non -payment policy by claiming incomplete files and or an internal processing time of 8 to 10 weeks")</f>
        <v>AG2R practices a non -payment policy by claiming incomplete files and or an internal processing time of 8 to 10 weeks</v>
      </c>
    </row>
    <row r="293" ht="15.75" customHeight="1">
      <c r="A293" s="2">
        <v>3.0</v>
      </c>
      <c r="B293" s="2" t="s">
        <v>941</v>
      </c>
      <c r="C293" s="2" t="s">
        <v>942</v>
      </c>
      <c r="D293" s="2" t="s">
        <v>72</v>
      </c>
      <c r="E293" s="2" t="s">
        <v>21</v>
      </c>
      <c r="F293" s="2" t="s">
        <v>15</v>
      </c>
      <c r="G293" s="2" t="s">
        <v>793</v>
      </c>
      <c r="H293" s="2" t="s">
        <v>346</v>
      </c>
      <c r="I293" s="2" t="str">
        <f>IFERROR(__xludf.DUMMYFUNCTION("GOOGLETRANSLATE(C293,""fr"",""en"")"),"Desagreable and incompetent telephonic reception.")</f>
        <v>Desagreable and incompetent telephonic reception.</v>
      </c>
    </row>
    <row r="294" ht="15.75" customHeight="1">
      <c r="A294" s="2">
        <v>4.0</v>
      </c>
      <c r="B294" s="2" t="s">
        <v>943</v>
      </c>
      <c r="C294" s="2" t="s">
        <v>944</v>
      </c>
      <c r="D294" s="2" t="s">
        <v>20</v>
      </c>
      <c r="E294" s="2" t="s">
        <v>21</v>
      </c>
      <c r="F294" s="2" t="s">
        <v>15</v>
      </c>
      <c r="G294" s="2" t="s">
        <v>945</v>
      </c>
      <c r="H294" s="2" t="s">
        <v>51</v>
      </c>
      <c r="I294" s="2" t="str">
        <f>IFERROR(__xludf.DUMMYFUNCTION("GOOGLETRANSLATE(C294,""fr"",""en"")"),"I am satisfied with the services offered, responsiveness, professionalism of interlocutors. To be confirmed during a disaster if services announced")</f>
        <v>I am satisfied with the services offered, responsiveness, professionalism of interlocutors. To be confirmed during a disaster if services announced</v>
      </c>
    </row>
    <row r="295" ht="15.75" customHeight="1">
      <c r="A295" s="2">
        <v>3.0</v>
      </c>
      <c r="B295" s="2" t="s">
        <v>946</v>
      </c>
      <c r="C295" s="2" t="s">
        <v>947</v>
      </c>
      <c r="D295" s="2" t="s">
        <v>150</v>
      </c>
      <c r="E295" s="2" t="s">
        <v>122</v>
      </c>
      <c r="F295" s="2" t="s">
        <v>15</v>
      </c>
      <c r="G295" s="2" t="s">
        <v>948</v>
      </c>
      <c r="H295" s="2" t="s">
        <v>913</v>
      </c>
      <c r="I295" s="2" t="str">
        <f>IFERROR(__xludf.DUMMYFUNCTION("GOOGLETRANSLATE(C295,""fr"",""en"")"),"When I read all the comments I am worried about my termination following the sale of my scooter. Personally I cannot judge the effectiveness of April Moto having no claim. But I remember my subscription which had annoyed me a lot ... Indeed, I had to pick"&amp;"ing verbally in writing to receive my green card ... suddenly, waiting for the reimbursement of my contribution too perceived since 15 /03/2017 after the proportion of the pro rata of the month committed as well as the 20th lump sum due to termination dur"&amp;"ing the first year, I wonder when I am reimbursed ... and especially if I will be!
April-Moto writes to me that I would be reimbursed in 40 days ... 40 days! It's huge as soon as possible, moreover I do not see it stipulated in my contract this famous de"&amp;"adline ...!? I will therefore look at myself to see with the legal service (independent of April Moto, namely my bank) to demand the amount due, (yes according to the law, without contractual delay, the sums due to anyone! The world, I don't like to see m"&amp;"y money in the pocket of another, especially in our era!
Otherwise go that, no worries with them.")</f>
        <v>When I read all the comments I am worried about my termination following the sale of my scooter. Personally I cannot judge the effectiveness of April Moto having no claim. But I remember my subscription which had annoyed me a lot ... Indeed, I had to picking verbally in writing to receive my green card ... suddenly, waiting for the reimbursement of my contribution too perceived since 15 /03/2017 after the proportion of the pro rata of the month committed as well as the 20th lump sum due to termination during the first year, I wonder when I am reimbursed ... and especially if I will be!
April-Moto writes to me that I would be reimbursed in 40 days ... 40 days! It's huge as soon as possible, moreover I do not see it stipulated in my contract this famous deadline ...!? I will therefore look at myself to see with the legal service (independent of April Moto, namely my bank) to demand the amount due, (yes according to the law, without contractual delay, the sums due to anyone! The world, I don't like to see my money in the pocket of another, especially in our era!
Otherwise go that, no worries with them.</v>
      </c>
    </row>
    <row r="296" ht="15.75" customHeight="1">
      <c r="A296" s="2">
        <v>5.0</v>
      </c>
      <c r="B296" s="2" t="s">
        <v>949</v>
      </c>
      <c r="C296" s="2" t="s">
        <v>950</v>
      </c>
      <c r="D296" s="2" t="s">
        <v>72</v>
      </c>
      <c r="E296" s="2" t="s">
        <v>21</v>
      </c>
      <c r="F296" s="2" t="s">
        <v>15</v>
      </c>
      <c r="G296" s="2" t="s">
        <v>809</v>
      </c>
      <c r="H296" s="2" t="s">
        <v>51</v>
      </c>
      <c r="I296" s="2" t="str">
        <f>IFERROR(__xludf.DUMMYFUNCTION("GOOGLETRANSLATE(C296,""fr"",""en"")"),"I am very satisfied with your services, the services are very satisfactory. The welcome is at the top. Do not change, stay like that.
Do not increase your prices
thank you
")</f>
        <v>I am very satisfied with your services, the services are very satisfactory. The welcome is at the top. Do not change, stay like that.
Do not increase your prices
thank you
</v>
      </c>
    </row>
    <row r="297" ht="15.75" customHeight="1">
      <c r="A297" s="2">
        <v>5.0</v>
      </c>
      <c r="B297" s="2" t="s">
        <v>951</v>
      </c>
      <c r="C297" s="2" t="s">
        <v>952</v>
      </c>
      <c r="D297" s="2" t="s">
        <v>41</v>
      </c>
      <c r="E297" s="2" t="s">
        <v>21</v>
      </c>
      <c r="F297" s="2" t="s">
        <v>15</v>
      </c>
      <c r="G297" s="2" t="s">
        <v>825</v>
      </c>
      <c r="H297" s="2" t="s">
        <v>55</v>
      </c>
      <c r="I297" s="2" t="str">
        <f>IFERROR(__xludf.DUMMYFUNCTION("GOOGLETRANSLATE(C297,""fr"",""en"")"),"I am satisfied with your services which are not excessive, the price for me but I prefer to pay on credit per month, that finances them at the end of the month")</f>
        <v>I am satisfied with your services which are not excessive, the price for me but I prefer to pay on credit per month, that finances them at the end of the month</v>
      </c>
    </row>
    <row r="298" ht="15.75" customHeight="1">
      <c r="A298" s="2">
        <v>3.0</v>
      </c>
      <c r="B298" s="2" t="s">
        <v>953</v>
      </c>
      <c r="C298" s="2" t="s">
        <v>954</v>
      </c>
      <c r="D298" s="2" t="s">
        <v>20</v>
      </c>
      <c r="E298" s="2" t="s">
        <v>21</v>
      </c>
      <c r="F298" s="2" t="s">
        <v>15</v>
      </c>
      <c r="G298" s="2" t="s">
        <v>392</v>
      </c>
      <c r="H298" s="2" t="s">
        <v>74</v>
      </c>
      <c r="I298" s="2" t="str">
        <f>IFERROR(__xludf.DUMMYFUNCTION("GOOGLETRANSLATE(C298,""fr"",""en"")"),"I am satisfied.
The prices and services offered remain correct even if it is always too expensive for a vehicle that runs less than 5000km per year.")</f>
        <v>I am satisfied.
The prices and services offered remain correct even if it is always too expensive for a vehicle that runs less than 5000km per year.</v>
      </c>
    </row>
    <row r="299" ht="15.75" customHeight="1">
      <c r="A299" s="2">
        <v>3.0</v>
      </c>
      <c r="B299" s="2" t="s">
        <v>955</v>
      </c>
      <c r="C299" s="2" t="s">
        <v>956</v>
      </c>
      <c r="D299" s="2" t="s">
        <v>216</v>
      </c>
      <c r="E299" s="2" t="s">
        <v>195</v>
      </c>
      <c r="F299" s="2" t="s">
        <v>15</v>
      </c>
      <c r="G299" s="2" t="s">
        <v>957</v>
      </c>
      <c r="H299" s="2" t="s">
        <v>412</v>
      </c>
      <c r="I299" s="2" t="str">
        <f>IFERROR(__xludf.DUMMYFUNCTION("GOOGLETRANSLATE(C299,""fr"",""en"")"),"To flee, endless deadlines for compensation in the event of incapacity for work, the MGEFI calls for the MPF Provident which depends on CNP Assurances. No communication, difficulty getting information, slowness.")</f>
        <v>To flee, endless deadlines for compensation in the event of incapacity for work, the MGEFI calls for the MPF Provident which depends on CNP Assurances. No communication, difficulty getting information, slowness.</v>
      </c>
    </row>
    <row r="300" ht="15.75" customHeight="1">
      <c r="A300" s="2">
        <v>5.0</v>
      </c>
      <c r="B300" s="2" t="s">
        <v>958</v>
      </c>
      <c r="C300" s="2" t="s">
        <v>959</v>
      </c>
      <c r="D300" s="2" t="s">
        <v>20</v>
      </c>
      <c r="E300" s="2" t="s">
        <v>21</v>
      </c>
      <c r="F300" s="2" t="s">
        <v>15</v>
      </c>
      <c r="G300" s="2" t="s">
        <v>960</v>
      </c>
      <c r="H300" s="2" t="s">
        <v>23</v>
      </c>
      <c r="I300" s="2" t="str">
        <f>IFERROR(__xludf.DUMMYFUNCTION("GOOGLETRANSLATE(C300,""fr"",""en"")"),"We are delighted, very good price positioning, reactive and relevant customer service.
We are thinking of changing all our contracts at home.
Administrative facility")</f>
        <v>We are delighted, very good price positioning, reactive and relevant customer service.
We are thinking of changing all our contracts at home.
Administrative facility</v>
      </c>
    </row>
    <row r="301" ht="15.75" customHeight="1">
      <c r="A301" s="2">
        <v>5.0</v>
      </c>
      <c r="B301" s="2" t="s">
        <v>961</v>
      </c>
      <c r="C301" s="2" t="s">
        <v>962</v>
      </c>
      <c r="D301" s="2" t="s">
        <v>41</v>
      </c>
      <c r="E301" s="2" t="s">
        <v>21</v>
      </c>
      <c r="F301" s="2" t="s">
        <v>15</v>
      </c>
      <c r="G301" s="2" t="s">
        <v>963</v>
      </c>
      <c r="H301" s="2" t="s">
        <v>23</v>
      </c>
      <c r="I301" s="2" t="str">
        <f>IFERROR(__xludf.DUMMYFUNCTION("GOOGLETRANSLATE(C301,""fr"",""en"")"),"Really very pleasantly surprised and satisfied with the proposals that have been made to me and for the moment do not regret my membership in Direct Assurance")</f>
        <v>Really very pleasantly surprised and satisfied with the proposals that have been made to me and for the moment do not regret my membership in Direct Assurance</v>
      </c>
    </row>
    <row r="302" ht="15.75" customHeight="1">
      <c r="A302" s="2">
        <v>1.0</v>
      </c>
      <c r="B302" s="2" t="s">
        <v>964</v>
      </c>
      <c r="C302" s="2" t="s">
        <v>965</v>
      </c>
      <c r="D302" s="2" t="s">
        <v>72</v>
      </c>
      <c r="E302" s="2" t="s">
        <v>58</v>
      </c>
      <c r="F302" s="2" t="s">
        <v>15</v>
      </c>
      <c r="G302" s="2" t="s">
        <v>966</v>
      </c>
      <c r="H302" s="2" t="s">
        <v>453</v>
      </c>
      <c r="I302" s="2" t="str">
        <f>IFERROR(__xludf.DUMMYFUNCTION("GOOGLETRANSLATE(C302,""fr"",""en"")"),"Run away!!! They send experts who systematically refuse to compensate. The expert has taken it apart apart from the expert in the opposing party when it proposed solutions. He supported the opposing part as if he were to defend their file.")</f>
        <v>Run away!!! They send experts who systematically refuse to compensate. The expert has taken it apart apart from the expert in the opposing party when it proposed solutions. He supported the opposing part as if he were to defend their file.</v>
      </c>
    </row>
    <row r="303" ht="15.75" customHeight="1">
      <c r="A303" s="2">
        <v>3.0</v>
      </c>
      <c r="B303" s="2" t="s">
        <v>967</v>
      </c>
      <c r="C303" s="2" t="s">
        <v>968</v>
      </c>
      <c r="D303" s="2" t="s">
        <v>41</v>
      </c>
      <c r="E303" s="2" t="s">
        <v>21</v>
      </c>
      <c r="F303" s="2" t="s">
        <v>15</v>
      </c>
      <c r="G303" s="2" t="s">
        <v>628</v>
      </c>
      <c r="H303" s="2" t="s">
        <v>42</v>
      </c>
      <c r="I303" s="2" t="str">
        <f>IFERROR(__xludf.DUMMYFUNCTION("GOOGLETRANSLATE(C303,""fr"",""en"")"),"I am satisfied with the service. I regret paying as much with 4 vehicle provided by Direct Insurance. I was never offered to review my annual pricing, so I in the face to make a study to the competition.")</f>
        <v>I am satisfied with the service. I regret paying as much with 4 vehicle provided by Direct Insurance. I was never offered to review my annual pricing, so I in the face to make a study to the competition.</v>
      </c>
    </row>
    <row r="304" ht="15.75" customHeight="1">
      <c r="A304" s="2">
        <v>4.0</v>
      </c>
      <c r="B304" s="2" t="s">
        <v>969</v>
      </c>
      <c r="C304" s="2" t="s">
        <v>970</v>
      </c>
      <c r="D304" s="2" t="s">
        <v>121</v>
      </c>
      <c r="E304" s="2" t="s">
        <v>122</v>
      </c>
      <c r="F304" s="2" t="s">
        <v>15</v>
      </c>
      <c r="G304" s="2" t="s">
        <v>971</v>
      </c>
      <c r="H304" s="2" t="s">
        <v>74</v>
      </c>
      <c r="I304" s="2" t="str">
        <f>IFERROR(__xludf.DUMMYFUNCTION("GOOGLETRANSLATE(C304,""fr"",""en"")"),"I am satisfied with the served and the price and affordable to see the continuation how it will go by hoping that everything will go for the best !!!!!!")</f>
        <v>I am satisfied with the served and the price and affordable to see the continuation how it will go by hoping that everything will go for the best !!!!!!</v>
      </c>
    </row>
    <row r="305" ht="15.75" customHeight="1">
      <c r="A305" s="2">
        <v>1.0</v>
      </c>
      <c r="B305" s="2" t="s">
        <v>972</v>
      </c>
      <c r="C305" s="2" t="s">
        <v>973</v>
      </c>
      <c r="D305" s="2" t="s">
        <v>45</v>
      </c>
      <c r="E305" s="2" t="s">
        <v>104</v>
      </c>
      <c r="F305" s="2" t="s">
        <v>15</v>
      </c>
      <c r="G305" s="2" t="s">
        <v>974</v>
      </c>
      <c r="H305" s="2" t="s">
        <v>241</v>
      </c>
      <c r="I305" s="2" t="str">
        <f>IFERROR(__xludf.DUMMYFUNCTION("GOOGLETRANSLATE(C305,""fr"",""en"")"),"Hello, I have been in work accident since November 25, 2019. We have had trouble setting up the payment of our mortgage. The first payment was made on July 24. Then he requests supporting documents on supporting documents but that once they are called to "&amp;"find out where the file is and after having sent these famous documents 3 weeks earlier. The example is today even 30 minutes after the call we receive an email saying that it still lacks supporting documents and that it will be treated only in 4 weeks .."&amp;".. I moved to one of their doctor who confirmed What doctors, surgeons and physiotherapists say that I went to see. But nothing helps. In 15 years of subscription we have never asked them. Their administrative slowness allows them not to pay in time the i"&amp;"nsurance that we have subscribed. By cons if you do not pay their deadlines ......
To the Enreheur ...")</f>
        <v>Hello, I have been in work accident since November 25, 2019. We have had trouble setting up the payment of our mortgage. The first payment was made on July 24. Then he requests supporting documents on supporting documents but that once they are called to find out where the file is and after having sent these famous documents 3 weeks earlier. The example is today even 30 minutes after the call we receive an email saying that it still lacks supporting documents and that it will be treated only in 4 weeks .... I moved to one of their doctor who confirmed What doctors, surgeons and physiotherapists say that I went to see. But nothing helps. In 15 years of subscription we have never asked them. Their administrative slowness allows them not to pay in time the insurance that we have subscribed. By cons if you do not pay their deadlines ......
To the Enreheur ...</v>
      </c>
    </row>
    <row r="306" ht="15.75" customHeight="1">
      <c r="A306" s="2">
        <v>5.0</v>
      </c>
      <c r="B306" s="2" t="s">
        <v>975</v>
      </c>
      <c r="C306" s="2" t="s">
        <v>976</v>
      </c>
      <c r="D306" s="2" t="s">
        <v>121</v>
      </c>
      <c r="E306" s="2" t="s">
        <v>122</v>
      </c>
      <c r="F306" s="2" t="s">
        <v>15</v>
      </c>
      <c r="G306" s="2" t="s">
        <v>977</v>
      </c>
      <c r="H306" s="2" t="s">
        <v>47</v>
      </c>
      <c r="I306" s="2" t="str">
        <f>IFERROR(__xludf.DUMMYFUNCTION("GOOGLETRANSLATE(C306,""fr"",""en"")"),"In my case AMV offers insurance covers that meets my needs for a very competitive rate. I advise all motorcycle owners to request a quote.")</f>
        <v>In my case AMV offers insurance covers that meets my needs for a very competitive rate. I advise all motorcycle owners to request a quote.</v>
      </c>
    </row>
    <row r="307" ht="15.75" customHeight="1">
      <c r="A307" s="2">
        <v>2.0</v>
      </c>
      <c r="B307" s="2" t="s">
        <v>978</v>
      </c>
      <c r="C307" s="2" t="s">
        <v>979</v>
      </c>
      <c r="D307" s="2" t="s">
        <v>212</v>
      </c>
      <c r="E307" s="2" t="s">
        <v>21</v>
      </c>
      <c r="F307" s="2" t="s">
        <v>15</v>
      </c>
      <c r="G307" s="2" t="s">
        <v>980</v>
      </c>
      <c r="H307" s="2" t="s">
        <v>346</v>
      </c>
      <c r="I307" s="2" t="str">
        <f>IFERROR(__xludf.DUMMYFUNCTION("GOOGLETRANSLATE(C307,""fr"",""en"")"),"Insurer to be avoided absolutely: incompetent and terminates you without any reason without the possibility of making him rectify his unfair mistakes. With Allianz you enter an ubiquitous world! To flee urgently!")</f>
        <v>Insurer to be avoided absolutely: incompetent and terminates you without any reason without the possibility of making him rectify his unfair mistakes. With Allianz you enter an ubiquitous world! To flee urgently!</v>
      </c>
    </row>
    <row r="308" ht="15.75" customHeight="1">
      <c r="A308" s="2">
        <v>5.0</v>
      </c>
      <c r="B308" s="2" t="s">
        <v>981</v>
      </c>
      <c r="C308" s="2" t="s">
        <v>982</v>
      </c>
      <c r="D308" s="2" t="s">
        <v>72</v>
      </c>
      <c r="E308" s="2" t="s">
        <v>21</v>
      </c>
      <c r="F308" s="2" t="s">
        <v>15</v>
      </c>
      <c r="G308" s="2" t="s">
        <v>983</v>
      </c>
      <c r="H308" s="2" t="s">
        <v>134</v>
      </c>
      <c r="I308" s="2" t="str">
        <f>IFERROR(__xludf.DUMMYFUNCTION("GOOGLETRANSLATE(C308,""fr"",""en"")"),"Ras all the problems are always treated at best. The accurate is always warm and efficient. The information is well disseminated. The website is very well done and accessible.")</f>
        <v>Ras all the problems are always treated at best. The accurate is always warm and efficient. The information is well disseminated. The website is very well done and accessible.</v>
      </c>
    </row>
    <row r="309" ht="15.75" customHeight="1">
      <c r="A309" s="2">
        <v>1.0</v>
      </c>
      <c r="B309" s="2" t="s">
        <v>984</v>
      </c>
      <c r="C309" s="2" t="s">
        <v>985</v>
      </c>
      <c r="D309" s="2" t="s">
        <v>212</v>
      </c>
      <c r="E309" s="2" t="s">
        <v>58</v>
      </c>
      <c r="F309" s="2" t="s">
        <v>15</v>
      </c>
      <c r="G309" s="2" t="s">
        <v>708</v>
      </c>
      <c r="H309" s="2" t="s">
        <v>110</v>
      </c>
      <c r="I309" s="2" t="str">
        <f>IFERROR(__xludf.DUMMYFUNCTION("GOOGLETRANSLATE(C309,""fr"",""en"")"),"Catastrophic !! Procedure but does not know how to respect your commitments! To avoid as much as possible. Flee Allianz !!!!!!
I wanted to change home insurance but it took 6 months after tons of documents and formal notices and I am still not reimbursin"&amp;"g drug fees. I will now be forced to send RARs before entering my lawyer. See you!")</f>
        <v>Catastrophic !! Procedure but does not know how to respect your commitments! To avoid as much as possible. Flee Allianz !!!!!!
I wanted to change home insurance but it took 6 months after tons of documents and formal notices and I am still not reimbursing drug fees. I will now be forced to send RARs before entering my lawyer. See you!</v>
      </c>
    </row>
    <row r="310" ht="15.75" customHeight="1">
      <c r="A310" s="2">
        <v>2.0</v>
      </c>
      <c r="B310" s="2" t="s">
        <v>986</v>
      </c>
      <c r="C310" s="2" t="s">
        <v>987</v>
      </c>
      <c r="D310" s="2" t="s">
        <v>72</v>
      </c>
      <c r="E310" s="2" t="s">
        <v>58</v>
      </c>
      <c r="F310" s="2" t="s">
        <v>15</v>
      </c>
      <c r="G310" s="2" t="s">
        <v>988</v>
      </c>
      <c r="H310" s="2" t="s">
        <v>47</v>
      </c>
      <c r="I310" s="2" t="str">
        <f>IFERROR(__xludf.DUMMYFUNCTION("GOOGLETRANSLATE(C310,""fr"",""en"")"),"GMF is committed, it's too funny !!! One advice: look for another insurer!
Without incriminating the agency of Villeurbanne, whose advisor Ms. C .... always informed me, I quickly relate the disaster which I have been the victim. My neighbor declared (pr"&amp;"oof with photos in support of her insurance La MAIF), an accident because 2 iron peaks from her terrace slipped and pierced my Bane store located below. Responses from the Texa and GMF expert ""Damage
are consecutive to the dilapidation of the blind. ""S"&amp;"o compensation: 0
Would the peaks have been, by magic, attracted to me? Mystery ?
I want to be appointed insurance expert to draw conclusions that are so ""bunched"". Change insurer quickly, you will surely find more competent in competition.")</f>
        <v>GMF is committed, it's too funny !!! One advice: look for another insurer!
Without incriminating the agency of Villeurbanne, whose advisor Ms. C .... always informed me, I quickly relate the disaster which I have been the victim. My neighbor declared (proof with photos in support of her insurance La MAIF), an accident because 2 iron peaks from her terrace slipped and pierced my Bane store located below. Responses from the Texa and GMF expert "Damage
are consecutive to the dilapidation of the blind. "So compensation: 0
Would the peaks have been, by magic, attracted to me? Mystery ?
I want to be appointed insurance expert to draw conclusions that are so "bunched". Change insurer quickly, you will surely find more competent in competition.</v>
      </c>
    </row>
    <row r="311" ht="15.75" customHeight="1">
      <c r="A311" s="2">
        <v>4.0</v>
      </c>
      <c r="B311" s="2" t="s">
        <v>989</v>
      </c>
      <c r="C311" s="2" t="s">
        <v>990</v>
      </c>
      <c r="D311" s="2" t="s">
        <v>41</v>
      </c>
      <c r="E311" s="2" t="s">
        <v>21</v>
      </c>
      <c r="F311" s="2" t="s">
        <v>15</v>
      </c>
      <c r="G311" s="2" t="s">
        <v>767</v>
      </c>
      <c r="H311" s="2" t="s">
        <v>74</v>
      </c>
      <c r="I311" s="2" t="str">
        <f>IFERROR(__xludf.DUMMYFUNCTION("GOOGLETRANSLATE(C311,""fr"",""en"")"),"I am satisfied with this offer. I recommend. Very affordable price.
Very fast and easy to carry out the contract.
Direct Insurance is good car insurance")</f>
        <v>I am satisfied with this offer. I recommend. Very affordable price.
Very fast and easy to carry out the contract.
Direct Insurance is good car insurance</v>
      </c>
    </row>
    <row r="312" ht="15.75" customHeight="1">
      <c r="A312" s="2">
        <v>1.0</v>
      </c>
      <c r="B312" s="2" t="s">
        <v>991</v>
      </c>
      <c r="C312" s="2" t="s">
        <v>992</v>
      </c>
      <c r="D312" s="2" t="s">
        <v>31</v>
      </c>
      <c r="E312" s="2" t="s">
        <v>58</v>
      </c>
      <c r="F312" s="2" t="s">
        <v>15</v>
      </c>
      <c r="G312" s="2" t="s">
        <v>993</v>
      </c>
      <c r="H312" s="2" t="s">
        <v>790</v>
      </c>
      <c r="I312" s="2" t="str">
        <f>IFERROR(__xludf.DUMMYFUNCTION("GOOGLETRANSLATE(C312,""fr"",""en"")"),"Lack of professionalism.")</f>
        <v>Lack of professionalism.</v>
      </c>
    </row>
    <row r="313" ht="15.75" customHeight="1">
      <c r="A313" s="2">
        <v>1.0</v>
      </c>
      <c r="B313" s="2" t="s">
        <v>994</v>
      </c>
      <c r="C313" s="2" t="s">
        <v>995</v>
      </c>
      <c r="D313" s="2" t="s">
        <v>31</v>
      </c>
      <c r="E313" s="2" t="s">
        <v>58</v>
      </c>
      <c r="F313" s="2" t="s">
        <v>15</v>
      </c>
      <c r="G313" s="2" t="s">
        <v>996</v>
      </c>
      <c r="H313" s="2" t="s">
        <v>55</v>
      </c>
      <c r="I313" s="2" t="str">
        <f>IFERROR(__xludf.DUMMYFUNCTION("GOOGLETRANSLATE(C313,""fr"",""en"")"),"The Macif has superior prices of about 20 % compared to its competitors (Matmut for example) their service is deplorable I left them because too bad")</f>
        <v>The Macif has superior prices of about 20 % compared to its competitors (Matmut for example) their service is deplorable I left them because too bad</v>
      </c>
    </row>
    <row r="314" ht="15.75" customHeight="1">
      <c r="A314" s="2">
        <v>2.0</v>
      </c>
      <c r="B314" s="2" t="s">
        <v>997</v>
      </c>
      <c r="C314" s="2" t="s">
        <v>998</v>
      </c>
      <c r="D314" s="2" t="s">
        <v>164</v>
      </c>
      <c r="E314" s="2" t="s">
        <v>58</v>
      </c>
      <c r="F314" s="2" t="s">
        <v>15</v>
      </c>
      <c r="G314" s="2" t="s">
        <v>999</v>
      </c>
      <c r="H314" s="2" t="s">
        <v>38</v>
      </c>
      <c r="I314" s="2" t="str">
        <f>IFERROR(__xludf.DUMMYFUNCTION("GOOGLETRANSLATE(C314,""fr"",""en"")"),"Insurance which is very fast for sucking the Poignon of the insured but which is very slow for resolving the disaster and which is in fact a reflection of French administrative. For my disaster the validation email of the quote by the expert took a week t"&amp;"o arrive at the craftsman (I was able to check at the meadows of the craftsman). I think they stayed at the traveler pigeon stage for the means of transmission.
It is an insurance that I do not recommend")</f>
        <v>Insurance which is very fast for sucking the Poignon of the insured but which is very slow for resolving the disaster and which is in fact a reflection of French administrative. For my disaster the validation email of the quote by the expert took a week to arrive at the craftsman (I was able to check at the meadows of the craftsman). I think they stayed at the traveler pigeon stage for the means of transmission.
It is an insurance that I do not recommend</v>
      </c>
    </row>
    <row r="315" ht="15.75" customHeight="1">
      <c r="A315" s="2">
        <v>5.0</v>
      </c>
      <c r="B315" s="2" t="s">
        <v>1000</v>
      </c>
      <c r="C315" s="2" t="s">
        <v>1001</v>
      </c>
      <c r="D315" s="2" t="s">
        <v>150</v>
      </c>
      <c r="E315" s="2" t="s">
        <v>122</v>
      </c>
      <c r="F315" s="2" t="s">
        <v>15</v>
      </c>
      <c r="G315" s="2" t="s">
        <v>752</v>
      </c>
      <c r="H315" s="2" t="s">
        <v>74</v>
      </c>
      <c r="I315" s="2" t="str">
        <f>IFERROR(__xludf.DUMMYFUNCTION("GOOGLETRANSLATE(C315,""fr"",""en"")"),"Very satisfied with the speed to be insured and the price. I highly recommend and think I have chosen the ideal insurance for my scooter. Thanks to April Moto's team.")</f>
        <v>Very satisfied with the speed to be insured and the price. I highly recommend and think I have chosen the ideal insurance for my scooter. Thanks to April Moto's team.</v>
      </c>
    </row>
    <row r="316" ht="15.75" customHeight="1">
      <c r="A316" s="2">
        <v>1.0</v>
      </c>
      <c r="B316" s="2" t="s">
        <v>1002</v>
      </c>
      <c r="C316" s="2" t="s">
        <v>1003</v>
      </c>
      <c r="D316" s="2" t="s">
        <v>773</v>
      </c>
      <c r="E316" s="2" t="s">
        <v>58</v>
      </c>
      <c r="F316" s="2" t="s">
        <v>15</v>
      </c>
      <c r="G316" s="2" t="s">
        <v>1004</v>
      </c>
      <c r="H316" s="2" t="s">
        <v>416</v>
      </c>
      <c r="I316" s="2" t="str">
        <f>IFERROR(__xludf.DUMMYFUNCTION("GOOGLETRANSLATE(C316,""fr"",""en"")"),"Insurer to proscribe ...
In the event of a claim, no dedicated interlocutor for monitoring files within the property damage service, you must recall your history with each contact. Correspondence via recommended letters open weeks after sending (lack of "&amp;"prior response by email). Experts under treaty to overwhelmed and unreachable experts, with long deadlines before meetings.
In short, a real ordeal for the insured in the event of a claim.")</f>
        <v>Insurer to proscribe ...
In the event of a claim, no dedicated interlocutor for monitoring files within the property damage service, you must recall your history with each contact. Correspondence via recommended letters open weeks after sending (lack of prior response by email). Experts under treaty to overwhelmed and unreachable experts, with long deadlines before meetings.
In short, a real ordeal for the insured in the event of a claim.</v>
      </c>
    </row>
    <row r="317" ht="15.75" customHeight="1">
      <c r="A317" s="2">
        <v>4.0</v>
      </c>
      <c r="B317" s="2" t="s">
        <v>1005</v>
      </c>
      <c r="C317" s="2" t="s">
        <v>1006</v>
      </c>
      <c r="D317" s="2" t="s">
        <v>20</v>
      </c>
      <c r="E317" s="2" t="s">
        <v>21</v>
      </c>
      <c r="F317" s="2" t="s">
        <v>15</v>
      </c>
      <c r="G317" s="2" t="s">
        <v>237</v>
      </c>
      <c r="H317" s="2" t="s">
        <v>74</v>
      </c>
      <c r="I317" s="2" t="str">
        <f>IFERROR(__xludf.DUMMYFUNCTION("GOOGLETRANSLATE(C317,""fr"",""en"")"),"Superb welcome and thank you to the whole team of all this instructive information and thank you again for your reaction time and I would recommend that you soon be friendly Mr Holveck.")</f>
        <v>Superb welcome and thank you to the whole team of all this instructive information and thank you again for your reaction time and I would recommend that you soon be friendly Mr Holveck.</v>
      </c>
    </row>
    <row r="318" ht="15.75" customHeight="1">
      <c r="A318" s="2">
        <v>3.0</v>
      </c>
      <c r="B318" s="2" t="s">
        <v>1007</v>
      </c>
      <c r="C318" s="2" t="s">
        <v>1008</v>
      </c>
      <c r="D318" s="2" t="s">
        <v>172</v>
      </c>
      <c r="E318" s="2" t="s">
        <v>14</v>
      </c>
      <c r="F318" s="2" t="s">
        <v>15</v>
      </c>
      <c r="G318" s="2" t="s">
        <v>1009</v>
      </c>
      <c r="H318" s="2" t="s">
        <v>47</v>
      </c>
      <c r="I318" s="2" t="str">
        <f>IFERROR(__xludf.DUMMYFUNCTION("GOOGLETRANSLATE(C318,""fr"",""en"")"),"Hello, it turns out that this mutual is expensive compared to the private sector with equivalent services.
I am satisfied to always have an interlocutor to help me in my efforts.
Our mutual card is poorly done, it should be seen especially at the level "&amp;"of the adherent number which is poorly signified.
Cordially")</f>
        <v>Hello, it turns out that this mutual is expensive compared to the private sector with equivalent services.
I am satisfied to always have an interlocutor to help me in my efforts.
Our mutual card is poorly done, it should be seen especially at the level of the adherent number which is poorly signified.
Cordially</v>
      </c>
    </row>
    <row r="319" ht="15.75" customHeight="1">
      <c r="A319" s="2">
        <v>3.0</v>
      </c>
      <c r="B319" s="2" t="s">
        <v>1010</v>
      </c>
      <c r="C319" s="2" t="s">
        <v>1011</v>
      </c>
      <c r="D319" s="2" t="s">
        <v>41</v>
      </c>
      <c r="E319" s="2" t="s">
        <v>21</v>
      </c>
      <c r="F319" s="2" t="s">
        <v>15</v>
      </c>
      <c r="G319" s="2" t="s">
        <v>722</v>
      </c>
      <c r="H319" s="2" t="s">
        <v>134</v>
      </c>
      <c r="I319" s="2" t="str">
        <f>IFERROR(__xludf.DUMMYFUNCTION("GOOGLETRANSLATE(C319,""fr"",""en"")"),"It can go, but price level I hope it will fuck over time.
Otherwise quick to ensure. Hoping that everyone is going well with them")</f>
        <v>It can go, but price level I hope it will fuck over time.
Otherwise quick to ensure. Hoping that everyone is going well with them</v>
      </c>
    </row>
    <row r="320" ht="15.75" customHeight="1">
      <c r="A320" s="2">
        <v>1.0</v>
      </c>
      <c r="B320" s="2" t="s">
        <v>1012</v>
      </c>
      <c r="C320" s="2" t="s">
        <v>1013</v>
      </c>
      <c r="D320" s="2" t="s">
        <v>395</v>
      </c>
      <c r="E320" s="2" t="s">
        <v>922</v>
      </c>
      <c r="F320" s="2" t="s">
        <v>15</v>
      </c>
      <c r="G320" s="2" t="s">
        <v>1014</v>
      </c>
      <c r="H320" s="2" t="s">
        <v>689</v>
      </c>
      <c r="I320" s="2" t="str">
        <f>IFERROR(__xludf.DUMMYFUNCTION("GOOGLETRANSLATE(C320,""fr"",""en"")"),"My mother having died in December 2018 she had life insurance since 1998 my brother and I asked for the payment in January 2018 and gave the last documents of the notary in April 2018 we have just received money in early August after a lot of complaints n"&amp;"o complaints no Detail of the payment and we are seen withdrawal of 480 euros or 960 euros in costs because Axa opened 2 accounts insurance accounts on May 23, 2018 reinvestment We did not signed anything we wanted our mother's money or 7,032 euros per ne"&amp;"t social and tax levies so we received 1,3562 euros per share")</f>
        <v>My mother having died in December 2018 she had life insurance since 1998 my brother and I asked for the payment in January 2018 and gave the last documents of the notary in April 2018 we have just received money in early August after a lot of complaints no complaints no Detail of the payment and we are seen withdrawal of 480 euros or 960 euros in costs because Axa opened 2 accounts insurance accounts on May 23, 2018 reinvestment We did not signed anything we wanted our mother's money or 7,032 euros per net social and tax levies so we received 1,3562 euros per share</v>
      </c>
    </row>
    <row r="321" ht="15.75" customHeight="1">
      <c r="A321" s="2">
        <v>3.0</v>
      </c>
      <c r="B321" s="2" t="s">
        <v>1015</v>
      </c>
      <c r="C321" s="2" t="s">
        <v>1016</v>
      </c>
      <c r="D321" s="2" t="s">
        <v>45</v>
      </c>
      <c r="E321" s="2" t="s">
        <v>14</v>
      </c>
      <c r="F321" s="2" t="s">
        <v>15</v>
      </c>
      <c r="G321" s="2" t="s">
        <v>1017</v>
      </c>
      <c r="H321" s="2" t="s">
        <v>576</v>
      </c>
      <c r="I321" s="2" t="str">
        <f>IFERROR(__xludf.DUMMYFUNCTION("GOOGLETRANSLATE(C321,""fr"",""en"")"),"Attention ! danger  ! favors the target of the elderly")</f>
        <v>Attention ! danger  ! favors the target of the elderly</v>
      </c>
    </row>
    <row r="322" ht="15.75" customHeight="1">
      <c r="A322" s="2">
        <v>2.0</v>
      </c>
      <c r="B322" s="2" t="s">
        <v>1018</v>
      </c>
      <c r="C322" s="2" t="s">
        <v>1019</v>
      </c>
      <c r="D322" s="2" t="s">
        <v>592</v>
      </c>
      <c r="E322" s="2" t="s">
        <v>14</v>
      </c>
      <c r="F322" s="2" t="s">
        <v>15</v>
      </c>
      <c r="G322" s="2" t="s">
        <v>1020</v>
      </c>
      <c r="H322" s="2" t="s">
        <v>786</v>
      </c>
      <c r="I322" s="2" t="str">
        <f>IFERROR(__xludf.DUMMYFUNCTION("GOOGLETRANSLATE(C322,""fr"",""en"")"),"I have been at Génération since 2014 and their service is totally devoid of quality!
1 I had to indicate the act to be seized to be reimbursed for my keratokone in 2015 which is well reimbursed ...
2 I receive today a refusal of payment because I am"&amp;" overwhelming ... But my poor friends I have been with you since 2014 and you have never returned to ask me for a document since and the by magic I can not reimburse me .. . I find it hard to believe in your skills
To synthesize does not go by generati"&amp;"on because they will be there until you do not need them ...
 Or I may be in a blacklist who knows ... a little humor will not hurt!")</f>
        <v>I have been at Génération since 2014 and their service is totally devoid of quality!
1 I had to indicate the act to be seized to be reimbursed for my keratokone in 2015 which is well reimbursed ...
2 I receive today a refusal of payment because I am overwhelming ... But my poor friends I have been with you since 2014 and you have never returned to ask me for a document since and the by magic I can not reimburse me .. . I find it hard to believe in your skills
To synthesize does not go by generation because they will be there until you do not need them ...
 Or I may be in a blacklist who knows ... a little humor will not hurt!</v>
      </c>
    </row>
    <row r="323" ht="15.75" customHeight="1">
      <c r="A323" s="2">
        <v>5.0</v>
      </c>
      <c r="B323" s="2" t="s">
        <v>1021</v>
      </c>
      <c r="C323" s="2" t="s">
        <v>1022</v>
      </c>
      <c r="D323" s="2" t="s">
        <v>31</v>
      </c>
      <c r="E323" s="2" t="s">
        <v>21</v>
      </c>
      <c r="F323" s="2" t="s">
        <v>15</v>
      </c>
      <c r="G323" s="2" t="s">
        <v>572</v>
      </c>
      <c r="H323" s="2" t="s">
        <v>309</v>
      </c>
      <c r="I323" s="2" t="str">
        <f>IFERROR(__xludf.DUMMYFUNCTION("GOOGLETRANSLATE(C323,""fr"",""en"")"),"Certainly one of the best auto insurance in France, taken care of during top problems, I called on their services during a breakdown 600km from my house 1/2 to be converted and renewed at the hotel for a Night then loan of vehicle for 10 days, request for"&amp;" legal protection following the mechanic's malfair, they called on a lawyer who gave me advice and defended me.")</f>
        <v>Certainly one of the best auto insurance in France, taken care of during top problems, I called on their services during a breakdown 600km from my house 1/2 to be converted and renewed at the hotel for a Night then loan of vehicle for 10 days, request for legal protection following the mechanic's malfair, they called on a lawyer who gave me advice and defended me.</v>
      </c>
    </row>
    <row r="324" ht="15.75" customHeight="1">
      <c r="A324" s="2">
        <v>2.0</v>
      </c>
      <c r="B324" s="2" t="s">
        <v>1023</v>
      </c>
      <c r="C324" s="2" t="s">
        <v>1024</v>
      </c>
      <c r="D324" s="2" t="s">
        <v>164</v>
      </c>
      <c r="E324" s="2" t="s">
        <v>58</v>
      </c>
      <c r="F324" s="2" t="s">
        <v>15</v>
      </c>
      <c r="G324" s="2" t="s">
        <v>1004</v>
      </c>
      <c r="H324" s="2" t="s">
        <v>416</v>
      </c>
      <c r="I324" s="2" t="str">
        <f>IFERROR(__xludf.DUMMYFUNCTION("GOOGLETRANSLATE(C324,""fr"",""en"")"),"Treatment of a problem of security bay window after a burglary")</f>
        <v>Treatment of a problem of security bay window after a burglary</v>
      </c>
    </row>
    <row r="325" ht="15.75" customHeight="1">
      <c r="A325" s="2">
        <v>5.0</v>
      </c>
      <c r="B325" s="2" t="s">
        <v>1025</v>
      </c>
      <c r="C325" s="2" t="s">
        <v>1026</v>
      </c>
      <c r="D325" s="2" t="s">
        <v>91</v>
      </c>
      <c r="E325" s="2" t="s">
        <v>14</v>
      </c>
      <c r="F325" s="2" t="s">
        <v>15</v>
      </c>
      <c r="G325" s="2" t="s">
        <v>1027</v>
      </c>
      <c r="H325" s="2" t="s">
        <v>74</v>
      </c>
      <c r="I325" s="2" t="str">
        <f>IFERROR(__xludf.DUMMYFUNCTION("GOOGLETRANSLATE(C325,""fr"",""en"")"),"Very available and friendly advisor. She took the time to explain me to do online with patience for the opening of my personal account and guided me to make my refund request.
I am very satisfied with this interview.
Cordially.
Christelle Griffon.")</f>
        <v>Very available and friendly advisor. She took the time to explain me to do online with patience for the opening of my personal account and guided me to make my refund request.
I am very satisfied with this interview.
Cordially.
Christelle Griffon.</v>
      </c>
    </row>
    <row r="326" ht="15.75" customHeight="1">
      <c r="A326" s="2">
        <v>2.0</v>
      </c>
      <c r="B326" s="2" t="s">
        <v>1028</v>
      </c>
      <c r="C326" s="2" t="s">
        <v>1029</v>
      </c>
      <c r="D326" s="2" t="s">
        <v>41</v>
      </c>
      <c r="E326" s="2" t="s">
        <v>21</v>
      </c>
      <c r="F326" s="2" t="s">
        <v>15</v>
      </c>
      <c r="G326" s="2" t="s">
        <v>1030</v>
      </c>
      <c r="H326" s="2" t="s">
        <v>231</v>
      </c>
      <c r="I326" s="2" t="str">
        <f>IFERROR(__xludf.DUMMYFUNCTION("GOOGLETRANSLATE(C326,""fr"",""en"")"),"Disappointed because I pay 400th more than a new customer ... and no answer when I ask for the reason.
I started 600th in the 1st year and now 1200th !!!")</f>
        <v>Disappointed because I pay 400th more than a new customer ... and no answer when I ask for the reason.
I started 600th in the 1st year and now 1200th !!!</v>
      </c>
    </row>
    <row r="327" ht="15.75" customHeight="1">
      <c r="A327" s="2">
        <v>1.0</v>
      </c>
      <c r="B327" s="2" t="s">
        <v>1031</v>
      </c>
      <c r="C327" s="2" t="s">
        <v>1032</v>
      </c>
      <c r="D327" s="2" t="s">
        <v>395</v>
      </c>
      <c r="E327" s="2" t="s">
        <v>21</v>
      </c>
      <c r="F327" s="2" t="s">
        <v>15</v>
      </c>
      <c r="G327" s="2" t="s">
        <v>1033</v>
      </c>
      <c r="H327" s="2" t="s">
        <v>166</v>
      </c>
      <c r="I327" s="2" t="str">
        <f>IFERROR(__xludf.DUMMYFUNCTION("GOOGLETRANSLATE(C327,""fr"",""en"")"),"Pay car insurance for all risk for 5 years and realize that the guarantees are completely rotten (my fault) to give you an example, even a break of ice my summer invoice with a deductible of 20 euros while I pay 92 euros per month for a poor little twingo"&amp;" from 2006 !! In short, these are the worst insurers have a lot to tell but avoid this insurance at all costs!")</f>
        <v>Pay car insurance for all risk for 5 years and realize that the guarantees are completely rotten (my fault) to give you an example, even a break of ice my summer invoice with a deductible of 20 euros while I pay 92 euros per month for a poor little twingo from 2006 !! In short, these are the worst insurers have a lot to tell but avoid this insurance at all costs!</v>
      </c>
    </row>
    <row r="328" ht="15.75" customHeight="1">
      <c r="A328" s="2">
        <v>2.0</v>
      </c>
      <c r="B328" s="2" t="s">
        <v>1034</v>
      </c>
      <c r="C328" s="2" t="s">
        <v>1035</v>
      </c>
      <c r="D328" s="2" t="s">
        <v>592</v>
      </c>
      <c r="E328" s="2" t="s">
        <v>14</v>
      </c>
      <c r="F328" s="2" t="s">
        <v>15</v>
      </c>
      <c r="G328" s="2" t="s">
        <v>1036</v>
      </c>
      <c r="H328" s="2" t="s">
        <v>55</v>
      </c>
      <c r="I328" s="2" t="str">
        <f>IFERROR(__xludf.DUMMYFUNCTION("GOOGLETRANSLATE(C328,""fr"",""en"")"),"34 % increase in contributions without being warned, do not meet the deadlines for sending deadlines of 30 mini days (when they send them). This year sends schedule by email on December 31 for an end of contract on the same date.
The advisers refer respo"&amp;"nsibility to the manager. ""We only manage contributions""
6 weeks of time to answer simple questions (and only answers once the contribution deadlines are no longer honored), suspends mutual rights during this time and no feedback in time. If you do not"&amp;" follow up on your reimbursement as a wait, you will not see that they do not reimburse, and of course, they do not prevent reimbursements are in expectation.
Promise reimbursement in less than a week, when the link is not canceled without reason with "&amp;"the CPAM ....
Only positive point, cheaper than elsewhere, it's on but there is only good.
In short .... customers are only carrings. To flee
")</f>
        <v>34 % increase in contributions without being warned, do not meet the deadlines for sending deadlines of 30 mini days (when they send them). This year sends schedule by email on December 31 for an end of contract on the same date.
The advisers refer responsibility to the manager. "We only manage contributions"
6 weeks of time to answer simple questions (and only answers once the contribution deadlines are no longer honored), suspends mutual rights during this time and no feedback in time. If you do not follow up on your reimbursement as a wait, you will not see that they do not reimburse, and of course, they do not prevent reimbursements are in expectation.
Promise reimbursement in less than a week, when the link is not canceled without reason with the CPAM ....
Only positive point, cheaper than elsewhere, it's on but there is only good.
In short .... customers are only carrings. To flee
</v>
      </c>
    </row>
    <row r="329" ht="15.75" customHeight="1">
      <c r="A329" s="2">
        <v>5.0</v>
      </c>
      <c r="B329" s="2" t="s">
        <v>1037</v>
      </c>
      <c r="C329" s="2" t="s">
        <v>1038</v>
      </c>
      <c r="D329" s="2" t="s">
        <v>20</v>
      </c>
      <c r="E329" s="2" t="s">
        <v>21</v>
      </c>
      <c r="F329" s="2" t="s">
        <v>15</v>
      </c>
      <c r="G329" s="2" t="s">
        <v>247</v>
      </c>
      <c r="H329" s="2" t="s">
        <v>47</v>
      </c>
      <c r="I329" s="2" t="str">
        <f>IFERROR(__xludf.DUMMYFUNCTION("GOOGLETRANSLATE(C329,""fr"",""en"")"),"I am satisfied with the service, the prices are affordable, I recommend the olive tree to these relatives, customer service is always available, pleasant insurance")</f>
        <v>I am satisfied with the service, the prices are affordable, I recommend the olive tree to these relatives, customer service is always available, pleasant insurance</v>
      </c>
    </row>
    <row r="330" ht="15.75" customHeight="1">
      <c r="A330" s="2">
        <v>5.0</v>
      </c>
      <c r="B330" s="2" t="s">
        <v>1039</v>
      </c>
      <c r="C330" s="2" t="s">
        <v>1040</v>
      </c>
      <c r="D330" s="2" t="s">
        <v>20</v>
      </c>
      <c r="E330" s="2" t="s">
        <v>21</v>
      </c>
      <c r="F330" s="2" t="s">
        <v>15</v>
      </c>
      <c r="G330" s="2" t="s">
        <v>1041</v>
      </c>
      <c r="H330" s="2" t="s">
        <v>88</v>
      </c>
      <c r="I330" s="2" t="str">
        <f>IFERROR(__xludf.DUMMYFUNCTION("GOOGLETRANSLATE(C330,""fr"",""en"")"),"I recently signed up with the Olivier Assurances, and I was pleasantly surprised. One of my friends recommended it to me, when it had been more than 8 years since I was at my former insurer. Price level is clearly what made me switch to. Quick subscriptio"&amp;"n and nice advisor, it's appreciable!")</f>
        <v>I recently signed up with the Olivier Assurances, and I was pleasantly surprised. One of my friends recommended it to me, when it had been more than 8 years since I was at my former insurer. Price level is clearly what made me switch to. Quick subscription and nice advisor, it's appreciable!</v>
      </c>
    </row>
    <row r="331" ht="15.75" customHeight="1">
      <c r="A331" s="2">
        <v>5.0</v>
      </c>
      <c r="B331" s="2" t="s">
        <v>1042</v>
      </c>
      <c r="C331" s="2" t="s">
        <v>1043</v>
      </c>
      <c r="D331" s="2" t="s">
        <v>20</v>
      </c>
      <c r="E331" s="2" t="s">
        <v>21</v>
      </c>
      <c r="F331" s="2" t="s">
        <v>15</v>
      </c>
      <c r="G331" s="2" t="s">
        <v>378</v>
      </c>
      <c r="H331" s="2" t="s">
        <v>51</v>
      </c>
      <c r="I331" s="2" t="str">
        <f>IFERROR(__xludf.DUMMYFUNCTION("GOOGLETRANSLATE(C331,""fr"",""en"")"),"I am satisfied with your services thank you for welcoming me in your very service and very fast insurance please approved my sincere greetings thank you to your team")</f>
        <v>I am satisfied with your services thank you for welcoming me in your very service and very fast insurance please approved my sincere greetings thank you to your team</v>
      </c>
    </row>
    <row r="332" ht="15.75" customHeight="1">
      <c r="A332" s="2">
        <v>4.0</v>
      </c>
      <c r="B332" s="2" t="s">
        <v>1044</v>
      </c>
      <c r="C332" s="2" t="s">
        <v>1045</v>
      </c>
      <c r="D332" s="2" t="s">
        <v>41</v>
      </c>
      <c r="E332" s="2" t="s">
        <v>21</v>
      </c>
      <c r="F332" s="2" t="s">
        <v>15</v>
      </c>
      <c r="G332" s="2" t="s">
        <v>389</v>
      </c>
      <c r="H332" s="2" t="s">
        <v>74</v>
      </c>
      <c r="I332" s="2" t="str">
        <f>IFERROR(__xludf.DUMMYFUNCTION("GOOGLETRANSLATE(C332,""fr"",""en"")"),"Practical and easy. Clear documents. However, the phone advisor did not know that before the subscription the general conditions were to be provided")</f>
        <v>Practical and easy. Clear documents. However, the phone advisor did not know that before the subscription the general conditions were to be provided</v>
      </c>
    </row>
    <row r="333" ht="15.75" customHeight="1">
      <c r="A333" s="2">
        <v>2.0</v>
      </c>
      <c r="B333" s="2" t="s">
        <v>1046</v>
      </c>
      <c r="C333" s="2" t="s">
        <v>1047</v>
      </c>
      <c r="D333" s="2" t="s">
        <v>36</v>
      </c>
      <c r="E333" s="2" t="s">
        <v>58</v>
      </c>
      <c r="F333" s="2" t="s">
        <v>15</v>
      </c>
      <c r="G333" s="2" t="s">
        <v>1048</v>
      </c>
      <c r="H333" s="2" t="s">
        <v>93</v>
      </c>
      <c r="I333" s="2" t="str">
        <f>IFERROR(__xludf.DUMMYFUNCTION("GOOGLETRANSLATE(C333,""fr"",""en"")"),"MAIF is no longer what it was (interlocutors and self -careful compensation!)")</f>
        <v>MAIF is no longer what it was (interlocutors and self -careful compensation!)</v>
      </c>
    </row>
    <row r="334" ht="15.75" customHeight="1">
      <c r="A334" s="2">
        <v>4.0</v>
      </c>
      <c r="B334" s="2" t="s">
        <v>1049</v>
      </c>
      <c r="C334" s="2" t="s">
        <v>1050</v>
      </c>
      <c r="D334" s="2" t="s">
        <v>91</v>
      </c>
      <c r="E334" s="2" t="s">
        <v>14</v>
      </c>
      <c r="F334" s="2" t="s">
        <v>15</v>
      </c>
      <c r="G334" s="2" t="s">
        <v>73</v>
      </c>
      <c r="H334" s="2" t="s">
        <v>74</v>
      </c>
      <c r="I334" s="2" t="str">
        <f>IFERROR(__xludf.DUMMYFUNCTION("GOOGLETRANSLATE(C334,""fr"",""en"")"),"Hello, very satisfied with the service of Widad which properly made the change of email I asked for. Thanks a lot ! I am brand new with this insurance and wait to see to give another opinion. Indeed, it is necessary to decide in relation to reimbursements"&amp;" of care for example. For the moment RAS.")</f>
        <v>Hello, very satisfied with the service of Widad which properly made the change of email I asked for. Thanks a lot ! I am brand new with this insurance and wait to see to give another opinion. Indeed, it is necessary to decide in relation to reimbursements of care for example. For the moment RAS.</v>
      </c>
    </row>
    <row r="335" ht="15.75" customHeight="1">
      <c r="A335" s="2">
        <v>1.0</v>
      </c>
      <c r="B335" s="2" t="s">
        <v>1051</v>
      </c>
      <c r="C335" s="2" t="s">
        <v>1052</v>
      </c>
      <c r="D335" s="2" t="s">
        <v>315</v>
      </c>
      <c r="E335" s="2" t="s">
        <v>14</v>
      </c>
      <c r="F335" s="2" t="s">
        <v>15</v>
      </c>
      <c r="G335" s="2" t="s">
        <v>196</v>
      </c>
      <c r="H335" s="2" t="s">
        <v>197</v>
      </c>
      <c r="I335" s="2" t="str">
        <f>IFERROR(__xludf.DUMMYFUNCTION("GOOGLETRANSLATE(C335,""fr"",""en"")"),"Null customer service. Not possible to display the contact form under Firefox or Edge. On the phone requests untreated. Very average quality/price ratio")</f>
        <v>Null customer service. Not possible to display the contact form under Firefox or Edge. On the phone requests untreated. Very average quality/price ratio</v>
      </c>
    </row>
    <row r="336" ht="15.75" customHeight="1">
      <c r="A336" s="2">
        <v>5.0</v>
      </c>
      <c r="B336" s="2" t="s">
        <v>1053</v>
      </c>
      <c r="C336" s="2" t="s">
        <v>1054</v>
      </c>
      <c r="D336" s="2" t="s">
        <v>20</v>
      </c>
      <c r="E336" s="2" t="s">
        <v>21</v>
      </c>
      <c r="F336" s="2" t="s">
        <v>15</v>
      </c>
      <c r="G336" s="2" t="s">
        <v>46</v>
      </c>
      <c r="H336" s="2" t="s">
        <v>47</v>
      </c>
      <c r="I336" s="2" t="str">
        <f>IFERROR(__xludf.DUMMYFUNCTION("GOOGLETRANSLATE(C336,""fr"",""en"")"),"I am satisfied with the contract The prices suit me and the procedure to ensure is simple and effective. Being able to do it on the Internet without traveling is appreciable.")</f>
        <v>I am satisfied with the contract The prices suit me and the procedure to ensure is simple and effective. Being able to do it on the Internet without traveling is appreciable.</v>
      </c>
    </row>
    <row r="337" ht="15.75" customHeight="1">
      <c r="A337" s="2">
        <v>1.0</v>
      </c>
      <c r="B337" s="2" t="s">
        <v>1055</v>
      </c>
      <c r="C337" s="2" t="s">
        <v>1056</v>
      </c>
      <c r="D337" s="2" t="s">
        <v>41</v>
      </c>
      <c r="E337" s="2" t="s">
        <v>21</v>
      </c>
      <c r="F337" s="2" t="s">
        <v>15</v>
      </c>
      <c r="G337" s="2" t="s">
        <v>285</v>
      </c>
      <c r="H337" s="2" t="s">
        <v>23</v>
      </c>
      <c r="I337" s="2" t="str">
        <f>IFERROR(__xludf.DUMMYFUNCTION("GOOGLETRANSLATE(C337,""fr"",""en"")"),"Very Meconent: you are right without warning when it is the Gray Cards Service which is late for a day compared to your Delai !! It was expected in such with you that one or two days near you could have waited for me to receive the gray card, which is don"&amp;"e on June 08")</f>
        <v>Very Meconent: you are right without warning when it is the Gray Cards Service which is late for a day compared to your Delai !! It was expected in such with you that one or two days near you could have waited for me to receive the gray card, which is done on June 08</v>
      </c>
    </row>
    <row r="338" ht="15.75" customHeight="1">
      <c r="A338" s="2">
        <v>1.0</v>
      </c>
      <c r="B338" s="2" t="s">
        <v>1057</v>
      </c>
      <c r="C338" s="2" t="s">
        <v>1058</v>
      </c>
      <c r="D338" s="2" t="s">
        <v>41</v>
      </c>
      <c r="E338" s="2" t="s">
        <v>58</v>
      </c>
      <c r="F338" s="2" t="s">
        <v>15</v>
      </c>
      <c r="G338" s="2" t="s">
        <v>1059</v>
      </c>
      <c r="H338" s="2" t="s">
        <v>372</v>
      </c>
      <c r="I338" s="2" t="str">
        <f>IFERROR(__xludf.DUMMYFUNCTION("GOOGLETRANSLATE(C338,""fr"",""en"")"),"Extremely disappointed by the customer service who asked me to send paper and who did not respect what he had announced. He had to make me a relaxation by Rib they did it by check, was very late and they are deceived as a subscriber")</f>
        <v>Extremely disappointed by the customer service who asked me to send paper and who did not respect what he had announced. He had to make me a relaxation by Rib they did it by check, was very late and they are deceived as a subscriber</v>
      </c>
    </row>
    <row r="339" ht="15.75" customHeight="1">
      <c r="A339" s="2">
        <v>1.0</v>
      </c>
      <c r="B339" s="2" t="s">
        <v>1060</v>
      </c>
      <c r="C339" s="2" t="s">
        <v>1061</v>
      </c>
      <c r="D339" s="2" t="s">
        <v>20</v>
      </c>
      <c r="E339" s="2" t="s">
        <v>21</v>
      </c>
      <c r="F339" s="2" t="s">
        <v>15</v>
      </c>
      <c r="G339" s="2" t="s">
        <v>1062</v>
      </c>
      <c r="H339" s="2" t="s">
        <v>197</v>
      </c>
      <c r="I339" s="2" t="str">
        <f>IFERROR(__xludf.DUMMYFUNCTION("GOOGLETRANSLATE(C339,""fr"",""en"")"),"The insurer manipulates the customer to gradually increase his price The clauses are not clear, the imprecise contract is confusing and ultimately the insurer advances personal rules which justify a price increase which for me was 40% . He makes you accep"&amp;"t before sending you the contract so that you can do nothing.")</f>
        <v>The insurer manipulates the customer to gradually increase his price The clauses are not clear, the imprecise contract is confusing and ultimately the insurer advances personal rules which justify a price increase which for me was 40% . He makes you accept before sending you the contract so that you can do nothing.</v>
      </c>
    </row>
    <row r="340" ht="15.75" customHeight="1">
      <c r="A340" s="2">
        <v>3.0</v>
      </c>
      <c r="B340" s="2" t="s">
        <v>1063</v>
      </c>
      <c r="C340" s="2" t="s">
        <v>1064</v>
      </c>
      <c r="D340" s="2" t="s">
        <v>150</v>
      </c>
      <c r="E340" s="2" t="s">
        <v>122</v>
      </c>
      <c r="F340" s="2" t="s">
        <v>15</v>
      </c>
      <c r="G340" s="2" t="s">
        <v>134</v>
      </c>
      <c r="H340" s="2" t="s">
        <v>134</v>
      </c>
      <c r="I340" s="2" t="str">
        <f>IFERROR(__xludf.DUMMYFUNCTION("GOOGLETRANSLATE(C340,""fr"",""en"")"),"I am delighted with the very fast efficient and really inexpensive service I highly recommend it to my friends and to the other customer and future customer who wishes to subscribe")</f>
        <v>I am delighted with the very fast efficient and really inexpensive service I highly recommend it to my friends and to the other customer and future customer who wishes to subscribe</v>
      </c>
    </row>
    <row r="341" ht="15.75" customHeight="1">
      <c r="A341" s="2">
        <v>1.0</v>
      </c>
      <c r="B341" s="2" t="s">
        <v>1065</v>
      </c>
      <c r="C341" s="2" t="s">
        <v>1066</v>
      </c>
      <c r="D341" s="2" t="s">
        <v>13</v>
      </c>
      <c r="E341" s="2" t="s">
        <v>14</v>
      </c>
      <c r="F341" s="2" t="s">
        <v>15</v>
      </c>
      <c r="G341" s="2" t="s">
        <v>1067</v>
      </c>
      <c r="H341" s="2" t="s">
        <v>1068</v>
      </c>
      <c r="I341" s="2" t="str">
        <f>IFERROR(__xludf.DUMMYFUNCTION("GOOGLETRANSLATE(C341,""fr"",""en"")"),"I sent a refund bill by email on October 11, 2021, to date November 12, 2021 still no refund, I called three times and each time I am told that the reimbursement is gone ... but still nothing This day Friday November 13, 2021 !!!")</f>
        <v>I sent a refund bill by email on October 11, 2021, to date November 12, 2021 still no refund, I called three times and each time I am told that the reimbursement is gone ... but still nothing This day Friday November 13, 2021 !!!</v>
      </c>
    </row>
    <row r="342" ht="15.75" customHeight="1">
      <c r="A342" s="2">
        <v>1.0</v>
      </c>
      <c r="B342" s="2" t="s">
        <v>1069</v>
      </c>
      <c r="C342" s="2" t="s">
        <v>1070</v>
      </c>
      <c r="D342" s="2" t="s">
        <v>108</v>
      </c>
      <c r="E342" s="2" t="s">
        <v>21</v>
      </c>
      <c r="F342" s="2" t="s">
        <v>15</v>
      </c>
      <c r="G342" s="2" t="s">
        <v>1071</v>
      </c>
      <c r="H342" s="2" t="s">
        <v>197</v>
      </c>
      <c r="I342" s="2" t="str">
        <f>IFERROR(__xludf.DUMMYFUNCTION("GOOGLETRANSLATE(C342,""fr"",""en"")"),"insurance to flee very quickly")</f>
        <v>insurance to flee very quickly</v>
      </c>
    </row>
    <row r="343" ht="15.75" customHeight="1">
      <c r="A343" s="2">
        <v>4.0</v>
      </c>
      <c r="B343" s="2" t="s">
        <v>1072</v>
      </c>
      <c r="C343" s="2" t="s">
        <v>1073</v>
      </c>
      <c r="D343" s="2" t="s">
        <v>172</v>
      </c>
      <c r="E343" s="2" t="s">
        <v>14</v>
      </c>
      <c r="F343" s="2" t="s">
        <v>15</v>
      </c>
      <c r="G343" s="2" t="s">
        <v>100</v>
      </c>
      <c r="H343" s="2" t="s">
        <v>100</v>
      </c>
      <c r="I343" s="2" t="str">
        <f>IFERROR(__xludf.DUMMYFUNCTION("GOOGLETRANSLATE(C343,""fr"",""en"")"),"I have always been very satisfied with the MGP since my membership in 1976.
Contact level, very satisfactory, although having changed its residence recently and having left Marseille, there is no MGP office near Mulhouse. However, contact with MGP advise"&amp;"rs is easy and I am dealing with competent staff who take the time to respond with competence.
The only downside that I can issue concerns the level of contributions which does not take into account the care at 100% of the contributors.")</f>
        <v>I have always been very satisfied with the MGP since my membership in 1976.
Contact level, very satisfactory, although having changed its residence recently and having left Marseille, there is no MGP office near Mulhouse. However, contact with MGP advisers is easy and I am dealing with competent staff who take the time to respond with competence.
The only downside that I can issue concerns the level of contributions which does not take into account the care at 100% of the contributors.</v>
      </c>
    </row>
    <row r="344" ht="15.75" customHeight="1">
      <c r="A344" s="2">
        <v>1.0</v>
      </c>
      <c r="B344" s="2" t="s">
        <v>1074</v>
      </c>
      <c r="C344" s="2" t="s">
        <v>1075</v>
      </c>
      <c r="D344" s="2" t="s">
        <v>121</v>
      </c>
      <c r="E344" s="2" t="s">
        <v>122</v>
      </c>
      <c r="F344" s="2" t="s">
        <v>15</v>
      </c>
      <c r="G344" s="2" t="s">
        <v>1076</v>
      </c>
      <c r="H344" s="2" t="s">
        <v>100</v>
      </c>
      <c r="I344" s="2" t="str">
        <f>IFERROR(__xludf.DUMMYFUNCTION("GOOGLETRANSLATE(C344,""fr"",""en"")"),"I have been a biker, for 34 years never a disaster or theft or nothing at all, after a permit suspension, the cleaver is immediate at AMV, termination and registration in the terminated file, no discussion .... Nox")</f>
        <v>I have been a biker, for 34 years never a disaster or theft or nothing at all, after a permit suspension, the cleaver is immediate at AMV, termination and registration in the terminated file, no discussion .... Nox</v>
      </c>
    </row>
    <row r="345" ht="15.75" customHeight="1">
      <c r="A345" s="2">
        <v>1.0</v>
      </c>
      <c r="B345" s="2" t="s">
        <v>1077</v>
      </c>
      <c r="C345" s="2" t="s">
        <v>1078</v>
      </c>
      <c r="D345" s="2" t="s">
        <v>1079</v>
      </c>
      <c r="E345" s="2" t="s">
        <v>104</v>
      </c>
      <c r="F345" s="2" t="s">
        <v>15</v>
      </c>
      <c r="G345" s="2" t="s">
        <v>1080</v>
      </c>
      <c r="H345" s="2" t="s">
        <v>241</v>
      </c>
      <c r="I345" s="2" t="str">
        <f>IFERROR(__xludf.DUMMYFUNCTION("GOOGLETRANSLATE(C345,""fr"",""en"")"),"This insurance is absolutely to be avoided!
It is impossible to contact them directly, you must transmit all your requests to your LCL advisor which seems to be communicating with CACI only by email. Despite the LRAR, Caci does not meet the deadlines imp"&amp;"osed by the 10 -day Hamon law to meet your substitution requests. They expressly do not answer you once your birth date has been ready to offer you a discount on your current insurance. In my case he offered me -50% on the contributions of my loan insuran"&amp;"ce if I returned their offer accompanied by a direct debit mandate which was not in their mail. I not only answered in time, warned my LCL advisor that this mandate was missing, but I also redone a LRAR to request this mandate ... 3 months went by and alw"&amp;"ays zero response from CACI.
A consumer company has just sent LCL before the courts for these multiplied practices.
I strongly advise against this borrower insurance and wish good luck to all the victims in my case!")</f>
        <v>This insurance is absolutely to be avoided!
It is impossible to contact them directly, you must transmit all your requests to your LCL advisor which seems to be communicating with CACI only by email. Despite the LRAR, Caci does not meet the deadlines imposed by the 10 -day Hamon law to meet your substitution requests. They expressly do not answer you once your birth date has been ready to offer you a discount on your current insurance. In my case he offered me -50% on the contributions of my loan insurance if I returned their offer accompanied by a direct debit mandate which was not in their mail. I not only answered in time, warned my LCL advisor that this mandate was missing, but I also redone a LRAR to request this mandate ... 3 months went by and always zero response from CACI.
A consumer company has just sent LCL before the courts for these multiplied practices.
I strongly advise against this borrower insurance and wish good luck to all the victims in my case!</v>
      </c>
    </row>
    <row r="346" ht="15.75" customHeight="1">
      <c r="A346" s="2">
        <v>3.0</v>
      </c>
      <c r="B346" s="2" t="s">
        <v>1081</v>
      </c>
      <c r="C346" s="2" t="s">
        <v>1082</v>
      </c>
      <c r="D346" s="2" t="s">
        <v>41</v>
      </c>
      <c r="E346" s="2" t="s">
        <v>21</v>
      </c>
      <c r="F346" s="2" t="s">
        <v>15</v>
      </c>
      <c r="G346" s="2" t="s">
        <v>423</v>
      </c>
      <c r="H346" s="2" t="s">
        <v>42</v>
      </c>
      <c r="I346" s="2" t="str">
        <f>IFERROR(__xludf.DUMMYFUNCTION("GOOGLETRANSLATE(C346,""fr"",""en"")"),"I am satisfied with the Correct Prices Service Device Advisors Simple and Practical Interface Being a new Direct Customer Insurance I expect to see in use !!!!!")</f>
        <v>I am satisfied with the Correct Prices Service Device Advisors Simple and Practical Interface Being a new Direct Customer Insurance I expect to see in use !!!!!</v>
      </c>
    </row>
    <row r="347" ht="15.75" customHeight="1">
      <c r="A347" s="2">
        <v>3.0</v>
      </c>
      <c r="B347" s="2" t="s">
        <v>1083</v>
      </c>
      <c r="C347" s="2" t="s">
        <v>1084</v>
      </c>
      <c r="D347" s="2" t="s">
        <v>121</v>
      </c>
      <c r="E347" s="2" t="s">
        <v>122</v>
      </c>
      <c r="F347" s="2" t="s">
        <v>15</v>
      </c>
      <c r="G347" s="2" t="s">
        <v>1085</v>
      </c>
      <c r="H347" s="2" t="s">
        <v>227</v>
      </c>
      <c r="I347" s="2" t="str">
        <f>IFERROR(__xludf.DUMMYFUNCTION("GOOGLETRANSLATE(C347,""fr"",""en"")"),"I will try to be measured because everything can not be AMV's fault. If we ensure at least (at the basic third party, motorcycle of more than 10 years), we must expect to have the guarantees that go with ...
At home for 17 years (3 family vehicles), a go"&amp;"od father respecting the rules of the company (you know, those who pay their taxes, their insurance, roll with a permit, do not picole or drugs, respect the code From the road, give their place to an old or a lady on the bus, cross on the nails, have a mi"&amp;"nimum of civic meaning, all that, all that ...) I have never had any sinister and has since more 5 years 50%bonus.
In short, motorcycle accident a month ago with a young driver toasting the stop. Emergency avoidance, cascade, emergencies, multiple sores "&amp;"and wreck motorcycle.
The observation is made the next day, sent within 48 hours with the wealth of paperwork that goes with (20 pages!), Passage of the expert the following week, contact with Icare for the removal of the machine ... but still nothing in"&amp;" This concerns the strict determination of responsibilities or the indemnity. The worst part is to learn that the opposing part has not even opened a file yet ... Obviously, driver B has not given the observation or his agent is waiting to see if it react"&amp;"s on the side of 'Raissed ... We are not all pampered the same visibly.
For the pilot/insured, the sanction is immediate ... will he have to wait for the fall of fall leaves to be reimbursed?
Thank you anyway to the benevolence and patience of the compe"&amp;"nsation service team ... But for the principal concerned, these deadlines are frightening. Should we say that ""as long as everything is fine, we can count on your insurance"" ... and that the first asperity, things get complicated?
Thank you for denying"&amp;" all this ... because I will not like to have to go and see elsewhere.")</f>
        <v>I will try to be measured because everything can not be AMV's fault. If we ensure at least (at the basic third party, motorcycle of more than 10 years), we must expect to have the guarantees that go with ...
At home for 17 years (3 family vehicles), a good father respecting the rules of the company (you know, those who pay their taxes, their insurance, roll with a permit, do not picole or drugs, respect the code From the road, give their place to an old or a lady on the bus, cross on the nails, have a minimum of civic meaning, all that, all that ...) I have never had any sinister and has since more 5 years 50%bonus.
In short, motorcycle accident a month ago with a young driver toasting the stop. Emergency avoidance, cascade, emergencies, multiple sores and wreck motorcycle.
The observation is made the next day, sent within 48 hours with the wealth of paperwork that goes with (20 pages!), Passage of the expert the following week, contact with Icare for the removal of the machine ... but still nothing in This concerns the strict determination of responsibilities or the indemnity. The worst part is to learn that the opposing part has not even opened a file yet ... Obviously, driver B has not given the observation or his agent is waiting to see if it reacts on the side of 'Raissed ... We are not all pampered the same visibly.
For the pilot/insured, the sanction is immediate ... will he have to wait for the fall of fall leaves to be reimbursed?
Thank you anyway to the benevolence and patience of the compensation service team ... But for the principal concerned, these deadlines are frightening. Should we say that "as long as everything is fine, we can count on your insurance" ... and that the first asperity, things get complicated?
Thank you for denying all this ... because I will not like to have to go and see elsewhere.</v>
      </c>
    </row>
    <row r="348" ht="15.75" customHeight="1">
      <c r="A348" s="2">
        <v>3.0</v>
      </c>
      <c r="B348" s="2" t="s">
        <v>1086</v>
      </c>
      <c r="C348" s="2" t="s">
        <v>1087</v>
      </c>
      <c r="D348" s="2" t="s">
        <v>20</v>
      </c>
      <c r="E348" s="2" t="s">
        <v>21</v>
      </c>
      <c r="F348" s="2" t="s">
        <v>15</v>
      </c>
      <c r="G348" s="2" t="s">
        <v>378</v>
      </c>
      <c r="H348" s="2" t="s">
        <v>51</v>
      </c>
      <c r="I348" s="2" t="str">
        <f>IFERROR(__xludf.DUMMYFUNCTION("GOOGLETRANSLATE(C348,""fr"",""en"")"),"Service satisfied, value for money
I recommend this insurance. Maybe retain customers by making a decreasing price as years of seniority.")</f>
        <v>Service satisfied, value for money
I recommend this insurance. Maybe retain customers by making a decreasing price as years of seniority.</v>
      </c>
    </row>
    <row r="349" ht="15.75" customHeight="1">
      <c r="A349" s="2">
        <v>2.0</v>
      </c>
      <c r="B349" s="2" t="s">
        <v>1088</v>
      </c>
      <c r="C349" s="2" t="s">
        <v>1089</v>
      </c>
      <c r="D349" s="2" t="s">
        <v>72</v>
      </c>
      <c r="E349" s="2" t="s">
        <v>58</v>
      </c>
      <c r="F349" s="2" t="s">
        <v>15</v>
      </c>
      <c r="G349" s="2" t="s">
        <v>1090</v>
      </c>
      <c r="H349" s="2" t="s">
        <v>790</v>
      </c>
      <c r="I349" s="2" t="str">
        <f>IFERROR(__xludf.DUMMYFUNCTION("GOOGLETRANSLATE(C349,""fr"",""en"")"),"At the GMF for 48 years, and having had little worries, everything is fine but there for some time it remains strong to desire:
The last: a claim on a building of my home by a car quickly, on September 2, at 6 p.m., reported on 03/029 at 9 a.m., no docum"&amp;"ent requested while I could send them by internet immediately. I had to be recalled in 48 hours.
 The 11/09 I phone to find out where it is: a letter would have been sent to me on 04/09 (not received on 11 and dated 06/09!) Received on 12/09 .. I am aske"&amp;"d (well! ) the observation, the work quote. that I hasten to send immediately by internet. I am told in 3 days it will be good. I call this morning 09/16: contemptuous person, not presenting himself, who tells me that a letter to the insurer will be done "&amp;"to ask him for his agreement (???) when? You will be treated in order of arrival. And what does the insurer have? 30 days. I remind him that the house is on sale and that it is urgent, especially since the entrepreneur will have to intervene 3 times becau"&amp;"se the building is on the ground and lime .. it is as if I were talking to a wall! I hung. Insured at GMF since 1971!")</f>
        <v>At the GMF for 48 years, and having had little worries, everything is fine but there for some time it remains strong to desire:
The last: a claim on a building of my home by a car quickly, on September 2, at 6 p.m., reported on 03/029 at 9 a.m., no document requested while I could send them by internet immediately. I had to be recalled in 48 hours.
 The 11/09 I phone to find out where it is: a letter would have been sent to me on 04/09 (not received on 11 and dated 06/09!) Received on 12/09 .. I am asked (well! ) the observation, the work quote. that I hasten to send immediately by internet. I am told in 3 days it will be good. I call this morning 09/16: contemptuous person, not presenting himself, who tells me that a letter to the insurer will be done to ask him for his agreement (???) when? You will be treated in order of arrival. And what does the insurer have? 30 days. I remind him that the house is on sale and that it is urgent, especially since the entrepreneur will have to intervene 3 times because the building is on the ground and lime .. it is as if I were talking to a wall! I hung. Insured at GMF since 1971!</v>
      </c>
    </row>
    <row r="350" ht="15.75" customHeight="1">
      <c r="A350" s="2">
        <v>4.0</v>
      </c>
      <c r="B350" s="2" t="s">
        <v>1091</v>
      </c>
      <c r="C350" s="2" t="s">
        <v>1092</v>
      </c>
      <c r="D350" s="2" t="s">
        <v>91</v>
      </c>
      <c r="E350" s="2" t="s">
        <v>14</v>
      </c>
      <c r="F350" s="2" t="s">
        <v>15</v>
      </c>
      <c r="G350" s="2" t="s">
        <v>1093</v>
      </c>
      <c r="H350" s="2" t="s">
        <v>124</v>
      </c>
      <c r="I350" s="2" t="str">
        <f>IFERROR(__xludf.DUMMYFUNCTION("GOOGLETRANSLATE(C350,""fr"",""en"")"),"I am rather satisfied with this mutual. Refunds are fast, I never had a complaint. I appreciate having been contacting for a refresher of my complementary. The welcome is very pleasant and the competence undeniable.")</f>
        <v>I am rather satisfied with this mutual. Refunds are fast, I never had a complaint. I appreciate having been contacting for a refresher of my complementary. The welcome is very pleasant and the competence undeniable.</v>
      </c>
    </row>
    <row r="351" ht="15.75" customHeight="1">
      <c r="A351" s="2">
        <v>1.0</v>
      </c>
      <c r="B351" s="2" t="s">
        <v>1094</v>
      </c>
      <c r="C351" s="2" t="s">
        <v>1095</v>
      </c>
      <c r="D351" s="2" t="s">
        <v>67</v>
      </c>
      <c r="E351" s="2" t="s">
        <v>21</v>
      </c>
      <c r="F351" s="2" t="s">
        <v>15</v>
      </c>
      <c r="G351" s="2" t="s">
        <v>134</v>
      </c>
      <c r="H351" s="2" t="s">
        <v>134</v>
      </c>
      <c r="I351" s="2" t="str">
        <f>IFERROR(__xludf.DUMMYFUNCTION("GOOGLETRANSLATE(C351,""fr"",""en"")"),"Following a non -responsible traffic accident with an uninsured but identified person, insurance told me that I was going to be insured. So I followed their procedure (choice of their mechanic, expertise, deposit of vehicle in repair at their request) but"&amp;" they warned me after the repairs that I had to pay the incident !!! There is a real lack of consil on the part of this insurer.
To flee, customer for 30 years, without any claim for 12 years, they did not even want to make a commercial gesture (for € 70"&amp;"0) while I have 8 contracts in total (houses, vehicle) at home and that I Pay for € 3000 in annual contributions.")</f>
        <v>Following a non -responsible traffic accident with an uninsured but identified person, insurance told me that I was going to be insured. So I followed their procedure (choice of their mechanic, expertise, deposit of vehicle in repair at their request) but they warned me after the repairs that I had to pay the incident !!! There is a real lack of consil on the part of this insurer.
To flee, customer for 30 years, without any claim for 12 years, they did not even want to make a commercial gesture (for € 700) while I have 8 contracts in total (houses, vehicle) at home and that I Pay for € 3000 in annual contributions.</v>
      </c>
    </row>
    <row r="352" ht="15.75" customHeight="1">
      <c r="A352" s="2">
        <v>1.0</v>
      </c>
      <c r="B352" s="2" t="s">
        <v>1096</v>
      </c>
      <c r="C352" s="2" t="s">
        <v>1097</v>
      </c>
      <c r="D352" s="2" t="s">
        <v>212</v>
      </c>
      <c r="E352" s="2" t="s">
        <v>195</v>
      </c>
      <c r="F352" s="2" t="s">
        <v>15</v>
      </c>
      <c r="G352" s="2" t="s">
        <v>1098</v>
      </c>
      <c r="H352" s="2" t="s">
        <v>251</v>
      </c>
      <c r="I352" s="2" t="str">
        <f>IFERROR(__xludf.DUMMYFUNCTION("GOOGLETRANSLATE(C352,""fr"",""en"")"),"1 star because we cannot put less: errors in Gogo we take crazy sums not provided for at the schedule and we break a 10 year old contract without warning you. No reminder and no communication in the event of a problem and icing on the cake no compensation"&amp;" in the event of a cessation of activity in times of containment. We will hardly do worse than this insurance!")</f>
        <v>1 star because we cannot put less: errors in Gogo we take crazy sums not provided for at the schedule and we break a 10 year old contract without warning you. No reminder and no communication in the event of a problem and icing on the cake no compensation in the event of a cessation of activity in times of containment. We will hardly do worse than this insurance!</v>
      </c>
    </row>
    <row r="353" ht="15.75" customHeight="1">
      <c r="A353" s="2">
        <v>1.0</v>
      </c>
      <c r="B353" s="2" t="s">
        <v>1099</v>
      </c>
      <c r="C353" s="2" t="s">
        <v>1100</v>
      </c>
      <c r="D353" s="2" t="s">
        <v>651</v>
      </c>
      <c r="E353" s="2" t="s">
        <v>14</v>
      </c>
      <c r="F353" s="2" t="s">
        <v>15</v>
      </c>
      <c r="G353" s="2" t="s">
        <v>1101</v>
      </c>
      <c r="H353" s="2" t="s">
        <v>23</v>
      </c>
      <c r="I353" s="2" t="str">
        <f>IFERROR(__xludf.DUMMYFUNCTION("GOOGLETRANSLATE(C353,""fr"",""en"")"),"Mutual which reimburses more than a month. Mutual to flee ... does not take care of customers difficult to reach and do not answer emails with reclamations, they continue to take up the deadlines without worrying about their customers' reimbursements")</f>
        <v>Mutual which reimburses more than a month. Mutual to flee ... does not take care of customers difficult to reach and do not answer emails with reclamations, they continue to take up the deadlines without worrying about their customers' reimbursements</v>
      </c>
    </row>
    <row r="354" ht="15.75" customHeight="1">
      <c r="A354" s="2">
        <v>1.0</v>
      </c>
      <c r="B354" s="2" t="s">
        <v>1102</v>
      </c>
      <c r="C354" s="2" t="s">
        <v>1103</v>
      </c>
      <c r="D354" s="2" t="s">
        <v>67</v>
      </c>
      <c r="E354" s="2" t="s">
        <v>58</v>
      </c>
      <c r="F354" s="2" t="s">
        <v>15</v>
      </c>
      <c r="G354" s="2" t="s">
        <v>22</v>
      </c>
      <c r="H354" s="2" t="s">
        <v>23</v>
      </c>
      <c r="I354" s="2" t="str">
        <f>IFERROR(__xludf.DUMMYFUNCTION("GOOGLETRANSLATE(C354,""fr"",""en"")"),"We are insured at the Matmut, a third person insured at the MAAF returned to our residential wall by car in January 2021, all the experts have passed and we quantify the damage, however the insurer Maaf still has Not indemenized our insurer, a shame ... H"&amp;"e uses all the appeals so as not to reimburse, despite the many reminders which were made by the Matmut,
What interest in them to drag compensation and what image for this insurer ... ??")</f>
        <v>We are insured at the Matmut, a third person insured at the MAAF returned to our residential wall by car in January 2021, all the experts have passed and we quantify the damage, however the insurer Maaf still has Not indemenized our insurer, a shame ... He uses all the appeals so as not to reimburse, despite the many reminders which were made by the Matmut,
What interest in them to drag compensation and what image for this insurer ... ??</v>
      </c>
    </row>
    <row r="355" ht="15.75" customHeight="1">
      <c r="A355" s="2">
        <v>1.0</v>
      </c>
      <c r="B355" s="2" t="s">
        <v>1104</v>
      </c>
      <c r="C355" s="2" t="s">
        <v>1105</v>
      </c>
      <c r="D355" s="2" t="s">
        <v>26</v>
      </c>
      <c r="E355" s="2" t="s">
        <v>14</v>
      </c>
      <c r="F355" s="2" t="s">
        <v>15</v>
      </c>
      <c r="G355" s="2" t="s">
        <v>1106</v>
      </c>
      <c r="H355" s="2" t="s">
        <v>118</v>
      </c>
      <c r="I355" s="2" t="str">
        <f>IFERROR(__xludf.DUMMYFUNCTION("GOOGLETRANSLATE(C355,""fr"",""en"")"),"Lamentable service. It's been 1 year since I ask for my card and to date still not received despite my trip to Noyelles-Godault and my multiple shipments of documents and calls. They always tell me that they are going to do what is necessary, but still no"&amp;"thing just good to constantly ask for the same documents. There is fed up at the end, very disappointed with this insurance. Easy to make television ads where everything is wonderful but it is not like that in real life. To cash my money every month, it's"&amp;" okay it's the champions.")</f>
        <v>Lamentable service. It's been 1 year since I ask for my card and to date still not received despite my trip to Noyelles-Godault and my multiple shipments of documents and calls. They always tell me that they are going to do what is necessary, but still nothing just good to constantly ask for the same documents. There is fed up at the end, very disappointed with this insurance. Easy to make television ads where everything is wonderful but it is not like that in real life. To cash my money every month, it's okay it's the champions.</v>
      </c>
    </row>
    <row r="356" ht="15.75" customHeight="1">
      <c r="A356" s="2">
        <v>4.0</v>
      </c>
      <c r="B356" s="2" t="s">
        <v>1107</v>
      </c>
      <c r="C356" s="2" t="s">
        <v>1108</v>
      </c>
      <c r="D356" s="2" t="s">
        <v>1109</v>
      </c>
      <c r="E356" s="2" t="s">
        <v>195</v>
      </c>
      <c r="F356" s="2" t="s">
        <v>15</v>
      </c>
      <c r="G356" s="2" t="s">
        <v>217</v>
      </c>
      <c r="H356" s="2" t="s">
        <v>134</v>
      </c>
      <c r="I356" s="2" t="str">
        <f>IFERROR(__xludf.DUMMYFUNCTION("GOOGLETRANSLATE(C356,""fr"",""en"")"),"Remarkable performance in the bahtated period / rare partner offering still personalized contact by local agency / follow -up and useful information by available and competent advisor //")</f>
        <v>Remarkable performance in the bahtated period / rare partner offering still personalized contact by local agency / follow -up and useful information by available and competent advisor //</v>
      </c>
    </row>
    <row r="357" ht="15.75" customHeight="1">
      <c r="A357" s="2">
        <v>3.0</v>
      </c>
      <c r="B357" s="2" t="s">
        <v>1110</v>
      </c>
      <c r="C357" s="2" t="s">
        <v>1111</v>
      </c>
      <c r="D357" s="2" t="s">
        <v>36</v>
      </c>
      <c r="E357" s="2" t="s">
        <v>58</v>
      </c>
      <c r="F357" s="2" t="s">
        <v>15</v>
      </c>
      <c r="G357" s="2" t="s">
        <v>1112</v>
      </c>
      <c r="H357" s="2" t="s">
        <v>118</v>
      </c>
      <c r="I357" s="2" t="str">
        <f>IFERROR(__xludf.DUMMYFUNCTION("GOOGLETRANSLATE(C357,""fr"",""en"")"),"Hello. A Maif expert came to see the damage following the gale of December 2019. He wrote (tapping) his relationship with me and without being able to read it, or have a copy, he made me signed On its white PC screen? Signed what? Hmm ... doubt or not! Do"&amp;" we have the right to have a 77 year old person signed a document without prerequisite to read or copy it? I have the impression of having given him a white-check! What will become of my signature? Thank you for your advice. Bernard")</f>
        <v>Hello. A Maif expert came to see the damage following the gale of December 2019. He wrote (tapping) his relationship with me and without being able to read it, or have a copy, he made me signed On its white PC screen? Signed what? Hmm ... doubt or not! Do we have the right to have a 77 year old person signed a document without prerequisite to read or copy it? I have the impression of having given him a white-check! What will become of my signature? Thank you for your advice. Bernard</v>
      </c>
    </row>
    <row r="358" ht="15.75" customHeight="1">
      <c r="A358" s="2">
        <v>2.0</v>
      </c>
      <c r="B358" s="2" t="s">
        <v>1113</v>
      </c>
      <c r="C358" s="2" t="s">
        <v>1114</v>
      </c>
      <c r="D358" s="2" t="s">
        <v>13</v>
      </c>
      <c r="E358" s="2" t="s">
        <v>14</v>
      </c>
      <c r="F358" s="2" t="s">
        <v>15</v>
      </c>
      <c r="G358" s="2" t="s">
        <v>381</v>
      </c>
      <c r="H358" s="2" t="s">
        <v>51</v>
      </c>
      <c r="I358" s="2" t="str">
        <f>IFERROR(__xludf.DUMMYFUNCTION("GOOGLETRANSLATE(C358,""fr"",""en"")"),"Contact made via the internet then by phone. The salesperson turns out to be my interlocutor to know my rights. No luck at the time of the change of mutual insurance I must be operated on following an accident intervened 3 weeks ago and hospitalization wh"&amp;"en I had my other mutual. Neoliane refuses to intervene. 1st disappointment. Then I ask for the assistance number. I was immobilized at home. The salesperson oriented me towards a structure that did not know Neoliane! Whenever I present my Mutual Card Pha"&amp;"rmacists, Opticians etc. Remain perplexed. Neoliane does not respond or 3 months after a multitude of reminders. In short. I do not recommend this mutual which has no local agency and which is disadvantaged with each request.")</f>
        <v>Contact made via the internet then by phone. The salesperson turns out to be my interlocutor to know my rights. No luck at the time of the change of mutual insurance I must be operated on following an accident intervened 3 weeks ago and hospitalization when I had my other mutual. Neoliane refuses to intervene. 1st disappointment. Then I ask for the assistance number. I was immobilized at home. The salesperson oriented me towards a structure that did not know Neoliane! Whenever I present my Mutual Card Pharmacists, Opticians etc. Remain perplexed. Neoliane does not respond or 3 months after a multitude of reminders. In short. I do not recommend this mutual which has no local agency and which is disadvantaged with each request.</v>
      </c>
    </row>
    <row r="359" ht="15.75" customHeight="1">
      <c r="A359" s="2">
        <v>4.0</v>
      </c>
      <c r="B359" s="2" t="s">
        <v>1115</v>
      </c>
      <c r="C359" s="2" t="s">
        <v>1116</v>
      </c>
      <c r="D359" s="2" t="s">
        <v>20</v>
      </c>
      <c r="E359" s="2" t="s">
        <v>21</v>
      </c>
      <c r="F359" s="2" t="s">
        <v>15</v>
      </c>
      <c r="G359" s="2" t="s">
        <v>341</v>
      </c>
      <c r="H359" s="2" t="s">
        <v>51</v>
      </c>
      <c r="I359" s="2" t="str">
        <f>IFERROR(__xludf.DUMMYFUNCTION("GOOGLETRANSLATE(C359,""fr"",""en"")"),"Satisfied with the service.
The prices are correct.
The procedures to register and send the documents are simple (all this fact on the Internet, it's practical)")</f>
        <v>Satisfied with the service.
The prices are correct.
The procedures to register and send the documents are simple (all this fact on the Internet, it's practical)</v>
      </c>
    </row>
    <row r="360" ht="15.75" customHeight="1">
      <c r="A360" s="2">
        <v>2.0</v>
      </c>
      <c r="B360" s="2" t="s">
        <v>1117</v>
      </c>
      <c r="C360" s="2" t="s">
        <v>1118</v>
      </c>
      <c r="D360" s="2" t="s">
        <v>20</v>
      </c>
      <c r="E360" s="2" t="s">
        <v>21</v>
      </c>
      <c r="F360" s="2" t="s">
        <v>15</v>
      </c>
      <c r="G360" s="2" t="s">
        <v>1119</v>
      </c>
      <c r="H360" s="2" t="s">
        <v>118</v>
      </c>
      <c r="I360" s="2" t="str">
        <f>IFERROR(__xludf.DUMMYFUNCTION("GOOGLETRANSLATE(C360,""fr"",""en"")"),"A complete disappointment. I had a disaster official declared on July 2. On July 22, I am still without the expert's opinion and without my car. The insurer took 10 days to find me an approved garage, then more than a week to bring an expert and therefore"&amp;" another minimum week to be expected for repair! I called Olivier a thousand times but impossible to make things happen. And I'm without a replacement car because there are no cars with an automatic transmission in the garage. And today one of Olivier's o"&amp;"fficials refused to give a replacement car via rental agencies. I wanted to take out a paid option to have a replacement car but I was refused because the disaster has already had the place later. No need to call for the complaint service, it doesn't chan"&amp;"ge anything")</f>
        <v>A complete disappointment. I had a disaster official declared on July 2. On July 22, I am still without the expert's opinion and without my car. The insurer took 10 days to find me an approved garage, then more than a week to bring an expert and therefore another minimum week to be expected for repair! I called Olivier a thousand times but impossible to make things happen. And I'm without a replacement car because there are no cars with an automatic transmission in the garage. And today one of Olivier's officials refused to give a replacement car via rental agencies. I wanted to take out a paid option to have a replacement car but I was refused because the disaster has already had the place later. No need to call for the complaint service, it doesn't change anything</v>
      </c>
    </row>
    <row r="361" ht="15.75" customHeight="1">
      <c r="A361" s="2">
        <v>3.0</v>
      </c>
      <c r="B361" s="2" t="s">
        <v>1120</v>
      </c>
      <c r="C361" s="2" t="s">
        <v>1121</v>
      </c>
      <c r="D361" s="2" t="s">
        <v>41</v>
      </c>
      <c r="E361" s="2" t="s">
        <v>21</v>
      </c>
      <c r="F361" s="2" t="s">
        <v>15</v>
      </c>
      <c r="G361" s="2" t="s">
        <v>288</v>
      </c>
      <c r="H361" s="2" t="s">
        <v>42</v>
      </c>
      <c r="I361" s="2" t="str">
        <f>IFERROR(__xludf.DUMMYFUNCTION("GOOGLETRANSLATE(C361,""fr"",""en"")"),"I am satisfied with the service The price suits me it is simple and practical.
I am satisfied with the service The price suits me it is simple and practical.
I am satisfied with the service The price suits me it is simple and practical.")</f>
        <v>I am satisfied with the service The price suits me it is simple and practical.
I am satisfied with the service The price suits me it is simple and practical.
I am satisfied with the service The price suits me it is simple and practical.</v>
      </c>
    </row>
    <row r="362" ht="15.75" customHeight="1">
      <c r="A362" s="2">
        <v>1.0</v>
      </c>
      <c r="B362" s="2" t="s">
        <v>1122</v>
      </c>
      <c r="C362" s="2" t="s">
        <v>1123</v>
      </c>
      <c r="D362" s="2" t="s">
        <v>20</v>
      </c>
      <c r="E362" s="2" t="s">
        <v>21</v>
      </c>
      <c r="F362" s="2" t="s">
        <v>15</v>
      </c>
      <c r="G362" s="2" t="s">
        <v>1124</v>
      </c>
      <c r="H362" s="2" t="s">
        <v>33</v>
      </c>
      <c r="I362" s="2" t="str">
        <f>IFERROR(__xludf.DUMMYFUNCTION("GOOGLETRANSLATE(C362,""fr"",""en"")"),"Customer service in parrot mode, they are all training to repeat the same thing, disaster open since early November, no information on their part, forced to call them H24, allow themselves to say that I am wrong while no, deposit to make and send to insur"&amp;"ance everything is there, do not do their work well, the agent was not even aware that the other vehicle had insurance,")</f>
        <v>Customer service in parrot mode, they are all training to repeat the same thing, disaster open since early November, no information on their part, forced to call them H24, allow themselves to say that I am wrong while no, deposit to make and send to insurance everything is there, do not do their work well, the agent was not even aware that the other vehicle had insurance,</v>
      </c>
    </row>
    <row r="363" ht="15.75" customHeight="1">
      <c r="A363" s="2">
        <v>5.0</v>
      </c>
      <c r="B363" s="2" t="s">
        <v>1125</v>
      </c>
      <c r="C363" s="2" t="s">
        <v>1126</v>
      </c>
      <c r="D363" s="2" t="s">
        <v>20</v>
      </c>
      <c r="E363" s="2" t="s">
        <v>21</v>
      </c>
      <c r="F363" s="2" t="s">
        <v>15</v>
      </c>
      <c r="G363" s="2" t="s">
        <v>996</v>
      </c>
      <c r="H363" s="2" t="s">
        <v>55</v>
      </c>
      <c r="I363" s="2" t="str">
        <f>IFERROR(__xludf.DUMMYFUNCTION("GOOGLETRANSLATE(C363,""fr"",""en"")"),"I called for the first time I came across a just adorable, professional and caring advisor! A second call ditto a jovial and professional advisor! Continue pcq is a bit of happiness with each call")</f>
        <v>I called for the first time I came across a just adorable, professional and caring advisor! A second call ditto a jovial and professional advisor! Continue pcq is a bit of happiness with each call</v>
      </c>
    </row>
    <row r="364" ht="15.75" customHeight="1">
      <c r="A364" s="2">
        <v>3.0</v>
      </c>
      <c r="B364" s="2" t="s">
        <v>1127</v>
      </c>
      <c r="C364" s="2" t="s">
        <v>1128</v>
      </c>
      <c r="D364" s="2" t="s">
        <v>13</v>
      </c>
      <c r="E364" s="2" t="s">
        <v>14</v>
      </c>
      <c r="F364" s="2" t="s">
        <v>15</v>
      </c>
      <c r="G364" s="2" t="s">
        <v>1129</v>
      </c>
      <c r="H364" s="2" t="s">
        <v>1130</v>
      </c>
      <c r="I364" s="2" t="str">
        <f>IFERROR(__xludf.DUMMYFUNCTION("GOOGLETRANSLATE(C364,""fr"",""en"")"),"I do not recommend this health insurance, the reimbursement management is poor my mutual card I received it after 5 months after signing my contract and when I terminate the bizarre it takes note of your lives so as not to leave. Breff thank you to my cur"&amp;"rent advisor who is top for those who need an honest advisor and listening to your requests p.bouvier@arcane-reseau.fr")</f>
        <v>I do not recommend this health insurance, the reimbursement management is poor my mutual card I received it after 5 months after signing my contract and when I terminate the bizarre it takes note of your lives so as not to leave. Breff thank you to my current advisor who is top for those who need an honest advisor and listening to your requests p.bouvier@arcane-reseau.fr</v>
      </c>
    </row>
    <row r="365" ht="15.75" customHeight="1">
      <c r="A365" s="2">
        <v>2.0</v>
      </c>
      <c r="B365" s="2" t="s">
        <v>1131</v>
      </c>
      <c r="C365" s="2" t="s">
        <v>1132</v>
      </c>
      <c r="D365" s="2" t="s">
        <v>20</v>
      </c>
      <c r="E365" s="2" t="s">
        <v>21</v>
      </c>
      <c r="F365" s="2" t="s">
        <v>15</v>
      </c>
      <c r="G365" s="2" t="s">
        <v>1133</v>
      </c>
      <c r="H365" s="2" t="s">
        <v>309</v>
      </c>
      <c r="I365" s="2" t="str">
        <f>IFERROR(__xludf.DUMMYFUNCTION("GOOGLETRANSLATE(C365,""fr"",""en"")"),"This insurance and absolutely to avoid")</f>
        <v>This insurance and absolutely to avoid</v>
      </c>
    </row>
    <row r="366" ht="15.75" customHeight="1">
      <c r="A366" s="2">
        <v>2.0</v>
      </c>
      <c r="B366" s="2" t="s">
        <v>1134</v>
      </c>
      <c r="C366" s="2" t="s">
        <v>1135</v>
      </c>
      <c r="D366" s="2" t="s">
        <v>395</v>
      </c>
      <c r="E366" s="2" t="s">
        <v>21</v>
      </c>
      <c r="F366" s="2" t="s">
        <v>15</v>
      </c>
      <c r="G366" s="2" t="s">
        <v>1136</v>
      </c>
      <c r="H366" s="2" t="s">
        <v>265</v>
      </c>
      <c r="I366" s="2" t="str">
        <f>IFERROR(__xludf.DUMMYFUNCTION("GOOGLETRANSLATE(C366,""fr"",""en"")"),"It was already a hard work to change insurance (car) to end up with AXA after months of conflicts with my old insurance ... Their prices were attractive and I thought that compared to what I had had Before, it could not be worse ... Unfortunately for me a"&amp;"nd especially to have moved, the price of my insurance has changed quickly! Indeed, reporting a change of address increases the price, in some cases, of its insurance ... In AXA the only modification they take into account is to increase the subscription "&amp;"without even taking into account the change in Address ... which makes us always call them, nothing done! They take into account the change of address in their price but always send the green card to the old address with the old address of course ... Ther"&amp;"efore, I drive in insurance (hey yes the green card is no longer valid with the dates and the deciduous address) and to each of my calls, my subscription increases ... No solution is brought to me, not to mention the number of times I called without havin"&amp;"g had a Nobody, wherever it hangs up on me, is unpleasant or even makes me understand that I lie and that I invent despite the obvious evidence on their chronic incompetence ... Catastrophic customer service! I even moved to AXA agency because I am a cust"&amp;"omer only on the internet (apparently I do not even have the right to have an agency referent ...) and they do not come back from the level of incompetence of incompetence Their online platform system ... run away absolutely AXA !! They only try to take m"&amp;"oney without finding solutions ...")</f>
        <v>It was already a hard work to change insurance (car) to end up with AXA after months of conflicts with my old insurance ... Their prices were attractive and I thought that compared to what I had had Before, it could not be worse ... Unfortunately for me and especially to have moved, the price of my insurance has changed quickly! Indeed, reporting a change of address increases the price, in some cases, of its insurance ... In AXA the only modification they take into account is to increase the subscription without even taking into account the change in Address ... which makes us always call them, nothing done! They take into account the change of address in their price but always send the green card to the old address with the old address of course ... Therefore, I drive in insurance (hey yes the green card is no longer valid with the dates and the deciduous address) and to each of my calls, my subscription increases ... No solution is brought to me, not to mention the number of times I called without having had a Nobody, wherever it hangs up on me, is unpleasant or even makes me understand that I lie and that I invent despite the obvious evidence on their chronic incompetence ... Catastrophic customer service! I even moved to AXA agency because I am a customer only on the internet (apparently I do not even have the right to have an agency referent ...) and they do not come back from the level of incompetence of incompetence Their online platform system ... run away absolutely AXA !! They only try to take money without finding solutions ...</v>
      </c>
    </row>
    <row r="367" ht="15.75" customHeight="1">
      <c r="A367" s="2">
        <v>1.0</v>
      </c>
      <c r="B367" s="2" t="s">
        <v>1137</v>
      </c>
      <c r="C367" s="2" t="s">
        <v>1138</v>
      </c>
      <c r="D367" s="2" t="s">
        <v>315</v>
      </c>
      <c r="E367" s="2" t="s">
        <v>14</v>
      </c>
      <c r="F367" s="2" t="s">
        <v>15</v>
      </c>
      <c r="G367" s="2" t="s">
        <v>1139</v>
      </c>
      <c r="H367" s="2" t="s">
        <v>320</v>
      </c>
      <c r="I367" s="2" t="str">
        <f>IFERROR(__xludf.DUMMYFUNCTION("GOOGLETRANSLATE(C367,""fr"",""en"")"),"Hello, You should know that the MGEN no longer has the monopoly for mutuals for national education staff. I learned this year that it had been liberalized and other insurances such as the GMF or AXA obtained the authorization by the Ministry of National E"&amp;"ducation. I am currently carrying out quotes in order to flee the MGEN at the actually exorbitant prices (3012.48 euros for the last 12 months for my spouse, himself a member, myself and my 2 children, knowing that we are 2 teachers of 17 years of seniori"&amp;"ty only - the subscription is calculated on the salary).")</f>
        <v>Hello, You should know that the MGEN no longer has the monopoly for mutuals for national education staff. I learned this year that it had been liberalized and other insurances such as the GMF or AXA obtained the authorization by the Ministry of National Education. I am currently carrying out quotes in order to flee the MGEN at the actually exorbitant prices (3012.48 euros for the last 12 months for my spouse, himself a member, myself and my 2 children, knowing that we are 2 teachers of 17 years of seniority only - the subscription is calculated on the salary).</v>
      </c>
    </row>
    <row r="368" ht="15.75" customHeight="1">
      <c r="A368" s="2">
        <v>4.0</v>
      </c>
      <c r="B368" s="2" t="s">
        <v>1140</v>
      </c>
      <c r="C368" s="2" t="s">
        <v>1141</v>
      </c>
      <c r="D368" s="2" t="s">
        <v>20</v>
      </c>
      <c r="E368" s="2" t="s">
        <v>21</v>
      </c>
      <c r="F368" s="2" t="s">
        <v>15</v>
      </c>
      <c r="G368" s="2" t="s">
        <v>113</v>
      </c>
      <c r="H368" s="2" t="s">
        <v>47</v>
      </c>
      <c r="I368" s="2" t="str">
        <f>IFERROR(__xludf.DUMMYFUNCTION("GOOGLETRANSLATE(C368,""fr"",""en"")"),"I am satisfied with the service the prices suit me I took note of everything I had your name by one of my children who was at home I followed")</f>
        <v>I am satisfied with the service the prices suit me I took note of everything I had your name by one of my children who was at home I followed</v>
      </c>
    </row>
    <row r="369" ht="15.75" customHeight="1">
      <c r="A369" s="2">
        <v>1.0</v>
      </c>
      <c r="B369" s="2" t="s">
        <v>1142</v>
      </c>
      <c r="C369" s="2" t="s">
        <v>1143</v>
      </c>
      <c r="D369" s="2" t="s">
        <v>263</v>
      </c>
      <c r="E369" s="2" t="s">
        <v>922</v>
      </c>
      <c r="F369" s="2" t="s">
        <v>15</v>
      </c>
      <c r="G369" s="2" t="s">
        <v>1144</v>
      </c>
      <c r="H369" s="2" t="s">
        <v>60</v>
      </c>
      <c r="I369" s="2" t="str">
        <f>IFERROR(__xludf.DUMMYFUNCTION("GOOGLETRANSLATE(C369,""fr"",""en"")"),"There is something reassuring when you read the comments; I tell myself that I am not alone to be distraught by this life insurance. Papa died on 09/29/2020, my sister and I sent all the necessary documents and today I receive a letter telling me that I '"&amp;"had poorly filled the documents (documents which by the way are of a lack of total understanding and which does not specify that it is necessary to send a RIB and its photocopy of identity card. All this to have the file dragged and Keep the money warm in"&amp;" their box). Very unpleasant on the phone and above all a lack of empathy with regard to bereaved people. Assurance that makes me ashamed and who does not allow me to mourn. Ou is the respect of the deceased and their family ?? not recommend!")</f>
        <v>There is something reassuring when you read the comments; I tell myself that I am not alone to be distraught by this life insurance. Papa died on 09/29/2020, my sister and I sent all the necessary documents and today I receive a letter telling me that I 'had poorly filled the documents (documents which by the way are of a lack of total understanding and which does not specify that it is necessary to send a RIB and its photocopy of identity card. All this to have the file dragged and Keep the money warm in their box). Very unpleasant on the phone and above all a lack of empathy with regard to bereaved people. Assurance that makes me ashamed and who does not allow me to mourn. Ou is the respect of the deceased and their family ?? not recommend!</v>
      </c>
    </row>
    <row r="370" ht="15.75" customHeight="1">
      <c r="A370" s="2">
        <v>2.0</v>
      </c>
      <c r="B370" s="2" t="s">
        <v>1145</v>
      </c>
      <c r="C370" s="2" t="s">
        <v>1146</v>
      </c>
      <c r="D370" s="2" t="s">
        <v>20</v>
      </c>
      <c r="E370" s="2" t="s">
        <v>21</v>
      </c>
      <c r="F370" s="2" t="s">
        <v>15</v>
      </c>
      <c r="G370" s="2" t="s">
        <v>151</v>
      </c>
      <c r="H370" s="2" t="s">
        <v>28</v>
      </c>
      <c r="I370" s="2" t="str">
        <f>IFERROR(__xludf.DUMMYFUNCTION("GOOGLETRANSLATE(C370,""fr"",""en"")"),"How does that do that it is impossible to have a monthly payment of my insurance
So people with modest income do not have the right to drive !!!!!!
I would not recommend your insurance")</f>
        <v>How does that do that it is impossible to have a monthly payment of my insurance
So people with modest income do not have the right to drive !!!!!!
I would not recommend your insurance</v>
      </c>
    </row>
    <row r="371" ht="15.75" customHeight="1">
      <c r="A371" s="2">
        <v>3.0</v>
      </c>
      <c r="B371" s="2" t="s">
        <v>1147</v>
      </c>
      <c r="C371" s="2" t="s">
        <v>1148</v>
      </c>
      <c r="D371" s="2" t="s">
        <v>121</v>
      </c>
      <c r="E371" s="2" t="s">
        <v>122</v>
      </c>
      <c r="F371" s="2" t="s">
        <v>15</v>
      </c>
      <c r="G371" s="2" t="s">
        <v>237</v>
      </c>
      <c r="H371" s="2" t="s">
        <v>74</v>
      </c>
      <c r="I371" s="2" t="str">
        <f>IFERROR(__xludf.DUMMYFUNCTION("GOOGLETRANSLATE(C371,""fr"",""en"")"),"Being already a client nothing is pre-filled to take out a new contract, the procedures seem endless, it is necessary to redo everything and the supporting documents are to be given to the shovel (information statements (???))")</f>
        <v>Being already a client nothing is pre-filled to take out a new contract, the procedures seem endless, it is necessary to redo everything and the supporting documents are to be given to the shovel (information statements (???))</v>
      </c>
    </row>
    <row r="372" ht="15.75" customHeight="1">
      <c r="A372" s="2">
        <v>3.0</v>
      </c>
      <c r="B372" s="2" t="s">
        <v>1149</v>
      </c>
      <c r="C372" s="2" t="s">
        <v>1150</v>
      </c>
      <c r="D372" s="2" t="s">
        <v>150</v>
      </c>
      <c r="E372" s="2" t="s">
        <v>122</v>
      </c>
      <c r="F372" s="2" t="s">
        <v>15</v>
      </c>
      <c r="G372" s="2" t="s">
        <v>182</v>
      </c>
      <c r="H372" s="2" t="s">
        <v>51</v>
      </c>
      <c r="I372" s="2" t="str">
        <f>IFERROR(__xludf.DUMMYFUNCTION("GOOGLETRANSLATE(C372,""fr"",""en"")"),"The services and fast and well even if the other insurers the price and slightly lower but the 0km and much more advantageous failure the other insurers offers the breakdown from 50km!")</f>
        <v>The services and fast and well even if the other insurers the price and slightly lower but the 0km and much more advantageous failure the other insurers offers the breakdown from 50km!</v>
      </c>
    </row>
    <row r="373" ht="15.75" customHeight="1">
      <c r="A373" s="2">
        <v>1.0</v>
      </c>
      <c r="B373" s="2" t="s">
        <v>1151</v>
      </c>
      <c r="C373" s="2" t="s">
        <v>1152</v>
      </c>
      <c r="D373" s="2" t="s">
        <v>605</v>
      </c>
      <c r="E373" s="2" t="s">
        <v>14</v>
      </c>
      <c r="F373" s="2" t="s">
        <v>15</v>
      </c>
      <c r="G373" s="2" t="s">
        <v>411</v>
      </c>
      <c r="H373" s="2" t="s">
        <v>412</v>
      </c>
      <c r="I373" s="2" t="str">
        <f>IFERROR(__xludf.DUMMYFUNCTION("GOOGLETRANSLATE(C373,""fr"",""en"")")," Read inlay on contract but do not reimburse because writes inlay-core alone the pro make the difference.")</f>
        <v> Read inlay on contract but do not reimburse because writes inlay-core alone the pro make the difference.</v>
      </c>
    </row>
    <row r="374" ht="15.75" customHeight="1">
      <c r="A374" s="2">
        <v>3.0</v>
      </c>
      <c r="B374" s="2" t="s">
        <v>1153</v>
      </c>
      <c r="C374" s="2" t="s">
        <v>1154</v>
      </c>
      <c r="D374" s="2" t="s">
        <v>41</v>
      </c>
      <c r="E374" s="2" t="s">
        <v>21</v>
      </c>
      <c r="F374" s="2" t="s">
        <v>15</v>
      </c>
      <c r="G374" s="2" t="s">
        <v>1155</v>
      </c>
      <c r="H374" s="2" t="s">
        <v>231</v>
      </c>
      <c r="I374" s="2" t="str">
        <f>IFERROR(__xludf.DUMMYFUNCTION("GOOGLETRANSLATE(C374,""fr"",""en"")"),"I am satisfied with the prices offered the prices suit me perfectly I recommend your insurance to anyone around me")</f>
        <v>I am satisfied with the prices offered the prices suit me perfectly I recommend your insurance to anyone around me</v>
      </c>
    </row>
    <row r="375" ht="15.75" customHeight="1">
      <c r="A375" s="2">
        <v>3.0</v>
      </c>
      <c r="B375" s="2" t="s">
        <v>1156</v>
      </c>
      <c r="C375" s="2" t="s">
        <v>1157</v>
      </c>
      <c r="D375" s="2" t="s">
        <v>41</v>
      </c>
      <c r="E375" s="2" t="s">
        <v>21</v>
      </c>
      <c r="F375" s="2" t="s">
        <v>15</v>
      </c>
      <c r="G375" s="2" t="s">
        <v>341</v>
      </c>
      <c r="H375" s="2" t="s">
        <v>51</v>
      </c>
      <c r="I375" s="2" t="str">
        <f>IFERROR(__xludf.DUMMYFUNCTION("GOOGLETRANSLATE(C375,""fr"",""en"")"),"I am satisfied with the service offered by insurance. As a student, I find the prices very attractive in comparison with the other offers available on the market.")</f>
        <v>I am satisfied with the service offered by insurance. As a student, I find the prices very attractive in comparison with the other offers available on the market.</v>
      </c>
    </row>
    <row r="376" ht="15.75" customHeight="1">
      <c r="A376" s="2">
        <v>5.0</v>
      </c>
      <c r="B376" s="2" t="s">
        <v>1158</v>
      </c>
      <c r="C376" s="2" t="s">
        <v>1159</v>
      </c>
      <c r="D376" s="2" t="s">
        <v>20</v>
      </c>
      <c r="E376" s="2" t="s">
        <v>21</v>
      </c>
      <c r="F376" s="2" t="s">
        <v>15</v>
      </c>
      <c r="G376" s="2" t="s">
        <v>1160</v>
      </c>
      <c r="H376" s="2" t="s">
        <v>42</v>
      </c>
      <c r="I376" s="2" t="str">
        <f>IFERROR(__xludf.DUMMYFUNCTION("GOOGLETRANSLATE(C376,""fr"",""en"")"),"I am satisfied with the services and the price suits me perfectly. The telephone reception service is efficient and the information transmitted is precise")</f>
        <v>I am satisfied with the services and the price suits me perfectly. The telephone reception service is efficient and the information transmitted is precise</v>
      </c>
    </row>
    <row r="377" ht="15.75" customHeight="1">
      <c r="A377" s="2">
        <v>4.0</v>
      </c>
      <c r="B377" s="2" t="s">
        <v>1161</v>
      </c>
      <c r="C377" s="2" t="s">
        <v>1162</v>
      </c>
      <c r="D377" s="2" t="s">
        <v>121</v>
      </c>
      <c r="E377" s="2" t="s">
        <v>122</v>
      </c>
      <c r="F377" s="2" t="s">
        <v>15</v>
      </c>
      <c r="G377" s="2" t="s">
        <v>971</v>
      </c>
      <c r="H377" s="2" t="s">
        <v>74</v>
      </c>
      <c r="I377" s="2" t="str">
        <f>IFERROR(__xludf.DUMMYFUNCTION("GOOGLETRANSLATE(C377,""fr"",""en"")"),"Perfect !
The prices are very affordable and this allows me to save as much as possible which is not refusal.
The more 10% if you ensure your car in addition to your motorcycle is clearly not negligible!")</f>
        <v>Perfect !
The prices are very affordable and this allows me to save as much as possible which is not refusal.
The more 10% if you ensure your car in addition to your motorcycle is clearly not negligible!</v>
      </c>
    </row>
    <row r="378" ht="15.75" customHeight="1">
      <c r="A378" s="2">
        <v>5.0</v>
      </c>
      <c r="B378" s="2" t="s">
        <v>1163</v>
      </c>
      <c r="C378" s="2" t="s">
        <v>1164</v>
      </c>
      <c r="D378" s="2" t="s">
        <v>91</v>
      </c>
      <c r="E378" s="2" t="s">
        <v>14</v>
      </c>
      <c r="F378" s="2" t="s">
        <v>15</v>
      </c>
      <c r="G378" s="2" t="s">
        <v>309</v>
      </c>
      <c r="H378" s="2" t="s">
        <v>309</v>
      </c>
      <c r="I378" s="2" t="str">
        <f>IFERROR(__xludf.DUMMYFUNCTION("GOOGLETRANSLATE(C378,""fr"",""en"")"),"Adhering since 2012, Cegema services increasing regularly. Very satisfied to have been contacted by Santiane.
Review and proposals of a new less onerereous contract and offering better services")</f>
        <v>Adhering since 2012, Cegema services increasing regularly. Very satisfied to have been contacted by Santiane.
Review and proposals of a new less onerereous contract and offering better services</v>
      </c>
    </row>
    <row r="379" ht="15.75" customHeight="1">
      <c r="A379" s="2">
        <v>1.0</v>
      </c>
      <c r="B379" s="2" t="s">
        <v>1165</v>
      </c>
      <c r="C379" s="2" t="s">
        <v>1166</v>
      </c>
      <c r="D379" s="2" t="s">
        <v>658</v>
      </c>
      <c r="E379" s="2" t="s">
        <v>922</v>
      </c>
      <c r="F379" s="2" t="s">
        <v>15</v>
      </c>
      <c r="G379" s="2" t="s">
        <v>1167</v>
      </c>
      <c r="H379" s="2" t="s">
        <v>282</v>
      </c>
      <c r="I379" s="2" t="str">
        <f>IFERROR(__xludf.DUMMYFUNCTION("GOOGLETRANSLATE(C379,""fr"",""en"")"),"Still not recovering the capital that is following my mother's death. Incompetent commercial advisor. Did not advise Generali with this salesperson. They paid me the funeral with my money and did not tell us that they were in partnership with the general "&amp;"funeral pumps. Today the salesperson does not even answer the message I send him lacks seriousness but to put the elderly to sleep to sign a contract that he knew how to do it")</f>
        <v>Still not recovering the capital that is following my mother's death. Incompetent commercial advisor. Did not advise Generali with this salesperson. They paid me the funeral with my money and did not tell us that they were in partnership with the general funeral pumps. Today the salesperson does not even answer the message I send him lacks seriousness but to put the elderly to sleep to sign a contract that he knew how to do it</v>
      </c>
    </row>
    <row r="380" ht="15.75" customHeight="1">
      <c r="A380" s="2">
        <v>5.0</v>
      </c>
      <c r="B380" s="2" t="s">
        <v>1168</v>
      </c>
      <c r="C380" s="2" t="s">
        <v>1169</v>
      </c>
      <c r="D380" s="2" t="s">
        <v>150</v>
      </c>
      <c r="E380" s="2" t="s">
        <v>122</v>
      </c>
      <c r="F380" s="2" t="s">
        <v>15</v>
      </c>
      <c r="G380" s="2" t="s">
        <v>1170</v>
      </c>
      <c r="H380" s="2" t="s">
        <v>134</v>
      </c>
      <c r="I380" s="2" t="str">
        <f>IFERROR(__xludf.DUMMYFUNCTION("GOOGLETRANSLATE(C380,""fr"",""en"")"),"2nd insurance of the 1 non -responsible accident that destroyed my motorcycle ... I come back to April. Effective and fast so I stay with them ... why go backsticks")</f>
        <v>2nd insurance of the 1 non -responsible accident that destroyed my motorcycle ... I come back to April. Effective and fast so I stay with them ... why go backsticks</v>
      </c>
    </row>
    <row r="381" ht="15.75" customHeight="1">
      <c r="A381" s="2">
        <v>5.0</v>
      </c>
      <c r="B381" s="2" t="s">
        <v>1171</v>
      </c>
      <c r="C381" s="2" t="s">
        <v>1172</v>
      </c>
      <c r="D381" s="2" t="s">
        <v>20</v>
      </c>
      <c r="E381" s="2" t="s">
        <v>21</v>
      </c>
      <c r="F381" s="2" t="s">
        <v>15</v>
      </c>
      <c r="G381" s="2" t="s">
        <v>1173</v>
      </c>
      <c r="H381" s="2" t="s">
        <v>47</v>
      </c>
      <c r="I381" s="2" t="str">
        <f>IFERROR(__xludf.DUMMYFUNCTION("GOOGLETRANSLATE(C381,""fr"",""en"")"),"Very simple for online membership and transmission of documents. Incomparable prices with good guarantees compared to other insurance")</f>
        <v>Very simple for online membership and transmission of documents. Incomparable prices with good guarantees compared to other insurance</v>
      </c>
    </row>
    <row r="382" ht="15.75" customHeight="1">
      <c r="A382" s="2">
        <v>4.0</v>
      </c>
      <c r="B382" s="2" t="s">
        <v>1174</v>
      </c>
      <c r="C382" s="2" t="s">
        <v>1175</v>
      </c>
      <c r="D382" s="2" t="s">
        <v>41</v>
      </c>
      <c r="E382" s="2" t="s">
        <v>21</v>
      </c>
      <c r="F382" s="2" t="s">
        <v>15</v>
      </c>
      <c r="G382" s="2" t="s">
        <v>1176</v>
      </c>
      <c r="H382" s="2" t="s">
        <v>74</v>
      </c>
      <c r="I382" s="2" t="str">
        <f>IFERROR(__xludf.DUMMYFUNCTION("GOOGLETRANSLATE(C382,""fr"",""en"")"),"I am too satisfied. I am very satisfied with the service. Very practical process and I hope to meet all my expectations. In the future, I want to change my payment method as a monthly. For the moment I have not had the recording. Thanks")</f>
        <v>I am too satisfied. I am very satisfied with the service. Very practical process and I hope to meet all my expectations. In the future, I want to change my payment method as a monthly. For the moment I have not had the recording. Thanks</v>
      </c>
    </row>
    <row r="383" ht="15.75" customHeight="1">
      <c r="A383" s="2">
        <v>2.0</v>
      </c>
      <c r="B383" s="2" t="s">
        <v>1177</v>
      </c>
      <c r="C383" s="2" t="s">
        <v>1178</v>
      </c>
      <c r="D383" s="2" t="s">
        <v>315</v>
      </c>
      <c r="E383" s="2" t="s">
        <v>14</v>
      </c>
      <c r="F383" s="2" t="s">
        <v>15</v>
      </c>
      <c r="G383" s="2" t="s">
        <v>1179</v>
      </c>
      <c r="H383" s="2" t="s">
        <v>292</v>
      </c>
      <c r="I383" s="2" t="str">
        <f>IFERROR(__xludf.DUMMYFUNCTION("GOOGLETRANSLATE(C383,""fr"",""en"")"),"For several months, it has been impossible to send an email or attachment from a Mac, Safari navigator. I am told that we work there and that soon it will be resolved ... in how many months?")</f>
        <v>For several months, it has been impossible to send an email or attachment from a Mac, Safari navigator. I am told that we work there and that soon it will be resolved ... in how many months?</v>
      </c>
    </row>
    <row r="384" ht="15.75" customHeight="1">
      <c r="A384" s="2">
        <v>4.0</v>
      </c>
      <c r="B384" s="2" t="s">
        <v>1180</v>
      </c>
      <c r="C384" s="2" t="s">
        <v>1181</v>
      </c>
      <c r="D384" s="2" t="s">
        <v>20</v>
      </c>
      <c r="E384" s="2" t="s">
        <v>21</v>
      </c>
      <c r="F384" s="2" t="s">
        <v>15</v>
      </c>
      <c r="G384" s="2" t="s">
        <v>105</v>
      </c>
      <c r="H384" s="2" t="s">
        <v>74</v>
      </c>
      <c r="I384" s="2" t="str">
        <f>IFERROR(__xludf.DUMMYFUNCTION("GOOGLETRANSLATE(C384,""fr"",""en"")"),"I was not satisfied with the first contact, when subscribing to the contracts, because many errors were made. Fortunately I recalled and I came across much more competent and professional operators. Thanks to them. Best regards. Mrs Le Moal")</f>
        <v>I was not satisfied with the first contact, when subscribing to the contracts, because many errors were made. Fortunately I recalled and I came across much more competent and professional operators. Thanks to them. Best regards. Mrs Le Moal</v>
      </c>
    </row>
    <row r="385" ht="15.75" customHeight="1">
      <c r="A385" s="2">
        <v>5.0</v>
      </c>
      <c r="B385" s="2" t="s">
        <v>1182</v>
      </c>
      <c r="C385" s="2" t="s">
        <v>1183</v>
      </c>
      <c r="D385" s="2" t="s">
        <v>41</v>
      </c>
      <c r="E385" s="2" t="s">
        <v>21</v>
      </c>
      <c r="F385" s="2" t="s">
        <v>15</v>
      </c>
      <c r="G385" s="2" t="s">
        <v>971</v>
      </c>
      <c r="H385" s="2" t="s">
        <v>74</v>
      </c>
      <c r="I385" s="2" t="str">
        <f>IFERROR(__xludf.DUMMYFUNCTION("GOOGLETRANSLATE(C385,""fr"",""en"")"),"Satisfied, interesting prices, simple searches despite some computer concerns. I would try to reach your services by phone to have the latest information I miss.")</f>
        <v>Satisfied, interesting prices, simple searches despite some computer concerns. I would try to reach your services by phone to have the latest information I miss.</v>
      </c>
    </row>
    <row r="386" ht="15.75" customHeight="1">
      <c r="A386" s="2">
        <v>4.0</v>
      </c>
      <c r="B386" s="2" t="s">
        <v>1184</v>
      </c>
      <c r="C386" s="2" t="s">
        <v>1185</v>
      </c>
      <c r="D386" s="2" t="s">
        <v>20</v>
      </c>
      <c r="E386" s="2" t="s">
        <v>21</v>
      </c>
      <c r="F386" s="2" t="s">
        <v>15</v>
      </c>
      <c r="G386" s="2" t="s">
        <v>963</v>
      </c>
      <c r="H386" s="2" t="s">
        <v>23</v>
      </c>
      <c r="I386" s="2" t="str">
        <f>IFERROR(__xludf.DUMMYFUNCTION("GOOGLETRANSLATE(C386,""fr"",""en"")"),"Applying a loan of steering wheel even in the event of an unions is very disappointing.")</f>
        <v>Applying a loan of steering wheel even in the event of an unions is very disappointing.</v>
      </c>
    </row>
    <row r="387" ht="15.75" customHeight="1">
      <c r="A387" s="2">
        <v>5.0</v>
      </c>
      <c r="B387" s="2" t="s">
        <v>1186</v>
      </c>
      <c r="C387" s="2" t="s">
        <v>1187</v>
      </c>
      <c r="D387" s="2" t="s">
        <v>150</v>
      </c>
      <c r="E387" s="2" t="s">
        <v>122</v>
      </c>
      <c r="F387" s="2" t="s">
        <v>15</v>
      </c>
      <c r="G387" s="2" t="s">
        <v>963</v>
      </c>
      <c r="H387" s="2" t="s">
        <v>23</v>
      </c>
      <c r="I387" s="2" t="str">
        <f>IFERROR(__xludf.DUMMYFUNCTION("GOOGLETRANSLATE(C387,""fr"",""en"")"),"I have a hitch on a can am am am am and super insurance very nice on the phone and above all we take the time to understand your problem.
In short, ensure your 2 or 3 or 4 wheels at home insurance at the top")</f>
        <v>I have a hitch on a can am am am am and super insurance very nice on the phone and above all we take the time to understand your problem.
In short, ensure your 2 or 3 or 4 wheels at home insurance at the top</v>
      </c>
    </row>
    <row r="388" ht="15.75" customHeight="1">
      <c r="A388" s="2">
        <v>1.0</v>
      </c>
      <c r="B388" s="2" t="s">
        <v>1188</v>
      </c>
      <c r="C388" s="2" t="s">
        <v>1189</v>
      </c>
      <c r="D388" s="2" t="s">
        <v>108</v>
      </c>
      <c r="E388" s="2" t="s">
        <v>21</v>
      </c>
      <c r="F388" s="2" t="s">
        <v>15</v>
      </c>
      <c r="G388" s="2" t="s">
        <v>1190</v>
      </c>
      <c r="H388" s="2" t="s">
        <v>660</v>
      </c>
      <c r="I388" s="2" t="str">
        <f>IFERROR(__xludf.DUMMYFUNCTION("GOOGLETRANSLATE(C388,""fr"",""en"")"),"In just two days of contract with them and problems that I have not had in several years with other insurance.
Contract terminated with loss of money but a great relief !!!
 ")</f>
        <v>In just two days of contract with them and problems that I have not had in several years with other insurance.
Contract terminated with loss of money but a great relief !!!
 </v>
      </c>
    </row>
    <row r="389" ht="15.75" customHeight="1">
      <c r="A389" s="2">
        <v>1.0</v>
      </c>
      <c r="B389" s="2" t="s">
        <v>1191</v>
      </c>
      <c r="C389" s="2" t="s">
        <v>1192</v>
      </c>
      <c r="D389" s="2" t="s">
        <v>651</v>
      </c>
      <c r="E389" s="2" t="s">
        <v>14</v>
      </c>
      <c r="F389" s="2" t="s">
        <v>15</v>
      </c>
      <c r="G389" s="2" t="s">
        <v>1193</v>
      </c>
      <c r="H389" s="2" t="s">
        <v>660</v>
      </c>
      <c r="I389" s="2" t="str">
        <f>IFERROR(__xludf.DUMMYFUNCTION("GOOGLETRANSLATE(C389,""fr"",""en"")"),"I have been at Cegema since January 1 and social security still does not have the papers by which I have a mutual when I call Cegema everything is in good standing I think I will block the levy and look for another mutual")</f>
        <v>I have been at Cegema since January 1 and social security still does not have the papers by which I have a mutual when I call Cegema everything is in good standing I think I will block the levy and look for another mutual</v>
      </c>
    </row>
    <row r="390" ht="15.75" customHeight="1">
      <c r="A390" s="2">
        <v>3.0</v>
      </c>
      <c r="B390" s="2" t="s">
        <v>1194</v>
      </c>
      <c r="C390" s="2" t="s">
        <v>1195</v>
      </c>
      <c r="D390" s="2" t="s">
        <v>121</v>
      </c>
      <c r="E390" s="2" t="s">
        <v>122</v>
      </c>
      <c r="F390" s="2" t="s">
        <v>15</v>
      </c>
      <c r="G390" s="2" t="s">
        <v>619</v>
      </c>
      <c r="H390" s="2" t="s">
        <v>74</v>
      </c>
      <c r="I390" s="2" t="str">
        <f>IFERROR(__xludf.DUMMYFUNCTION("GOOGLETRANSLATE(C390,""fr"",""en"")"),"The prices suit me but I would have liked to be able to ensure the vehicle for the flight, which is not proposed. Nor for the fire elsewhere ............")</f>
        <v>The prices suit me but I would have liked to be able to ensure the vehicle for the flight, which is not proposed. Nor for the fire elsewhere ............</v>
      </c>
    </row>
    <row r="391" ht="15.75" customHeight="1">
      <c r="A391" s="2">
        <v>3.0</v>
      </c>
      <c r="B391" s="2" t="s">
        <v>1196</v>
      </c>
      <c r="C391" s="2" t="s">
        <v>1197</v>
      </c>
      <c r="D391" s="2" t="s">
        <v>41</v>
      </c>
      <c r="E391" s="2" t="s">
        <v>21</v>
      </c>
      <c r="F391" s="2" t="s">
        <v>15</v>
      </c>
      <c r="G391" s="2" t="s">
        <v>230</v>
      </c>
      <c r="H391" s="2" t="s">
        <v>231</v>
      </c>
      <c r="I391" s="2" t="str">
        <f>IFERROR(__xludf.DUMMYFUNCTION("GOOGLETRANSLATE(C391,""fr"",""en"")"),"Satisfied the price/guarantee established
With a view to provident registered insurance
Very practical for young drivers and affordable to highly recommend")</f>
        <v>Satisfied the price/guarantee established
With a view to provident registered insurance
Very practical for young drivers and affordable to highly recommend</v>
      </c>
    </row>
    <row r="392" ht="15.75" customHeight="1">
      <c r="A392" s="2">
        <v>4.0</v>
      </c>
      <c r="B392" s="2" t="s">
        <v>1198</v>
      </c>
      <c r="C392" s="2" t="s">
        <v>1199</v>
      </c>
      <c r="D392" s="2" t="s">
        <v>41</v>
      </c>
      <c r="E392" s="2" t="s">
        <v>21</v>
      </c>
      <c r="F392" s="2" t="s">
        <v>15</v>
      </c>
      <c r="G392" s="2" t="s">
        <v>523</v>
      </c>
      <c r="H392" s="2" t="s">
        <v>42</v>
      </c>
      <c r="I392" s="2" t="str">
        <f>IFERROR(__xludf.DUMMYFUNCTION("GOOGLETRANSLATE(C392,""fr"",""en"")"),"Hello I am satisfied with customer relations. Listening to advice for administrative orders. For different types of subscription.
Sincerely.")</f>
        <v>Hello I am satisfied with customer relations. Listening to advice for administrative orders. For different types of subscription.
Sincerely.</v>
      </c>
    </row>
    <row r="393" ht="15.75" customHeight="1">
      <c r="A393" s="2">
        <v>1.0</v>
      </c>
      <c r="B393" s="2" t="s">
        <v>1200</v>
      </c>
      <c r="C393" s="2" t="s">
        <v>1201</v>
      </c>
      <c r="D393" s="2" t="s">
        <v>164</v>
      </c>
      <c r="E393" s="2" t="s">
        <v>21</v>
      </c>
      <c r="F393" s="2" t="s">
        <v>15</v>
      </c>
      <c r="G393" s="2" t="s">
        <v>1202</v>
      </c>
      <c r="H393" s="2" t="s">
        <v>292</v>
      </c>
      <c r="I393" s="2" t="str">
        <f>IFERROR(__xludf.DUMMYFUNCTION("GOOGLETRANSLATE(C393,""fr"",""en"")"),"I had auto insurance terminated in March 2017, and they lost the termination letter, and therefore my short insurance still. I wanted to oppose, and the LCL (which sold me this insurance) told me that if I oppose it, I will be relieved as a bad payer! Esp"&amp;"ecially especially not!")</f>
        <v>I had auto insurance terminated in March 2017, and they lost the termination letter, and therefore my short insurance still. I wanted to oppose, and the LCL (which sold me this insurance) told me that if I oppose it, I will be relieved as a bad payer! Especially especially not!</v>
      </c>
    </row>
    <row r="394" ht="15.75" customHeight="1">
      <c r="A394" s="2">
        <v>3.0</v>
      </c>
      <c r="B394" s="2" t="s">
        <v>1203</v>
      </c>
      <c r="C394" s="2" t="s">
        <v>1204</v>
      </c>
      <c r="D394" s="2" t="s">
        <v>194</v>
      </c>
      <c r="E394" s="2" t="s">
        <v>195</v>
      </c>
      <c r="F394" s="2" t="s">
        <v>15</v>
      </c>
      <c r="G394" s="2" t="s">
        <v>689</v>
      </c>
      <c r="H394" s="2" t="s">
        <v>689</v>
      </c>
      <c r="I394" s="2" t="str">
        <f>IFERROR(__xludf.DUMMYFUNCTION("GOOGLETRANSLATE(C394,""fr"",""en"")"),"In ordinary illness since April 2017 I perceive the additional salary in an offbeat. And for two months it has been any big anything. And for the payment of premiums at the end of 2017, I still wait for a document that I return each time while waiting I o"&amp;"nly perceive compensation times May 2018 pending the medical committee. I let you imagine in which shit I am. I call the platform I send but the answers leave me pantoise. It is purely inadmissible.")</f>
        <v>In ordinary illness since April 2017 I perceive the additional salary in an offbeat. And for two months it has been any big anything. And for the payment of premiums at the end of 2017, I still wait for a document that I return each time while waiting I only perceive compensation times May 2018 pending the medical committee. I let you imagine in which shit I am. I call the platform I send but the answers leave me pantoise. It is purely inadmissible.</v>
      </c>
    </row>
    <row r="395" ht="15.75" customHeight="1">
      <c r="A395" s="2">
        <v>1.0</v>
      </c>
      <c r="B395" s="2" t="s">
        <v>1205</v>
      </c>
      <c r="C395" s="2" t="s">
        <v>1206</v>
      </c>
      <c r="D395" s="2" t="s">
        <v>41</v>
      </c>
      <c r="E395" s="2" t="s">
        <v>21</v>
      </c>
      <c r="F395" s="2" t="s">
        <v>15</v>
      </c>
      <c r="G395" s="2" t="s">
        <v>1207</v>
      </c>
      <c r="H395" s="2" t="s">
        <v>134</v>
      </c>
      <c r="I395" s="2" t="str">
        <f>IFERROR(__xludf.DUMMYFUNCTION("GOOGLETRANSLATE(C395,""fr"",""en"")"),"Customer and claims service lacks professionalism and seriousness in my files.
I expected at a better price from Direct Insurance and more reasonable prices.")</f>
        <v>Customer and claims service lacks professionalism and seriousness in my files.
I expected at a better price from Direct Insurance and more reasonable prices.</v>
      </c>
    </row>
    <row r="396" ht="15.75" customHeight="1">
      <c r="A396" s="2">
        <v>1.0</v>
      </c>
      <c r="B396" s="2" t="s">
        <v>1208</v>
      </c>
      <c r="C396" s="2" t="s">
        <v>1209</v>
      </c>
      <c r="D396" s="2" t="s">
        <v>13</v>
      </c>
      <c r="E396" s="2" t="s">
        <v>14</v>
      </c>
      <c r="F396" s="2" t="s">
        <v>15</v>
      </c>
      <c r="G396" s="2" t="s">
        <v>1210</v>
      </c>
      <c r="H396" s="2" t="s">
        <v>38</v>
      </c>
      <c r="I396" s="2" t="str">
        <f>IFERROR(__xludf.DUMMYFUNCTION("GOOGLETRANSLATE(C396,""fr"",""en"")"),"I also made a contract through Santiane, I just downloaded my paid third -party card it goes from 20/01/2021 to 19/02/2021 ?????? I cannot reach the phone number indicated to be explained to me, I am still waiting for a request for a quote requested I had"&amp;" to cancel a appointment with the dentist.
So yes, flee more I paid 20 euros in file and they are not able to send a correct mutual card.
For my next mutual insurance company I would therefore go near my home with a person in front of me.
1 year with t"&amp;"hem it will be long do not do this stupidity, beware you too much advertising, does not always presage good service behind.")</f>
        <v>I also made a contract through Santiane, I just downloaded my paid third -party card it goes from 20/01/2021 to 19/02/2021 ?????? I cannot reach the phone number indicated to be explained to me, I am still waiting for a request for a quote requested I had to cancel a appointment with the dentist.
So yes, flee more I paid 20 euros in file and they are not able to send a correct mutual card.
For my next mutual insurance company I would therefore go near my home with a person in front of me.
1 year with them it will be long do not do this stupidity, beware you too much advertising, does not always presage good service behind.</v>
      </c>
    </row>
    <row r="397" ht="15.75" customHeight="1">
      <c r="A397" s="2">
        <v>5.0</v>
      </c>
      <c r="B397" s="2" t="s">
        <v>1211</v>
      </c>
      <c r="C397" s="2" t="s">
        <v>1212</v>
      </c>
      <c r="D397" s="2" t="s">
        <v>41</v>
      </c>
      <c r="E397" s="2" t="s">
        <v>21</v>
      </c>
      <c r="F397" s="2" t="s">
        <v>15</v>
      </c>
      <c r="G397" s="2" t="s">
        <v>285</v>
      </c>
      <c r="H397" s="2" t="s">
        <v>23</v>
      </c>
      <c r="I397" s="2" t="str">
        <f>IFERROR(__xludf.DUMMYFUNCTION("GOOGLETRANSLATE(C397,""fr"",""en"")"),"Hello,
The telephone reception is perfect.
 Your advisor is very efficient and pleasant. Attractive rates.
I am satisfied at the moment.
Cordially
")</f>
        <v>Hello,
The telephone reception is perfect.
 Your advisor is very efficient and pleasant. Attractive rates.
I am satisfied at the moment.
Cordially
</v>
      </c>
    </row>
    <row r="398" ht="15.75" customHeight="1">
      <c r="A398" s="2">
        <v>1.0</v>
      </c>
      <c r="B398" s="2" t="s">
        <v>1213</v>
      </c>
      <c r="C398" s="2" t="s">
        <v>1214</v>
      </c>
      <c r="D398" s="2" t="s">
        <v>13</v>
      </c>
      <c r="E398" s="2" t="s">
        <v>14</v>
      </c>
      <c r="F398" s="2" t="s">
        <v>15</v>
      </c>
      <c r="G398" s="2" t="s">
        <v>281</v>
      </c>
      <c r="H398" s="2" t="s">
        <v>282</v>
      </c>
      <c r="I398" s="2" t="str">
        <f>IFERROR(__xludf.DUMMYFUNCTION("GOOGLETRANSLATE(C398,""fr"",""en"")"),"After telephone harassment (up to 7 calls in the same day), the agent's customer official told me that she was sending me the contract for accident provident as well as legal protection. After a very muscular conversation to tell her that I didn't want an"&amp;"ything she told me that I would receive the contracts and that the sag would be the 5th of each month. There I answer her that she does not have my bank details and there to my surprise she gives me my Iban. I did not believe my ears. I reiterate him that"&amp;" I don't want anything. Than nenni. I receive the contracts. I call Neoliane customer service. Who tells me that it is the last day to retract, that I can do it by the website. She gives me the procedure to follow. She also tells me that everything would "&amp;"be arranging. I warn it having bank knowledge that the sake if it presents itself I request a refund with a revocation behind (as it is a 1st presentation ""First"") we can do nothing as long as it has not been Debity. She tells me not to worry, the contr"&amp;"act will be closed without problem at February 5. Today I go on my online bank and oh surprise a set of 69.50 ""funny name"". Weird, I call my bank and oh surprise by doing research it is Neoliane who takes. I am in angry")</f>
        <v>After telephone harassment (up to 7 calls in the same day), the agent's customer official told me that she was sending me the contract for accident provident as well as legal protection. After a very muscular conversation to tell her that I didn't want anything she told me that I would receive the contracts and that the sag would be the 5th of each month. There I answer her that she does not have my bank details and there to my surprise she gives me my Iban. I did not believe my ears. I reiterate him that I don't want anything. Than nenni. I receive the contracts. I call Neoliane customer service. Who tells me that it is the last day to retract, that I can do it by the website. She gives me the procedure to follow. She also tells me that everything would be arranging. I warn it having bank knowledge that the sake if it presents itself I request a refund with a revocation behind (as it is a 1st presentation "First") we can do nothing as long as it has not been Debity. She tells me not to worry, the contract will be closed without problem at February 5. Today I go on my online bank and oh surprise a set of 69.50 "funny name". Weird, I call my bank and oh surprise by doing research it is Neoliane who takes. I am in angry</v>
      </c>
    </row>
    <row r="399" ht="15.75" customHeight="1">
      <c r="A399" s="2">
        <v>3.0</v>
      </c>
      <c r="B399" s="2" t="s">
        <v>1215</v>
      </c>
      <c r="C399" s="2" t="s">
        <v>1216</v>
      </c>
      <c r="D399" s="2" t="s">
        <v>41</v>
      </c>
      <c r="E399" s="2" t="s">
        <v>21</v>
      </c>
      <c r="F399" s="2" t="s">
        <v>15</v>
      </c>
      <c r="G399" s="2" t="s">
        <v>341</v>
      </c>
      <c r="H399" s="2" t="s">
        <v>51</v>
      </c>
      <c r="I399" s="2" t="str">
        <f>IFERROR(__xludf.DUMMYFUNCTION("GOOGLETRANSLATE(C399,""fr"",""en"")"),"I am satisfied with the price and the price is suitable for my expectations. My partner being going to you recently, it consoled me to call on you for my car.")</f>
        <v>I am satisfied with the price and the price is suitable for my expectations. My partner being going to you recently, it consoled me to call on you for my car.</v>
      </c>
    </row>
    <row r="400" ht="15.75" customHeight="1">
      <c r="A400" s="2">
        <v>4.0</v>
      </c>
      <c r="B400" s="2" t="s">
        <v>1217</v>
      </c>
      <c r="C400" s="2" t="s">
        <v>1218</v>
      </c>
      <c r="D400" s="2" t="s">
        <v>72</v>
      </c>
      <c r="E400" s="2" t="s">
        <v>21</v>
      </c>
      <c r="F400" s="2" t="s">
        <v>15</v>
      </c>
      <c r="G400" s="2" t="s">
        <v>1219</v>
      </c>
      <c r="H400" s="2" t="s">
        <v>51</v>
      </c>
      <c r="I400" s="2" t="str">
        <f>IFERROR(__xludf.DUMMYFUNCTION("GOOGLETRANSLATE(C400,""fr"",""en"")"),"Fallen down clutch and engine breaking on a 4 -track entry ramp, telephoned the GMF which asked me to call 112 for gendarmerie and specific convenience store on this type of track.
In Tervention Quickly About 20 minutes between GMF contact and troublesho"&amp;"oting")</f>
        <v>Fallen down clutch and engine breaking on a 4 -track entry ramp, telephoned the GMF which asked me to call 112 for gendarmerie and specific convenience store on this type of track.
In Tervention Quickly About 20 minutes between GMF contact and troubleshooting</v>
      </c>
    </row>
    <row r="401" ht="15.75" customHeight="1">
      <c r="A401" s="2">
        <v>5.0</v>
      </c>
      <c r="B401" s="2" t="s">
        <v>1220</v>
      </c>
      <c r="C401" s="2" t="s">
        <v>1221</v>
      </c>
      <c r="D401" s="2" t="s">
        <v>41</v>
      </c>
      <c r="E401" s="2" t="s">
        <v>21</v>
      </c>
      <c r="F401" s="2" t="s">
        <v>15</v>
      </c>
      <c r="G401" s="2" t="s">
        <v>444</v>
      </c>
      <c r="H401" s="2" t="s">
        <v>51</v>
      </c>
      <c r="I401" s="2" t="str">
        <f>IFERROR(__xludf.DUMMYFUNCTION("GOOGLETRANSLATE(C401,""fr"",""en"")"),"I am satisfied with the service I am satisfied with the service I am satisfied with the service I am satisfied with the service I am satisfied with the service I am satisfied with the service I am satisfied with the service")</f>
        <v>I am satisfied with the service I am satisfied with the service I am satisfied with the service I am satisfied with the service I am satisfied with the service I am satisfied with the service I am satisfied with the service</v>
      </c>
    </row>
    <row r="402" ht="15.75" customHeight="1">
      <c r="A402" s="2">
        <v>1.0</v>
      </c>
      <c r="B402" s="2" t="s">
        <v>1222</v>
      </c>
      <c r="C402" s="2" t="s">
        <v>1223</v>
      </c>
      <c r="D402" s="2" t="s">
        <v>26</v>
      </c>
      <c r="E402" s="2" t="s">
        <v>14</v>
      </c>
      <c r="F402" s="2" t="s">
        <v>15</v>
      </c>
      <c r="G402" s="2" t="s">
        <v>1224</v>
      </c>
      <c r="H402" s="2" t="s">
        <v>660</v>
      </c>
      <c r="I402" s="2" t="str">
        <f>IFERROR(__xludf.DUMMYFUNCTION("GOOGLETRANSLATE(C402,""fr"",""en"")"),"Insurance to flee, I was terminated my contract on December 31, 2020, and at the same time I received my mutual card for 2021. But in January no sampling, I send an email and there surprised me that I have been struck off since 12/31/2020.
No warning, an"&amp;"d I have no more additional health coverage phew, I did not need care ... But when I look to find a serious mutual there is not unfortunately, each time mediocre opinion , the worst is that we have no choice !!!!!!")</f>
        <v>Insurance to flee, I was terminated my contract on December 31, 2020, and at the same time I received my mutual card for 2021. But in January no sampling, I send an email and there surprised me that I have been struck off since 12/31/2020.
No warning, and I have no more additional health coverage phew, I did not need care ... But when I look to find a serious mutual there is not unfortunately, each time mediocre opinion , the worst is that we have no choice !!!!!!</v>
      </c>
    </row>
    <row r="403" ht="15.75" customHeight="1">
      <c r="A403" s="2">
        <v>1.0</v>
      </c>
      <c r="B403" s="2" t="s">
        <v>1225</v>
      </c>
      <c r="C403" s="2" t="s">
        <v>1226</v>
      </c>
      <c r="D403" s="2" t="s">
        <v>31</v>
      </c>
      <c r="E403" s="2" t="s">
        <v>21</v>
      </c>
      <c r="F403" s="2" t="s">
        <v>15</v>
      </c>
      <c r="G403" s="2" t="s">
        <v>223</v>
      </c>
      <c r="H403" s="2" t="s">
        <v>74</v>
      </c>
      <c r="I403" s="2" t="str">
        <f>IFERROR(__xludf.DUMMYFUNCTION("GOOGLETRANSLATE(C403,""fr"",""en"")"),"They make you a great price to recover you, then a month later he contacts you by saying that they are sorry but an error was made by the agency manager and that they have to increase my subscription by almost 300 €.
Incompetent people, impossible to joi"&amp;"n, different speeches at each advisers.
And I imagine during a disaster….
To emergency.")</f>
        <v>They make you a great price to recover you, then a month later he contacts you by saying that they are sorry but an error was made by the agency manager and that they have to increase my subscription by almost 300 €.
Incompetent people, impossible to join, different speeches at each advisers.
And I imagine during a disaster….
To emergency.</v>
      </c>
    </row>
    <row r="404" ht="15.75" customHeight="1">
      <c r="A404" s="2">
        <v>5.0</v>
      </c>
      <c r="B404" s="2" t="s">
        <v>1227</v>
      </c>
      <c r="C404" s="2" t="s">
        <v>1228</v>
      </c>
      <c r="D404" s="2" t="s">
        <v>41</v>
      </c>
      <c r="E404" s="2" t="s">
        <v>21</v>
      </c>
      <c r="F404" s="2" t="s">
        <v>15</v>
      </c>
      <c r="G404" s="2" t="s">
        <v>1027</v>
      </c>
      <c r="H404" s="2" t="s">
        <v>74</v>
      </c>
      <c r="I404" s="2" t="str">
        <f>IFERROR(__xludf.DUMMYFUNCTION("GOOGLETRANSLATE(C404,""fr"",""en"")"),"Quote establishes in no time, termination made by direct insurance, fast efficient nothing to complain about. I advise direct insurance.
Cordially.")</f>
        <v>Quote establishes in no time, termination made by direct insurance, fast efficient nothing to complain about. I advise direct insurance.
Cordially.</v>
      </c>
    </row>
    <row r="405" ht="15.75" customHeight="1">
      <c r="A405" s="2">
        <v>5.0</v>
      </c>
      <c r="B405" s="2" t="s">
        <v>1229</v>
      </c>
      <c r="C405" s="2" t="s">
        <v>1230</v>
      </c>
      <c r="D405" s="2" t="s">
        <v>41</v>
      </c>
      <c r="E405" s="2" t="s">
        <v>21</v>
      </c>
      <c r="F405" s="2" t="s">
        <v>15</v>
      </c>
      <c r="G405" s="2" t="s">
        <v>244</v>
      </c>
      <c r="H405" s="2" t="s">
        <v>23</v>
      </c>
      <c r="I405" s="2" t="str">
        <f>IFERROR(__xludf.DUMMYFUNCTION("GOOGLETRANSLATE(C405,""fr"",""en"")"),"I am very satisfied with this insurance.
Customer service is effective and the application is easy to use.
Insurance to recommend.
Cordially")</f>
        <v>I am very satisfied with this insurance.
Customer service is effective and the application is easy to use.
Insurance to recommend.
Cordially</v>
      </c>
    </row>
    <row r="406" ht="15.75" customHeight="1">
      <c r="A406" s="2">
        <v>4.0</v>
      </c>
      <c r="B406" s="2" t="s">
        <v>1231</v>
      </c>
      <c r="C406" s="2" t="s">
        <v>1232</v>
      </c>
      <c r="D406" s="2" t="s">
        <v>20</v>
      </c>
      <c r="E406" s="2" t="s">
        <v>21</v>
      </c>
      <c r="F406" s="2" t="s">
        <v>15</v>
      </c>
      <c r="G406" s="2" t="s">
        <v>1233</v>
      </c>
      <c r="H406" s="2" t="s">
        <v>134</v>
      </c>
      <c r="I406" s="2" t="str">
        <f>IFERROR(__xludf.DUMMYFUNCTION("GOOGLETRANSLATE(C406,""fr"",""en"")"),"I am very satisfied with the service. Prices suit me. Very simple and very practical. I will plan to speak to my close knowledge.
Thanks")</f>
        <v>I am very satisfied with the service. Prices suit me. Very simple and very practical. I will plan to speak to my close knowledge.
Thanks</v>
      </c>
    </row>
    <row r="407" ht="15.75" customHeight="1">
      <c r="A407" s="2">
        <v>2.0</v>
      </c>
      <c r="B407" s="2" t="s">
        <v>1234</v>
      </c>
      <c r="C407" s="2" t="s">
        <v>1235</v>
      </c>
      <c r="D407" s="2" t="s">
        <v>121</v>
      </c>
      <c r="E407" s="2" t="s">
        <v>122</v>
      </c>
      <c r="F407" s="2" t="s">
        <v>15</v>
      </c>
      <c r="G407" s="2" t="s">
        <v>1236</v>
      </c>
      <c r="H407" s="2" t="s">
        <v>726</v>
      </c>
      <c r="I407" s="2" t="str">
        <f>IFERROR(__xludf.DUMMYFUNCTION("GOOGLETRANSLATE(C407,""fr"",""en"")"),"M6A26996/Sisah
AMV customer since 2013, two insured motorcycles, zero claims.
I went on vacation for a period of a few months, on my return, forced garage and more vehicle.
I file a complaint AMV, sending their documents, at this time I am confiden"&amp;"t because I see that knew quickly. Then I see that his becoming a mail sending game, he sends me mail and obviously I answer them by sending them all the requested documents. The file at the end is complete no more documents to ask, now it's been 3 months"&amp;" since I expect, that I call, that I send registered and emails. And I have no answer !!")</f>
        <v>M6A26996/Sisah
AMV customer since 2013, two insured motorcycles, zero claims.
I went on vacation for a period of a few months, on my return, forced garage and more vehicle.
I file a complaint AMV, sending their documents, at this time I am confident because I see that knew quickly. Then I see that his becoming a mail sending game, he sends me mail and obviously I answer them by sending them all the requested documents. The file at the end is complete no more documents to ask, now it's been 3 months since I expect, that I call, that I send registered and emails. And I have no answer !!</v>
      </c>
    </row>
    <row r="408" ht="15.75" customHeight="1">
      <c r="A408" s="2">
        <v>1.0</v>
      </c>
      <c r="B408" s="2" t="s">
        <v>1237</v>
      </c>
      <c r="C408" s="2" t="s">
        <v>1238</v>
      </c>
      <c r="D408" s="2" t="s">
        <v>26</v>
      </c>
      <c r="E408" s="2" t="s">
        <v>14</v>
      </c>
      <c r="F408" s="2" t="s">
        <v>15</v>
      </c>
      <c r="G408" s="2" t="s">
        <v>1239</v>
      </c>
      <c r="H408" s="2" t="s">
        <v>660</v>
      </c>
      <c r="I408" s="2" t="str">
        <f>IFERROR(__xludf.DUMMYFUNCTION("GOOGLETRANSLATE(C408,""fr"",""en"")"),"BAD!
I had been told that I will benefit from a contract repaying the ostheo, it is not ... 90 € at my expense. No more commercial gesture when the change of mutual has done badly.
To avoid")</f>
        <v>BAD!
I had been told that I will benefit from a contract repaying the ostheo, it is not ... 90 € at my expense. No more commercial gesture when the change of mutual has done badly.
To avoid</v>
      </c>
    </row>
    <row r="409" ht="15.75" customHeight="1">
      <c r="A409" s="2">
        <v>1.0</v>
      </c>
      <c r="B409" s="2" t="s">
        <v>1240</v>
      </c>
      <c r="C409" s="2" t="s">
        <v>1241</v>
      </c>
      <c r="D409" s="2" t="s">
        <v>41</v>
      </c>
      <c r="E409" s="2" t="s">
        <v>21</v>
      </c>
      <c r="F409" s="2" t="s">
        <v>15</v>
      </c>
      <c r="G409" s="2" t="s">
        <v>1242</v>
      </c>
      <c r="H409" s="2" t="s">
        <v>55</v>
      </c>
      <c r="I409" s="2" t="str">
        <f>IFERROR(__xludf.DUMMYFUNCTION("GOOGLETRANSLATE(C409,""fr"",""en"")"),"Customer at home since 2013, having two auto contracts and a habitat, I have been terminated the contract because I had two consecutive claims in September and November 2020, I was passed on the following contract, I am given a false promise and I find bl"&amp;"ocked.
Today, I talk about my situation everywhere and I have taken the steps to terminate all of my contracts with you.
")</f>
        <v>Customer at home since 2013, having two auto contracts and a habitat, I have been terminated the contract because I had two consecutive claims in September and November 2020, I was passed on the following contract, I am given a false promise and I find blocked.
Today, I talk about my situation everywhere and I have taken the steps to terminate all of my contracts with you.
</v>
      </c>
    </row>
    <row r="410" ht="15.75" customHeight="1">
      <c r="A410" s="2">
        <v>3.0</v>
      </c>
      <c r="B410" s="2" t="s">
        <v>1243</v>
      </c>
      <c r="C410" s="2" t="s">
        <v>1244</v>
      </c>
      <c r="D410" s="2" t="s">
        <v>41</v>
      </c>
      <c r="E410" s="2" t="s">
        <v>21</v>
      </c>
      <c r="F410" s="2" t="s">
        <v>15</v>
      </c>
      <c r="G410" s="2" t="s">
        <v>441</v>
      </c>
      <c r="H410" s="2" t="s">
        <v>42</v>
      </c>
      <c r="I410" s="2" t="str">
        <f>IFERROR(__xludf.DUMMYFUNCTION("GOOGLETRANSLATE(C410,""fr"",""en"")"),"I am satisfied but! Yes but because I tried to make a quote for replacing my current vehicle with a Tesla electric vehicle and there is on your site or by phone I am told that it is not possible.
You are at the forefront in terms of insurance and you do "&amp;"not even provide this type of vehicle.
")</f>
        <v>I am satisfied but! Yes but because I tried to make a quote for replacing my current vehicle with a Tesla electric vehicle and there is on your site or by phone I am told that it is not possible.
You are at the forefront in terms of insurance and you do not even provide this type of vehicle.
</v>
      </c>
    </row>
    <row r="411" ht="15.75" customHeight="1">
      <c r="A411" s="2">
        <v>4.0</v>
      </c>
      <c r="B411" s="2" t="s">
        <v>1245</v>
      </c>
      <c r="C411" s="2" t="s">
        <v>1246</v>
      </c>
      <c r="D411" s="2" t="s">
        <v>20</v>
      </c>
      <c r="E411" s="2" t="s">
        <v>21</v>
      </c>
      <c r="F411" s="2" t="s">
        <v>15</v>
      </c>
      <c r="G411" s="2" t="s">
        <v>596</v>
      </c>
      <c r="H411" s="2" t="s">
        <v>74</v>
      </c>
      <c r="I411" s="2" t="str">
        <f>IFERROR(__xludf.DUMMYFUNCTION("GOOGLETRANSLATE(C411,""fr"",""en"")"),"Too bad there is no lower franchise proposal. We would have preferred to find a franchise at € 300 like many other insurers.")</f>
        <v>Too bad there is no lower franchise proposal. We would have preferred to find a franchise at € 300 like many other insurers.</v>
      </c>
    </row>
    <row r="412" ht="15.75" customHeight="1">
      <c r="A412" s="2">
        <v>2.0</v>
      </c>
      <c r="B412" s="2" t="s">
        <v>1247</v>
      </c>
      <c r="C412" s="2" t="s">
        <v>1248</v>
      </c>
      <c r="D412" s="2" t="s">
        <v>1249</v>
      </c>
      <c r="E412" s="2" t="s">
        <v>922</v>
      </c>
      <c r="F412" s="2" t="s">
        <v>15</v>
      </c>
      <c r="G412" s="2" t="s">
        <v>1250</v>
      </c>
      <c r="H412" s="2" t="s">
        <v>372</v>
      </c>
      <c r="I412" s="2" t="str">
        <f>IFERROR(__xludf.DUMMYFUNCTION("GOOGLETRANSLATE(C412,""fr"",""en"")"),"For 3 months I can no longer do any operation on my space, I have no more documents associated with my account, there are errors on the data. Despite all my requests and reminders, whether at GIE AFER or via my correspondent, I did not get any results. I "&amp;"think I will leave the ship before it flows because I no longer trust this company.")</f>
        <v>For 3 months I can no longer do any operation on my space, I have no more documents associated with my account, there are errors on the data. Despite all my requests and reminders, whether at GIE AFER or via my correspondent, I did not get any results. I think I will leave the ship before it flows because I no longer trust this company.</v>
      </c>
    </row>
    <row r="413" ht="15.75" customHeight="1">
      <c r="A413" s="2">
        <v>5.0</v>
      </c>
      <c r="B413" s="2" t="s">
        <v>1251</v>
      </c>
      <c r="C413" s="2" t="s">
        <v>1252</v>
      </c>
      <c r="D413" s="2" t="s">
        <v>20</v>
      </c>
      <c r="E413" s="2" t="s">
        <v>21</v>
      </c>
      <c r="F413" s="2" t="s">
        <v>15</v>
      </c>
      <c r="G413" s="2" t="s">
        <v>1253</v>
      </c>
      <c r="H413" s="2" t="s">
        <v>55</v>
      </c>
      <c r="I413" s="2" t="str">
        <f>IFERROR(__xludf.DUMMYFUNCTION("GOOGLETRANSLATE(C413,""fr"",""en"")"),"I am satisfied with your service and speed to answer us. The prices are suitable. The papers quickly happen as the provisional green card")</f>
        <v>I am satisfied with your service and speed to answer us. The prices are suitable. The papers quickly happen as the provisional green card</v>
      </c>
    </row>
    <row r="414" ht="15.75" customHeight="1">
      <c r="A414" s="2">
        <v>2.0</v>
      </c>
      <c r="B414" s="2" t="s">
        <v>1254</v>
      </c>
      <c r="C414" s="2" t="s">
        <v>1255</v>
      </c>
      <c r="D414" s="2" t="s">
        <v>20</v>
      </c>
      <c r="E414" s="2" t="s">
        <v>21</v>
      </c>
      <c r="F414" s="2" t="s">
        <v>15</v>
      </c>
      <c r="G414" s="2" t="s">
        <v>764</v>
      </c>
      <c r="H414" s="2" t="s">
        <v>416</v>
      </c>
      <c r="I414" s="2" t="str">
        <f>IFERROR(__xludf.DUMMYFUNCTION("GOOGLETRANSLATE(C414,""fr"",""en"")"),"To emerge urgently, more or less attractive prices very well reflects this insurance which is right there to collect but not at all with the listening of customers
After an accident no in wrong it is more than two months that I am fighting with them to o"&amp;"btain compensation
Rehearsal call
Very bad customer service")</f>
        <v>To emerge urgently, more or less attractive prices very well reflects this insurance which is right there to collect but not at all with the listening of customers
After an accident no in wrong it is more than two months that I am fighting with them to obtain compensation
Rehearsal call
Very bad customer service</v>
      </c>
    </row>
    <row r="415" ht="15.75" customHeight="1">
      <c r="A415" s="2">
        <v>5.0</v>
      </c>
      <c r="B415" s="2" t="s">
        <v>1256</v>
      </c>
      <c r="C415" s="2" t="s">
        <v>1257</v>
      </c>
      <c r="D415" s="2" t="s">
        <v>20</v>
      </c>
      <c r="E415" s="2" t="s">
        <v>21</v>
      </c>
      <c r="F415" s="2" t="s">
        <v>15</v>
      </c>
      <c r="G415" s="2" t="s">
        <v>945</v>
      </c>
      <c r="H415" s="2" t="s">
        <v>51</v>
      </c>
      <c r="I415" s="2" t="str">
        <f>IFERROR(__xludf.DUMMYFUNCTION("GOOGLETRANSLATE(C415,""fr"",""en"")"),"I am satisfied with the speed to take out a contract with very competitive prices. It is very easy to take out a contract and good responsiveness.")</f>
        <v>I am satisfied with the speed to take out a contract with very competitive prices. It is very easy to take out a contract and good responsiveness.</v>
      </c>
    </row>
    <row r="416" ht="15.75" customHeight="1">
      <c r="A416" s="2">
        <v>3.0</v>
      </c>
      <c r="B416" s="2" t="s">
        <v>1258</v>
      </c>
      <c r="C416" s="2" t="s">
        <v>1259</v>
      </c>
      <c r="D416" s="2" t="s">
        <v>150</v>
      </c>
      <c r="E416" s="2" t="s">
        <v>122</v>
      </c>
      <c r="F416" s="2" t="s">
        <v>15</v>
      </c>
      <c r="G416" s="2" t="s">
        <v>1260</v>
      </c>
      <c r="H416" s="2" t="s">
        <v>47</v>
      </c>
      <c r="I416" s="2" t="str">
        <f>IFERROR(__xludf.DUMMYFUNCTION("GOOGLETRANSLATE(C416,""fr"",""en"")"),"Nothing to point out for the moment because we have not yet received anything there is at your service we will see in use I expect a double of the contra at least by email and a SLTS schedule.")</f>
        <v>Nothing to point out for the moment because we have not yet received anything there is at your service we will see in use I expect a double of the contra at least by email and a SLTS schedule.</v>
      </c>
    </row>
    <row r="417" ht="15.75" customHeight="1">
      <c r="A417" s="2">
        <v>4.0</v>
      </c>
      <c r="B417" s="2" t="s">
        <v>1261</v>
      </c>
      <c r="C417" s="2" t="s">
        <v>1262</v>
      </c>
      <c r="D417" s="2" t="s">
        <v>172</v>
      </c>
      <c r="E417" s="2" t="s">
        <v>14</v>
      </c>
      <c r="F417" s="2" t="s">
        <v>15</v>
      </c>
      <c r="G417" s="2" t="s">
        <v>659</v>
      </c>
      <c r="H417" s="2" t="s">
        <v>660</v>
      </c>
      <c r="I417" s="2" t="str">
        <f>IFERROR(__xludf.DUMMYFUNCTION("GOOGLETRANSLATE(C417,""fr"",""en"")"),"Good mutual, for the moment nothing to report negative the reimbursement are made in time. Podology is not reimbursed for many.")</f>
        <v>Good mutual, for the moment nothing to report negative the reimbursement are made in time. Podology is not reimbursed for many.</v>
      </c>
    </row>
    <row r="418" ht="15.75" customHeight="1">
      <c r="A418" s="2">
        <v>1.0</v>
      </c>
      <c r="B418" s="2" t="s">
        <v>1263</v>
      </c>
      <c r="C418" s="2" t="s">
        <v>1264</v>
      </c>
      <c r="D418" s="2" t="s">
        <v>605</v>
      </c>
      <c r="E418" s="2" t="s">
        <v>14</v>
      </c>
      <c r="F418" s="2" t="s">
        <v>15</v>
      </c>
      <c r="G418" s="2" t="s">
        <v>675</v>
      </c>
      <c r="H418" s="2" t="s">
        <v>51</v>
      </c>
      <c r="I418" s="2" t="str">
        <f>IFERROR(__xludf.DUMMYFUNCTION("GOOGLETRANSLATE(C418,""fr"",""en"")"),"Shameful pitiful to not recommend the employer
And everyone.
My concubine still has nothing.
I want to vomit ..................
Short
")</f>
        <v>Shameful pitiful to not recommend the employer
And everyone.
My concubine still has nothing.
I want to vomit ..................
Short
</v>
      </c>
    </row>
    <row r="419" ht="15.75" customHeight="1">
      <c r="A419" s="2">
        <v>1.0</v>
      </c>
      <c r="B419" s="2" t="s">
        <v>1265</v>
      </c>
      <c r="C419" s="2" t="s">
        <v>1266</v>
      </c>
      <c r="D419" s="2" t="s">
        <v>1267</v>
      </c>
      <c r="E419" s="2" t="s">
        <v>104</v>
      </c>
      <c r="F419" s="2" t="s">
        <v>15</v>
      </c>
      <c r="G419" s="2" t="s">
        <v>1268</v>
      </c>
      <c r="H419" s="2" t="s">
        <v>726</v>
      </c>
      <c r="I419" s="2" t="str">
        <f>IFERROR(__xludf.DUMMYFUNCTION("GOOGLETRANSLATE(C419,""fr"",""en"")"),"In itt for 5 months, they wander me from mail and save time.
Customer service is useless and rather dams.
No compassion or empathy for sick people, I have cancer and would like things to stop better.
My agency sent them financial elements on 27/12 Rec "&amp;"AR, the call center informs me on 01/20 having received nothing, however it turns out that Sogécap is 3 weeks late in the treatment of letters ....
It has been 2 months since the disaster was declared an andvrien advanced.
Sogécap subsidiary of the SG d"&amp;"oes not seem to be at the service of its customers.
I will enter a mediator.
")</f>
        <v>In itt for 5 months, they wander me from mail and save time.
Customer service is useless and rather dams.
No compassion or empathy for sick people, I have cancer and would like things to stop better.
My agency sent them financial elements on 27/12 Rec AR, the call center informs me on 01/20 having received nothing, however it turns out that Sogécap is 3 weeks late in the treatment of letters ....
It has been 2 months since the disaster was declared an andvrien advanced.
Sogécap subsidiary of the SG does not seem to be at the service of its customers.
I will enter a mediator.
</v>
      </c>
    </row>
    <row r="420" ht="15.75" customHeight="1">
      <c r="A420" s="2">
        <v>1.0</v>
      </c>
      <c r="B420" s="2" t="s">
        <v>1269</v>
      </c>
      <c r="C420" s="2" t="s">
        <v>1270</v>
      </c>
      <c r="D420" s="2" t="s">
        <v>67</v>
      </c>
      <c r="E420" s="2" t="s">
        <v>58</v>
      </c>
      <c r="F420" s="2" t="s">
        <v>15</v>
      </c>
      <c r="G420" s="2" t="s">
        <v>1271</v>
      </c>
      <c r="H420" s="2" t="s">
        <v>166</v>
      </c>
      <c r="I420" s="2" t="str">
        <f>IFERROR(__xludf.DUMMYFUNCTION("GOOGLETRANSLATE(C420,""fr"",""en"")"),"Via agency Lannion Maaf covers and hides behind a false declaration of his insured because not present .. no confrontation .... Break of bezel by dog ​​in freedom that jumps on you and on your dog ... has already overturned a little same place 22420 The o"&amp;"ld market town hall
The maaf prefer the version of me p .f. , and as they would need physical traces")</f>
        <v>Via agency Lannion Maaf covers and hides behind a false declaration of his insured because not present .. no confrontation .... Break of bezel by dog ​​in freedom that jumps on you and on your dog ... has already overturned a little same place 22420 The old market town hall
The maaf prefer the version of me p .f. , and as they would need physical traces</v>
      </c>
    </row>
    <row r="421" ht="15.75" customHeight="1">
      <c r="A421" s="2">
        <v>2.0</v>
      </c>
      <c r="B421" s="2" t="s">
        <v>1272</v>
      </c>
      <c r="C421" s="2" t="s">
        <v>1273</v>
      </c>
      <c r="D421" s="2" t="s">
        <v>773</v>
      </c>
      <c r="E421" s="2" t="s">
        <v>58</v>
      </c>
      <c r="F421" s="2" t="s">
        <v>15</v>
      </c>
      <c r="G421" s="2" t="s">
        <v>1274</v>
      </c>
      <c r="H421" s="2" t="s">
        <v>346</v>
      </c>
      <c r="I421" s="2" t="str">
        <f>IFERROR(__xludf.DUMMYFUNCTION("GOOGLETRANSLATE(C421,""fr"",""en"")"),"Not very professional people who will leave the files dragged (when it is not a check ""under a pile of files"" to resume their terms, but it's another story ...). If you move and change the region you will certainly be taken at least 2 times, because if "&amp;"it is already not easy to be heard as particular know that even between the agencies they do not communicate! Despite what they can tell you, you always have to go behind. Frankly incompetent services and it is recurrent from one agency to another.")</f>
        <v>Not very professional people who will leave the files dragged (when it is not a check "under a pile of files" to resume their terms, but it's another story ...). If you move and change the region you will certainly be taken at least 2 times, because if it is already not easy to be heard as particular know that even between the agencies they do not communicate! Despite what they can tell you, you always have to go behind. Frankly incompetent services and it is recurrent from one agency to another.</v>
      </c>
    </row>
    <row r="422" ht="15.75" customHeight="1">
      <c r="A422" s="2">
        <v>1.0</v>
      </c>
      <c r="B422" s="2" t="s">
        <v>1275</v>
      </c>
      <c r="C422" s="2" t="s">
        <v>1276</v>
      </c>
      <c r="D422" s="2" t="s">
        <v>150</v>
      </c>
      <c r="E422" s="2" t="s">
        <v>122</v>
      </c>
      <c r="F422" s="2" t="s">
        <v>15</v>
      </c>
      <c r="G422" s="2" t="s">
        <v>1277</v>
      </c>
      <c r="H422" s="2" t="s">
        <v>227</v>
      </c>
      <c r="I422" s="2" t="str">
        <f>IFERROR(__xludf.DUMMYFUNCTION("GOOGLETRANSLATE(C422,""fr"",""en"")"),"Catastrophic insurance: unreachable and their site is broken. I receive emails asking me back the pieces that I have already sent several times.")</f>
        <v>Catastrophic insurance: unreachable and their site is broken. I receive emails asking me back the pieces that I have already sent several times.</v>
      </c>
    </row>
    <row r="423" ht="15.75" customHeight="1">
      <c r="A423" s="2">
        <v>2.0</v>
      </c>
      <c r="B423" s="2" t="s">
        <v>1278</v>
      </c>
      <c r="C423" s="2" t="s">
        <v>1279</v>
      </c>
      <c r="D423" s="2" t="s">
        <v>41</v>
      </c>
      <c r="E423" s="2" t="s">
        <v>21</v>
      </c>
      <c r="F423" s="2" t="s">
        <v>15</v>
      </c>
      <c r="G423" s="2" t="s">
        <v>1280</v>
      </c>
      <c r="H423" s="2" t="s">
        <v>231</v>
      </c>
      <c r="I423" s="2" t="str">
        <f>IFERROR(__xludf.DUMMYFUNCTION("GOOGLETRANSLATE(C423,""fr"",""en"")"),"Satisfied insurance to offer at a correct price and would suit me for my vehicle so I think I will change insurance and ensure my renault scenic")</f>
        <v>Satisfied insurance to offer at a correct price and would suit me for my vehicle so I think I will change insurance and ensure my renault scenic</v>
      </c>
    </row>
    <row r="424" ht="15.75" customHeight="1">
      <c r="A424" s="2">
        <v>5.0</v>
      </c>
      <c r="B424" s="2" t="s">
        <v>1281</v>
      </c>
      <c r="C424" s="2" t="s">
        <v>1282</v>
      </c>
      <c r="D424" s="2" t="s">
        <v>41</v>
      </c>
      <c r="E424" s="2" t="s">
        <v>21</v>
      </c>
      <c r="F424" s="2" t="s">
        <v>15</v>
      </c>
      <c r="G424" s="2" t="s">
        <v>770</v>
      </c>
      <c r="H424" s="2" t="s">
        <v>51</v>
      </c>
      <c r="I424" s="2" t="str">
        <f>IFERROR(__xludf.DUMMYFUNCTION("GOOGLETRANSLATE(C424,""fr"",""en"")"),"I am satisfied with the service and the quality of the prices. The subscription was made quickly and the subscription platform is simple and explicit so we understand the steps to take very well.")</f>
        <v>I am satisfied with the service and the quality of the prices. The subscription was made quickly and the subscription platform is simple and explicit so we understand the steps to take very well.</v>
      </c>
    </row>
    <row r="425" ht="15.75" customHeight="1">
      <c r="A425" s="2">
        <v>2.0</v>
      </c>
      <c r="B425" s="2" t="s">
        <v>1283</v>
      </c>
      <c r="C425" s="2" t="s">
        <v>1284</v>
      </c>
      <c r="D425" s="2" t="s">
        <v>72</v>
      </c>
      <c r="E425" s="2" t="s">
        <v>21</v>
      </c>
      <c r="F425" s="2" t="s">
        <v>15</v>
      </c>
      <c r="G425" s="2" t="s">
        <v>633</v>
      </c>
      <c r="H425" s="2" t="s">
        <v>23</v>
      </c>
      <c r="I425" s="2" t="str">
        <f>IFERROR(__xludf.DUMMYFUNCTION("GOOGLETRANSLATE(C425,""fr"",""en"")"),"Rather high price compared to guarantees. The equipment inside the van is not insured, I will review the contract to a competitor on date.")</f>
        <v>Rather high price compared to guarantees. The equipment inside the van is not insured, I will review the contract to a competitor on date.</v>
      </c>
    </row>
    <row r="426" ht="15.75" customHeight="1">
      <c r="A426" s="2">
        <v>3.0</v>
      </c>
      <c r="B426" s="2" t="s">
        <v>1285</v>
      </c>
      <c r="C426" s="2" t="s">
        <v>1286</v>
      </c>
      <c r="D426" s="2" t="s">
        <v>20</v>
      </c>
      <c r="E426" s="2" t="s">
        <v>21</v>
      </c>
      <c r="F426" s="2" t="s">
        <v>15</v>
      </c>
      <c r="G426" s="2" t="s">
        <v>1287</v>
      </c>
      <c r="H426" s="2" t="s">
        <v>23</v>
      </c>
      <c r="I426" s="2" t="str">
        <f>IFERROR(__xludf.DUMMYFUNCTION("GOOGLETRANSLATE(C426,""fr"",""en"")"),"Thank you I was very happy with the contact with your customer service. The welcome is still as warm. Keep going. I will gladly recommend your business")</f>
        <v>Thank you I was very happy with the contact with your customer service. The welcome is still as warm. Keep going. I will gladly recommend your business</v>
      </c>
    </row>
    <row r="427" ht="15.75" customHeight="1">
      <c r="A427" s="2">
        <v>5.0</v>
      </c>
      <c r="B427" s="2" t="s">
        <v>1288</v>
      </c>
      <c r="C427" s="2" t="s">
        <v>1289</v>
      </c>
      <c r="D427" s="2" t="s">
        <v>41</v>
      </c>
      <c r="E427" s="2" t="s">
        <v>21</v>
      </c>
      <c r="F427" s="2" t="s">
        <v>15</v>
      </c>
      <c r="G427" s="2" t="s">
        <v>543</v>
      </c>
      <c r="H427" s="2" t="s">
        <v>74</v>
      </c>
      <c r="I427" s="2" t="str">
        <f>IFERROR(__xludf.DUMMYFUNCTION("GOOGLETRANSLATE(C427,""fr"",""en"")"),"I left Direct Insurance last year, I made a mistake. I come back because there is no better ... Quality of services and prices more than satisfactory.")</f>
        <v>I left Direct Insurance last year, I made a mistake. I come back because there is no better ... Quality of services and prices more than satisfactory.</v>
      </c>
    </row>
    <row r="428" ht="15.75" customHeight="1">
      <c r="A428" s="2">
        <v>3.0</v>
      </c>
      <c r="B428" s="2" t="s">
        <v>1290</v>
      </c>
      <c r="C428" s="2" t="s">
        <v>1291</v>
      </c>
      <c r="D428" s="2" t="s">
        <v>20</v>
      </c>
      <c r="E428" s="2" t="s">
        <v>21</v>
      </c>
      <c r="F428" s="2" t="s">
        <v>15</v>
      </c>
      <c r="G428" s="2" t="s">
        <v>1292</v>
      </c>
      <c r="H428" s="2" t="s">
        <v>23</v>
      </c>
      <c r="I428" s="2" t="str">
        <f>IFERROR(__xludf.DUMMYFUNCTION("GOOGLETRANSLATE(C428,""fr"",""en"")"),"Satisfied with telephone care and given information, have in the event of a request if accident or other need (unwanted, of course)")</f>
        <v>Satisfied with telephone care and given information, have in the event of a request if accident or other need (unwanted, of course)</v>
      </c>
    </row>
    <row r="429" ht="15.75" customHeight="1">
      <c r="A429" s="2">
        <v>1.0</v>
      </c>
      <c r="B429" s="2" t="s">
        <v>1293</v>
      </c>
      <c r="C429" s="2" t="s">
        <v>1294</v>
      </c>
      <c r="D429" s="2" t="s">
        <v>298</v>
      </c>
      <c r="E429" s="2" t="s">
        <v>195</v>
      </c>
      <c r="F429" s="2" t="s">
        <v>15</v>
      </c>
      <c r="G429" s="2" t="s">
        <v>1295</v>
      </c>
      <c r="H429" s="2" t="s">
        <v>786</v>
      </c>
      <c r="I429" s="2" t="str">
        <f>IFERROR(__xludf.DUMMYFUNCTION("GOOGLETRANSLATE(C429,""fr"",""en"")"),"They are inhuman. A shame. These are profiteers who only know how to extract money. Even on a wicking contract closed by recommended with A.R. for several months. Even during the pandemic, they make prohibited samples. They are unscrupulous until the end."&amp;" It has a name ...")</f>
        <v>They are inhuman. A shame. These are profiteers who only know how to extract money. Even on a wicking contract closed by recommended with A.R. for several months. Even during the pandemic, they make prohibited samples. They are unscrupulous until the end. It has a name ...</v>
      </c>
    </row>
    <row r="430" ht="15.75" customHeight="1">
      <c r="A430" s="2">
        <v>1.0</v>
      </c>
      <c r="B430" s="2" t="s">
        <v>1296</v>
      </c>
      <c r="C430" s="2" t="s">
        <v>1297</v>
      </c>
      <c r="D430" s="2" t="s">
        <v>395</v>
      </c>
      <c r="E430" s="2" t="s">
        <v>122</v>
      </c>
      <c r="F430" s="2" t="s">
        <v>15</v>
      </c>
      <c r="G430" s="2" t="s">
        <v>741</v>
      </c>
      <c r="H430" s="2" t="s">
        <v>88</v>
      </c>
      <c r="I430" s="2" t="str">
        <f>IFERROR(__xludf.DUMMYFUNCTION("GOOGLETRANSLATE(C430,""fr"",""en"")"),"Victim of an accident in 2015 my lawyer is still waiting for Axa's authorization to pay me my DUS AXA has never contacted me since Feb 2016 and has omitted appointments for those who want more information to leave me a post
")</f>
        <v>Victim of an accident in 2015 my lawyer is still waiting for Axa's authorization to pay me my DUS AXA has never contacted me since Feb 2016 and has omitted appointments for those who want more information to leave me a post
</v>
      </c>
    </row>
    <row r="431" ht="15.75" customHeight="1">
      <c r="A431" s="2">
        <v>5.0</v>
      </c>
      <c r="B431" s="2" t="s">
        <v>1298</v>
      </c>
      <c r="C431" s="2" t="s">
        <v>1299</v>
      </c>
      <c r="D431" s="2" t="s">
        <v>20</v>
      </c>
      <c r="E431" s="2" t="s">
        <v>21</v>
      </c>
      <c r="F431" s="2" t="s">
        <v>15</v>
      </c>
      <c r="G431" s="2" t="s">
        <v>1292</v>
      </c>
      <c r="H431" s="2" t="s">
        <v>23</v>
      </c>
      <c r="I431" s="2" t="str">
        <f>IFERROR(__xludf.DUMMYFUNCTION("GOOGLETRANSLATE(C431,""fr"",""en"")"),"Perfect, fast and efficient, very professional smiling advisor and is looking for the best formula for his client take the time to explain all the information, thank you")</f>
        <v>Perfect, fast and efficient, very professional smiling advisor and is looking for the best formula for his client take the time to explain all the information, thank you</v>
      </c>
    </row>
    <row r="432" ht="15.75" customHeight="1">
      <c r="A432" s="2">
        <v>4.0</v>
      </c>
      <c r="B432" s="2" t="s">
        <v>1300</v>
      </c>
      <c r="C432" s="2" t="s">
        <v>1301</v>
      </c>
      <c r="D432" s="2" t="s">
        <v>72</v>
      </c>
      <c r="E432" s="2" t="s">
        <v>21</v>
      </c>
      <c r="F432" s="2" t="s">
        <v>15</v>
      </c>
      <c r="G432" s="2" t="s">
        <v>1302</v>
      </c>
      <c r="H432" s="2" t="s">
        <v>28</v>
      </c>
      <c r="I432" s="2" t="str">
        <f>IFERROR(__xludf.DUMMYFUNCTION("GOOGLETRANSLATE(C432,""fr"",""en"")"),"I am extremely satisfied with the quality of the services, may lack price reductions compared to seniority (25 years that I am there)")</f>
        <v>I am extremely satisfied with the quality of the services, may lack price reductions compared to seniority (25 years that I am there)</v>
      </c>
    </row>
    <row r="433" ht="15.75" customHeight="1">
      <c r="A433" s="2">
        <v>1.0</v>
      </c>
      <c r="B433" s="2" t="s">
        <v>1303</v>
      </c>
      <c r="C433" s="2" t="s">
        <v>1304</v>
      </c>
      <c r="D433" s="2" t="s">
        <v>31</v>
      </c>
      <c r="E433" s="2" t="s">
        <v>21</v>
      </c>
      <c r="F433" s="2" t="s">
        <v>15</v>
      </c>
      <c r="G433" s="2" t="s">
        <v>1305</v>
      </c>
      <c r="H433" s="2" t="s">
        <v>436</v>
      </c>
      <c r="I433" s="2" t="str">
        <f>IFERROR(__xludf.DUMMYFUNCTION("GOOGLETRANSLATE(C433,""fr"",""en"")"),"Run away! Insured for 4 years First accident responsible for my file has not advanced for a month. The advisor is unreachable. Catastrophic insurance. Yet I am in all risks")</f>
        <v>Run away! Insured for 4 years First accident responsible for my file has not advanced for a month. The advisor is unreachable. Catastrophic insurance. Yet I am in all risks</v>
      </c>
    </row>
    <row r="434" ht="15.75" customHeight="1">
      <c r="A434" s="2">
        <v>4.0</v>
      </c>
      <c r="B434" s="2" t="s">
        <v>1306</v>
      </c>
      <c r="C434" s="2" t="s">
        <v>1307</v>
      </c>
      <c r="D434" s="2" t="s">
        <v>172</v>
      </c>
      <c r="E434" s="2" t="s">
        <v>14</v>
      </c>
      <c r="F434" s="2" t="s">
        <v>15</v>
      </c>
      <c r="G434" s="2" t="s">
        <v>1308</v>
      </c>
      <c r="H434" s="2" t="s">
        <v>251</v>
      </c>
      <c r="I434" s="2" t="str">
        <f>IFERROR(__xludf.DUMMYFUNCTION("GOOGLETRANSLATE(C434,""fr"",""en"")"),"I have been a member since my first steps in the police, since 2001.
There may be better, less expensive but I never had any concern with the MGP why change it?")</f>
        <v>I have been a member since my first steps in the police, since 2001.
There may be better, less expensive but I never had any concern with the MGP why change it?</v>
      </c>
    </row>
    <row r="435" ht="15.75" customHeight="1">
      <c r="A435" s="2">
        <v>1.0</v>
      </c>
      <c r="B435" s="2" t="s">
        <v>1309</v>
      </c>
      <c r="C435" s="2" t="s">
        <v>1310</v>
      </c>
      <c r="D435" s="2" t="s">
        <v>41</v>
      </c>
      <c r="E435" s="2" t="s">
        <v>21</v>
      </c>
      <c r="F435" s="2" t="s">
        <v>15</v>
      </c>
      <c r="G435" s="2" t="s">
        <v>1311</v>
      </c>
      <c r="H435" s="2" t="s">
        <v>42</v>
      </c>
      <c r="I435" s="2" t="str">
        <f>IFERROR(__xludf.DUMMYFUNCTION("GOOGLETRANSLATE(C435,""fr"",""en"")"),"The price seems to me very high, especially as we have been a customer at home for several years. I will launch. A comparison and put an alert to terminate the contract if a equivalent guarantees I find less among your colleagues.")</f>
        <v>The price seems to me very high, especially as we have been a customer at home for several years. I will launch. A comparison and put an alert to terminate the contract if a equivalent guarantees I find less among your colleagues.</v>
      </c>
    </row>
    <row r="436" ht="15.75" customHeight="1">
      <c r="A436" s="2">
        <v>3.0</v>
      </c>
      <c r="B436" s="2" t="s">
        <v>1312</v>
      </c>
      <c r="C436" s="2" t="s">
        <v>1313</v>
      </c>
      <c r="D436" s="2" t="s">
        <v>41</v>
      </c>
      <c r="E436" s="2" t="s">
        <v>21</v>
      </c>
      <c r="F436" s="2" t="s">
        <v>15</v>
      </c>
      <c r="G436" s="2" t="s">
        <v>1314</v>
      </c>
      <c r="H436" s="2" t="s">
        <v>197</v>
      </c>
      <c r="I436" s="2" t="str">
        <f>IFERROR(__xludf.DUMMYFUNCTION("GOOGLETRANSLATE(C436,""fr"",""en"")"),"I was on the phone with a Youdrive Advisor and I gave all the info to fill out the file and I even paid the 2 1st months but I received no email confirming my subscription or even my contract number!
The advisor told me that he was going to remind me of "&amp;"2 hours later because he had a ""server"" problem and for 2 days, still nothing and that I try to call the number on which I called at the start ( Who is a number of Direct Asurance) I am told that this service has nothing to do with YouDrive and that the"&amp;"y can do nothing for me! And to the emails I sent there is no response from them.
And so I find myself without insurance when the money has already been withdrawn!")</f>
        <v>I was on the phone with a Youdrive Advisor and I gave all the info to fill out the file and I even paid the 2 1st months but I received no email confirming my subscription or even my contract number!
The advisor told me that he was going to remind me of 2 hours later because he had a "server" problem and for 2 days, still nothing and that I try to call the number on which I called at the start ( Who is a number of Direct Asurance) I am told that this service has nothing to do with YouDrive and that they can do nothing for me! And to the emails I sent there is no response from them.
And so I find myself without insurance when the money has already been withdrawn!</v>
      </c>
    </row>
    <row r="437" ht="15.75" customHeight="1">
      <c r="A437" s="2">
        <v>4.0</v>
      </c>
      <c r="B437" s="2" t="s">
        <v>1315</v>
      </c>
      <c r="C437" s="2" t="s">
        <v>1316</v>
      </c>
      <c r="D437" s="2" t="s">
        <v>20</v>
      </c>
      <c r="E437" s="2" t="s">
        <v>21</v>
      </c>
      <c r="F437" s="2" t="s">
        <v>15</v>
      </c>
      <c r="G437" s="2" t="s">
        <v>51</v>
      </c>
      <c r="H437" s="2" t="s">
        <v>51</v>
      </c>
      <c r="I437" s="2" t="str">
        <f>IFERROR(__xludf.DUMMYFUNCTION("GOOGLETRANSLATE(C437,""fr"",""en"")"),"I am satisfied with the service.
I had a question about the documents to be provided, especially for the secondary driver, and obtained a clear and fast answer via the telephone service.")</f>
        <v>I am satisfied with the service.
I had a question about the documents to be provided, especially for the secondary driver, and obtained a clear and fast answer via the telephone service.</v>
      </c>
    </row>
    <row r="438" ht="15.75" customHeight="1">
      <c r="A438" s="2">
        <v>4.0</v>
      </c>
      <c r="B438" s="2" t="s">
        <v>1317</v>
      </c>
      <c r="C438" s="2" t="s">
        <v>1318</v>
      </c>
      <c r="D438" s="2" t="s">
        <v>41</v>
      </c>
      <c r="E438" s="2" t="s">
        <v>21</v>
      </c>
      <c r="F438" s="2" t="s">
        <v>15</v>
      </c>
      <c r="G438" s="2" t="s">
        <v>537</v>
      </c>
      <c r="H438" s="2" t="s">
        <v>42</v>
      </c>
      <c r="I438" s="2" t="str">
        <f>IFERROR(__xludf.DUMMYFUNCTION("GOOGLETRANSLATE(C438,""fr"",""en"")"),"I had a certain price for my online quote,
But following my call (for something else: in fact because I am not french and I wanted to know if I would have a hoisto bonus malus), we add 100 euros to my main quote")</f>
        <v>I had a certain price for my online quote,
But following my call (for something else: in fact because I am not french and I wanted to know if I would have a hoisto bonus malus), we add 100 euros to my main quote</v>
      </c>
    </row>
    <row r="439" ht="15.75" customHeight="1">
      <c r="A439" s="2">
        <v>2.0</v>
      </c>
      <c r="B439" s="2" t="s">
        <v>1319</v>
      </c>
      <c r="C439" s="2" t="s">
        <v>1320</v>
      </c>
      <c r="D439" s="2" t="s">
        <v>678</v>
      </c>
      <c r="E439" s="2" t="s">
        <v>21</v>
      </c>
      <c r="F439" s="2" t="s">
        <v>15</v>
      </c>
      <c r="G439" s="2" t="s">
        <v>1321</v>
      </c>
      <c r="H439" s="2" t="s">
        <v>292</v>
      </c>
      <c r="I439" s="2" t="str">
        <f>IFERROR(__xludf.DUMMYFUNCTION("GOOGLETRANSLATE(C439,""fr"",""en"")"),"NOPE !!! Top c too much - ""do not leave we do the service concerned to you ..."" 10 minutes of waiting .... then ... ""do not leave we do the service concerned to you .... then"" a you have Something 2 years old ... ""In short the assurance that we hate "&amp;"in all its splendor ...")</f>
        <v>NOPE !!! Top c too much - "do not leave we do the service concerned to you ..." 10 minutes of waiting .... then ... "do not leave we do the service concerned to you .... then" a you have Something 2 years old ... "In short the assurance that we hate in all its splendor ...</v>
      </c>
    </row>
    <row r="440" ht="15.75" customHeight="1">
      <c r="A440" s="2">
        <v>5.0</v>
      </c>
      <c r="B440" s="2" t="s">
        <v>1322</v>
      </c>
      <c r="C440" s="2" t="s">
        <v>1323</v>
      </c>
      <c r="D440" s="2" t="s">
        <v>72</v>
      </c>
      <c r="E440" s="2" t="s">
        <v>21</v>
      </c>
      <c r="F440" s="2" t="s">
        <v>15</v>
      </c>
      <c r="G440" s="2" t="s">
        <v>363</v>
      </c>
      <c r="H440" s="2" t="s">
        <v>51</v>
      </c>
      <c r="I440" s="2" t="str">
        <f>IFERROR(__xludf.DUMMYFUNCTION("GOOGLETRANSLATE(C440,""fr"",""en"")"),"I am satisfied with your service. The prices are consistent with those practiced by market insurers. The reception of the telephone platform is effective and pleasant.")</f>
        <v>I am satisfied with your service. The prices are consistent with those practiced by market insurers. The reception of the telephone platform is effective and pleasant.</v>
      </c>
    </row>
    <row r="441" ht="15.75" customHeight="1">
      <c r="A441" s="2">
        <v>2.0</v>
      </c>
      <c r="B441" s="2" t="s">
        <v>1324</v>
      </c>
      <c r="C441" s="2" t="s">
        <v>1325</v>
      </c>
      <c r="D441" s="2" t="s">
        <v>395</v>
      </c>
      <c r="E441" s="2" t="s">
        <v>21</v>
      </c>
      <c r="F441" s="2" t="s">
        <v>15</v>
      </c>
      <c r="G441" s="2" t="s">
        <v>1326</v>
      </c>
      <c r="H441" s="2" t="s">
        <v>1130</v>
      </c>
      <c r="I441" s="2" t="str">
        <f>IFERROR(__xludf.DUMMYFUNCTION("GOOGLETRANSLATE(C441,""fr"",""en"")"),"very unhappy
1 increase of 30 euros on my car insurance, reason it must be reimbursed on accident that I had not responsible!
He openly says to me to have hidden information! So that I leave!
To be strongly advised")</f>
        <v>very unhappy
1 increase of 30 euros on my car insurance, reason it must be reimbursed on accident that I had not responsible!
He openly says to me to have hidden information! So that I leave!
To be strongly advised</v>
      </c>
    </row>
    <row r="442" ht="15.75" customHeight="1">
      <c r="A442" s="2">
        <v>4.0</v>
      </c>
      <c r="B442" s="2" t="s">
        <v>1327</v>
      </c>
      <c r="C442" s="2" t="s">
        <v>1328</v>
      </c>
      <c r="D442" s="2" t="s">
        <v>20</v>
      </c>
      <c r="E442" s="2" t="s">
        <v>21</v>
      </c>
      <c r="F442" s="2" t="s">
        <v>15</v>
      </c>
      <c r="G442" s="2" t="s">
        <v>1329</v>
      </c>
      <c r="H442" s="2" t="s">
        <v>74</v>
      </c>
      <c r="I442" s="2" t="str">
        <f>IFERROR(__xludf.DUMMYFUNCTION("GOOGLETRANSLATE(C442,""fr"",""en"")"),"The price is satisfactory compared to my old insurance where I paid 1,200 euros for more or less the same services. The sales department is very pleasant.")</f>
        <v>The price is satisfactory compared to my old insurance where I paid 1,200 euros for more or less the same services. The sales department is very pleasant.</v>
      </c>
    </row>
    <row r="443" ht="15.75" customHeight="1">
      <c r="A443" s="2">
        <v>5.0</v>
      </c>
      <c r="B443" s="2" t="s">
        <v>1330</v>
      </c>
      <c r="C443" s="2" t="s">
        <v>1331</v>
      </c>
      <c r="D443" s="2" t="s">
        <v>41</v>
      </c>
      <c r="E443" s="2" t="s">
        <v>21</v>
      </c>
      <c r="F443" s="2" t="s">
        <v>15</v>
      </c>
      <c r="G443" s="2" t="s">
        <v>285</v>
      </c>
      <c r="H443" s="2" t="s">
        <v>23</v>
      </c>
      <c r="I443" s="2" t="str">
        <f>IFERROR(__xludf.DUMMYFUNCTION("GOOGLETRANSLATE(C443,""fr"",""en"")"),"Attractive price, ease of subscription, clear and precise explanations on each services. Termination of the former insurer carried out directly by direct insurance no hassle on this side the")</f>
        <v>Attractive price, ease of subscription, clear and precise explanations on each services. Termination of the former insurer carried out directly by direct insurance no hassle on this side the</v>
      </c>
    </row>
    <row r="444" ht="15.75" customHeight="1">
      <c r="A444" s="2">
        <v>5.0</v>
      </c>
      <c r="B444" s="2" t="s">
        <v>1332</v>
      </c>
      <c r="C444" s="2" t="s">
        <v>1333</v>
      </c>
      <c r="D444" s="2" t="s">
        <v>20</v>
      </c>
      <c r="E444" s="2" t="s">
        <v>21</v>
      </c>
      <c r="F444" s="2" t="s">
        <v>15</v>
      </c>
      <c r="G444" s="2" t="s">
        <v>1334</v>
      </c>
      <c r="H444" s="2" t="s">
        <v>28</v>
      </c>
      <c r="I444" s="2" t="str">
        <f>IFERROR(__xludf.DUMMYFUNCTION("GOOGLETRANSLATE(C444,""fr"",""en"")"),"I am satisfied with the service, membership is very easily done.
The prices are very low see the cheapest on the market. I highly recommend this insurance.")</f>
        <v>I am satisfied with the service, membership is very easily done.
The prices are very low see the cheapest on the market. I highly recommend this insurance.</v>
      </c>
    </row>
    <row r="445" ht="15.75" customHeight="1">
      <c r="A445" s="2">
        <v>3.0</v>
      </c>
      <c r="B445" s="2" t="s">
        <v>1335</v>
      </c>
      <c r="C445" s="2" t="s">
        <v>1336</v>
      </c>
      <c r="D445" s="2" t="s">
        <v>164</v>
      </c>
      <c r="E445" s="2" t="s">
        <v>21</v>
      </c>
      <c r="F445" s="2" t="s">
        <v>15</v>
      </c>
      <c r="G445" s="2" t="s">
        <v>1337</v>
      </c>
      <c r="H445" s="2" t="s">
        <v>23</v>
      </c>
      <c r="I445" s="2" t="str">
        <f>IFERROR(__xludf.DUMMYFUNCTION("GOOGLETRANSLATE(C445,""fr"",""en"")")," I was the victim of a little gap with my car.
I made an observation with the Thiers person who was involved in this accident.
Then as I had a doubt I went to my bank ask for advice.
This permit to notify by phone my insurer advents sent the report.
 "&amp;"The insurer offers an approved garage not too far from my house.
The garage in question MI provision a vehicle during repair")</f>
        <v> I was the victim of a little gap with my car.
I made an observation with the Thiers person who was involved in this accident.
Then as I had a doubt I went to my bank ask for advice.
This permit to notify by phone my insurer advents sent the report.
 The insurer offers an approved garage not too far from my house.
The garage in question MI provision a vehicle during repair</v>
      </c>
    </row>
    <row r="446" ht="15.75" customHeight="1">
      <c r="A446" s="2">
        <v>4.0</v>
      </c>
      <c r="B446" s="2" t="s">
        <v>1338</v>
      </c>
      <c r="C446" s="2" t="s">
        <v>1339</v>
      </c>
      <c r="D446" s="2" t="s">
        <v>150</v>
      </c>
      <c r="E446" s="2" t="s">
        <v>122</v>
      </c>
      <c r="F446" s="2" t="s">
        <v>15</v>
      </c>
      <c r="G446" s="2" t="s">
        <v>27</v>
      </c>
      <c r="H446" s="2" t="s">
        <v>28</v>
      </c>
      <c r="I446" s="2" t="str">
        <f>IFERROR(__xludf.DUMMYFUNCTION("GOOGLETRANSLATE(C446,""fr"",""en"")"),"I am satisfied with the service
Correct price, all information is present and not difficult to understand
I will recommend in the future
 !!!!!!!!!!!")</f>
        <v>I am satisfied with the service
Correct price, all information is present and not difficult to understand
I will recommend in the future
 !!!!!!!!!!!</v>
      </c>
    </row>
    <row r="447" ht="15.75" customHeight="1">
      <c r="A447" s="2">
        <v>1.0</v>
      </c>
      <c r="B447" s="2" t="s">
        <v>1340</v>
      </c>
      <c r="C447" s="2" t="s">
        <v>1341</v>
      </c>
      <c r="D447" s="2" t="s">
        <v>212</v>
      </c>
      <c r="E447" s="2" t="s">
        <v>21</v>
      </c>
      <c r="F447" s="2" t="s">
        <v>15</v>
      </c>
      <c r="G447" s="2" t="s">
        <v>285</v>
      </c>
      <c r="H447" s="2" t="s">
        <v>23</v>
      </c>
      <c r="I447" s="2" t="str">
        <f>IFERROR(__xludf.DUMMYFUNCTION("GOOGLETRANSLATE(C447,""fr"",""en"")"),"It is a company that does not take into account the needs of its customers regarding telephone customer service it is very complicated to reach them and skills skills for many of them are mediocre.")</f>
        <v>It is a company that does not take into account the needs of its customers regarding telephone customer service it is very complicated to reach them and skills skills for many of them are mediocre.</v>
      </c>
    </row>
    <row r="448" ht="15.75" customHeight="1">
      <c r="A448" s="2">
        <v>3.0</v>
      </c>
      <c r="B448" s="2" t="s">
        <v>1342</v>
      </c>
      <c r="C448" s="2" t="s">
        <v>1343</v>
      </c>
      <c r="D448" s="2" t="s">
        <v>41</v>
      </c>
      <c r="E448" s="2" t="s">
        <v>21</v>
      </c>
      <c r="F448" s="2" t="s">
        <v>15</v>
      </c>
      <c r="G448" s="2" t="s">
        <v>147</v>
      </c>
      <c r="H448" s="2" t="s">
        <v>51</v>
      </c>
      <c r="I448" s="2" t="str">
        <f>IFERROR(__xludf.DUMMYFUNCTION("GOOGLETRANSLATE(C448,""fr"",""en"")"),"I am satisfied thank you; I want you to improve you more to reach more customers in the future, to be among the best.")</f>
        <v>I am satisfied thank you; I want you to improve you more to reach more customers in the future, to be among the best.</v>
      </c>
    </row>
    <row r="449" ht="15.75" customHeight="1">
      <c r="A449" s="2">
        <v>1.0</v>
      </c>
      <c r="B449" s="2" t="s">
        <v>1344</v>
      </c>
      <c r="C449" s="2" t="s">
        <v>1345</v>
      </c>
      <c r="D449" s="2" t="s">
        <v>298</v>
      </c>
      <c r="E449" s="2" t="s">
        <v>195</v>
      </c>
      <c r="F449" s="2" t="s">
        <v>15</v>
      </c>
      <c r="G449" s="2" t="s">
        <v>1346</v>
      </c>
      <c r="H449" s="2" t="s">
        <v>28</v>
      </c>
      <c r="I449" s="2" t="str">
        <f>IFERROR(__xludf.DUMMYFUNCTION("GOOGLETRANSLATE(C449,""fr"",""en"")"),"How SWISSLIFE is already allowed to lower the conversion rate to the compulsory part to 6.5 % in 2022 and 6.2 % in 2023, while it is still registered at 6.8 % in the LPP and that the LPP21 reform n ' has not been finalized or approved yet?
It is simply s"&amp;"candalous and I invite all the insured to this company to firmly oppose this decision.")</f>
        <v>How SWISSLIFE is already allowed to lower the conversion rate to the compulsory part to 6.5 % in 2022 and 6.2 % in 2023, while it is still registered at 6.8 % in the LPP and that the LPP21 reform n ' has not been finalized or approved yet?
It is simply scandalous and I invite all the insured to this company to firmly oppose this decision.</v>
      </c>
    </row>
    <row r="450" ht="15.75" customHeight="1">
      <c r="A450" s="2">
        <v>3.0</v>
      </c>
      <c r="B450" s="2" t="s">
        <v>1347</v>
      </c>
      <c r="C450" s="2" t="s">
        <v>1348</v>
      </c>
      <c r="D450" s="2" t="s">
        <v>41</v>
      </c>
      <c r="E450" s="2" t="s">
        <v>21</v>
      </c>
      <c r="F450" s="2" t="s">
        <v>15</v>
      </c>
      <c r="G450" s="2" t="s">
        <v>1349</v>
      </c>
      <c r="H450" s="2" t="s">
        <v>42</v>
      </c>
      <c r="I450" s="2" t="str">
        <f>IFERROR(__xludf.DUMMYFUNCTION("GOOGLETRANSLATE(C450,""fr"",""en"")"),"Correct price level without more, May too high evolution over the years, without taking into account the good behavior of the insured. An additional discount will be good .....")</f>
        <v>Correct price level without more, May too high evolution over the years, without taking into account the good behavior of the insured. An additional discount will be good .....</v>
      </c>
    </row>
    <row r="451" ht="15.75" customHeight="1">
      <c r="A451" s="2">
        <v>5.0</v>
      </c>
      <c r="B451" s="2" t="s">
        <v>1350</v>
      </c>
      <c r="C451" s="2" t="s">
        <v>1351</v>
      </c>
      <c r="D451" s="2" t="s">
        <v>20</v>
      </c>
      <c r="E451" s="2" t="s">
        <v>21</v>
      </c>
      <c r="F451" s="2" t="s">
        <v>15</v>
      </c>
      <c r="G451" s="2" t="s">
        <v>619</v>
      </c>
      <c r="H451" s="2" t="s">
        <v>74</v>
      </c>
      <c r="I451" s="2" t="str">
        <f>IFERROR(__xludf.DUMMYFUNCTION("GOOGLETRANSLATE(C451,""fr"",""en"")"),"Satisfied, the signature of the documents is easy. Everything is well explained, the customer area is fun without having to find the essential information for hours")</f>
        <v>Satisfied, the signature of the documents is easy. Everything is well explained, the customer area is fun without having to find the essential information for hours</v>
      </c>
    </row>
    <row r="452" ht="15.75" customHeight="1">
      <c r="A452" s="2">
        <v>5.0</v>
      </c>
      <c r="B452" s="2" t="s">
        <v>1352</v>
      </c>
      <c r="C452" s="2" t="s">
        <v>1353</v>
      </c>
      <c r="D452" s="2" t="s">
        <v>20</v>
      </c>
      <c r="E452" s="2" t="s">
        <v>21</v>
      </c>
      <c r="F452" s="2" t="s">
        <v>15</v>
      </c>
      <c r="G452" s="2" t="s">
        <v>1354</v>
      </c>
      <c r="H452" s="2" t="s">
        <v>134</v>
      </c>
      <c r="I452" s="2" t="str">
        <f>IFERROR(__xludf.DUMMYFUNCTION("GOOGLETRANSLATE(C452,""fr"",""en"")"),"I am satisfied with your services at its own value.
I wanted to thank you also for your follow -up and at the same time wish to ensure other vehicles in the future.")</f>
        <v>I am satisfied with your services at its own value.
I wanted to thank you also for your follow -up and at the same time wish to ensure other vehicles in the future.</v>
      </c>
    </row>
    <row r="453" ht="15.75" customHeight="1">
      <c r="A453" s="2">
        <v>1.0</v>
      </c>
      <c r="B453" s="2" t="s">
        <v>1355</v>
      </c>
      <c r="C453" s="2" t="s">
        <v>1356</v>
      </c>
      <c r="D453" s="2" t="s">
        <v>651</v>
      </c>
      <c r="E453" s="2" t="s">
        <v>14</v>
      </c>
      <c r="F453" s="2" t="s">
        <v>15</v>
      </c>
      <c r="G453" s="2" t="s">
        <v>738</v>
      </c>
      <c r="H453" s="2" t="s">
        <v>55</v>
      </c>
      <c r="I453" s="2" t="str">
        <f>IFERROR(__xludf.DUMMYFUNCTION("GOOGLETRANSLATE(C453,""fr"",""en"")"),"Problem to register on my internet account and impossible to have a list of dentist surgeon practicing the 100 very disappointed health percent")</f>
        <v>Problem to register on my internet account and impossible to have a list of dentist surgeon practicing the 100 very disappointed health percent</v>
      </c>
    </row>
    <row r="454" ht="15.75" customHeight="1">
      <c r="A454" s="2">
        <v>4.0</v>
      </c>
      <c r="B454" s="2" t="s">
        <v>1357</v>
      </c>
      <c r="C454" s="2" t="s">
        <v>1358</v>
      </c>
      <c r="D454" s="2" t="s">
        <v>45</v>
      </c>
      <c r="E454" s="2" t="s">
        <v>14</v>
      </c>
      <c r="F454" s="2" t="s">
        <v>15</v>
      </c>
      <c r="G454" s="2" t="s">
        <v>1359</v>
      </c>
      <c r="H454" s="2" t="s">
        <v>47</v>
      </c>
      <c r="I454" s="2" t="str">
        <f>IFERROR(__xludf.DUMMYFUNCTION("GOOGLETRANSLATE(C454,""fr"",""en"")"),"I am satisfied with the time spent establishing a quote and signing the contract. I'm now waiting to see how it goes in reality. I must say that my support for documents in 24 hours to make the refund clearly weighed in my choice.")</f>
        <v>I am satisfied with the time spent establishing a quote and signing the contract. I'm now waiting to see how it goes in reality. I must say that my support for documents in 24 hours to make the refund clearly weighed in my choice.</v>
      </c>
    </row>
    <row r="455" ht="15.75" customHeight="1">
      <c r="A455" s="2">
        <v>1.0</v>
      </c>
      <c r="B455" s="2" t="s">
        <v>1360</v>
      </c>
      <c r="C455" s="2" t="s">
        <v>1361</v>
      </c>
      <c r="D455" s="2" t="s">
        <v>678</v>
      </c>
      <c r="E455" s="2" t="s">
        <v>21</v>
      </c>
      <c r="F455" s="2" t="s">
        <v>15</v>
      </c>
      <c r="G455" s="2" t="s">
        <v>1362</v>
      </c>
      <c r="H455" s="2" t="s">
        <v>797</v>
      </c>
      <c r="I455" s="2" t="str">
        <f>IFERROR(__xludf.DUMMYFUNCTION("GOOGLETRANSLATE(C455,""fr"",""en"")"),"To flee
Following some personal difficulties, I delay in transmitting my situation statements over 24 months. I transmit a first for a clio that I have had for 1 year, then another statement for a car owned for more than 10 years. The two vehicles being "&amp;"different, the advisor retorts to me that my file is not valid and announces to me that the deposit paid by 156 euros will not be reimbursed to me
So despite attractive prices, flee. This is just powder in the eyes")</f>
        <v>To flee
Following some personal difficulties, I delay in transmitting my situation statements over 24 months. I transmit a first for a clio that I have had for 1 year, then another statement for a car owned for more than 10 years. The two vehicles being different, the advisor retorts to me that my file is not valid and announces to me that the deposit paid by 156 euros will not be reimbursed to me
So despite attractive prices, flee. This is just powder in the eyes</v>
      </c>
    </row>
    <row r="456" ht="15.75" customHeight="1">
      <c r="A456" s="2">
        <v>4.0</v>
      </c>
      <c r="B456" s="2" t="s">
        <v>1363</v>
      </c>
      <c r="C456" s="2" t="s">
        <v>1364</v>
      </c>
      <c r="D456" s="2" t="s">
        <v>41</v>
      </c>
      <c r="E456" s="2" t="s">
        <v>21</v>
      </c>
      <c r="F456" s="2" t="s">
        <v>15</v>
      </c>
      <c r="G456" s="2" t="s">
        <v>1365</v>
      </c>
      <c r="H456" s="2" t="s">
        <v>74</v>
      </c>
      <c r="I456" s="2" t="str">
        <f>IFERROR(__xludf.DUMMYFUNCTION("GOOGLETRANSLATE(C456,""fr"",""en"")"),"We are satisfied with the insurance price
Much better than other competitors with a lot of warranty.
I hope it will continue in this direction")</f>
        <v>We are satisfied with the insurance price
Much better than other competitors with a lot of warranty.
I hope it will continue in this direction</v>
      </c>
    </row>
    <row r="457" ht="15.75" customHeight="1">
      <c r="A457" s="2">
        <v>2.0</v>
      </c>
      <c r="B457" s="2" t="s">
        <v>1366</v>
      </c>
      <c r="C457" s="2" t="s">
        <v>1367</v>
      </c>
      <c r="D457" s="2" t="s">
        <v>45</v>
      </c>
      <c r="E457" s="2" t="s">
        <v>14</v>
      </c>
      <c r="F457" s="2" t="s">
        <v>15</v>
      </c>
      <c r="G457" s="2" t="s">
        <v>999</v>
      </c>
      <c r="H457" s="2" t="s">
        <v>38</v>
      </c>
      <c r="I457" s="2" t="str">
        <f>IFERROR(__xludf.DUMMYFUNCTION("GOOGLETRANSLATE(C457,""fr"",""en"")"),"Hello, I was very satisfied as long as the reimbursements were limited to my general practitioner and some drugs. But for the reimbursement of the part not covered by a cure the Delai took more than a month and a half and I have been waiting for the docto"&amp;"r's reimbursement for almost 1 month; So when the services announce 5 days ... I ask myself the question about reimbursements due to interventions with hospitalization. I'm sorry, but it's factual")</f>
        <v>Hello, I was very satisfied as long as the reimbursements were limited to my general practitioner and some drugs. But for the reimbursement of the part not covered by a cure the Delai took more than a month and a half and I have been waiting for the doctor's reimbursement for almost 1 month; So when the services announce 5 days ... I ask myself the question about reimbursements due to interventions with hospitalization. I'm sorry, but it's factual</v>
      </c>
    </row>
    <row r="458" ht="15.75" customHeight="1">
      <c r="A458" s="2">
        <v>1.0</v>
      </c>
      <c r="B458" s="2" t="s">
        <v>1368</v>
      </c>
      <c r="C458" s="2" t="s">
        <v>1369</v>
      </c>
      <c r="D458" s="2" t="s">
        <v>395</v>
      </c>
      <c r="E458" s="2" t="s">
        <v>21</v>
      </c>
      <c r="F458" s="2" t="s">
        <v>15</v>
      </c>
      <c r="G458" s="2" t="s">
        <v>1370</v>
      </c>
      <c r="H458" s="2" t="s">
        <v>309</v>
      </c>
      <c r="I458" s="2" t="str">
        <f>IFERROR(__xludf.DUMMYFUNCTION("GOOGLETRANSLATE(C458,""fr"",""en"")"),"Horrible experience. Two weeks that I sent a termination letter following an increase in the contract not reported. They apparently never received the letter while the recipient returned to me. Nothing to do, customer contact lower than land. Never subscr"&amp;"ibe!")</f>
        <v>Horrible experience. Two weeks that I sent a termination letter following an increase in the contract not reported. They apparently never received the letter while the recipient returned to me. Nothing to do, customer contact lower than land. Never subscribe!</v>
      </c>
    </row>
    <row r="459" ht="15.75" customHeight="1">
      <c r="A459" s="2">
        <v>1.0</v>
      </c>
      <c r="B459" s="2" t="s">
        <v>1371</v>
      </c>
      <c r="C459" s="2" t="s">
        <v>1372</v>
      </c>
      <c r="D459" s="2" t="s">
        <v>212</v>
      </c>
      <c r="E459" s="2" t="s">
        <v>922</v>
      </c>
      <c r="F459" s="2" t="s">
        <v>15</v>
      </c>
      <c r="G459" s="2" t="s">
        <v>1373</v>
      </c>
      <c r="H459" s="2" t="s">
        <v>231</v>
      </c>
      <c r="I459" s="2" t="str">
        <f>IFERROR(__xludf.DUMMYFUNCTION("GOOGLETRANSLATE(C459,""fr"",""en"")"),"Run away !!! Doubtful advisers who let you believe that you have no choice, who pocket the commissions, forgetting to find out about the costs, a zero responsiveness so as not to donate your life insurance. There would be pages! Everything except Allianz!")</f>
        <v>Run away !!! Doubtful advisers who let you believe that you have no choice, who pocket the commissions, forgetting to find out about the costs, a zero responsiveness so as not to donate your life insurance. There would be pages! Everything except Allianz!</v>
      </c>
    </row>
    <row r="460" ht="15.75" customHeight="1">
      <c r="A460" s="2">
        <v>3.0</v>
      </c>
      <c r="B460" s="2" t="s">
        <v>1374</v>
      </c>
      <c r="C460" s="2" t="s">
        <v>1375</v>
      </c>
      <c r="D460" s="2" t="s">
        <v>395</v>
      </c>
      <c r="E460" s="2" t="s">
        <v>21</v>
      </c>
      <c r="F460" s="2" t="s">
        <v>15</v>
      </c>
      <c r="G460" s="2" t="s">
        <v>1376</v>
      </c>
      <c r="H460" s="2" t="s">
        <v>436</v>
      </c>
      <c r="I460" s="2" t="str">
        <f>IFERROR(__xludf.DUMMYFUNCTION("GOOGLETRANSLATE(C460,""fr"",""en"")"),"I have been at AXA for more than ten years and I have never had a problem with my insurance I ask for a contract with schedule before the deadline I was made to be 3 months old no contract in the month From October Change of manager of the agency they wan"&amp;"ted to know anything, they renewed the present contract and I am almost terminated I am really angry with this agency and I am not telling you the rest would be too long")</f>
        <v>I have been at AXA for more than ten years and I have never had a problem with my insurance I ask for a contract with schedule before the deadline I was made to be 3 months old no contract in the month From October Change of manager of the agency they wanted to know anything, they renewed the present contract and I am almost terminated I am really angry with this agency and I am not telling you the rest would be too long</v>
      </c>
    </row>
    <row r="461" ht="15.75" customHeight="1">
      <c r="A461" s="2">
        <v>1.0</v>
      </c>
      <c r="B461" s="2" t="s">
        <v>1377</v>
      </c>
      <c r="C461" s="2" t="s">
        <v>1378</v>
      </c>
      <c r="D461" s="2" t="s">
        <v>164</v>
      </c>
      <c r="E461" s="2" t="s">
        <v>58</v>
      </c>
      <c r="F461" s="2" t="s">
        <v>15</v>
      </c>
      <c r="G461" s="2" t="s">
        <v>1379</v>
      </c>
      <c r="H461" s="2" t="s">
        <v>38</v>
      </c>
      <c r="I461" s="2" t="str">
        <f>IFERROR(__xludf.DUMMYFUNCTION("GOOGLETRANSLATE(C461,""fr"",""en"")"),"Insurance that defends the opposing party more than its customers.
Following a truck that destroyed our entry, Pacifica, our insurance, reimbursed us with a small party of the quote, by decomposing of obsolescence, taking the lowest quote (the one that m"&amp;"akes things halfway) .... without consulting with responsible insurance.
So Pacifica is very good ... for the opposing party.
PS, over 4 years, 25% increase")</f>
        <v>Insurance that defends the opposing party more than its customers.
Following a truck that destroyed our entry, Pacifica, our insurance, reimbursed us with a small party of the quote, by decomposing of obsolescence, taking the lowest quote (the one that makes things halfway) .... without consulting with responsible insurance.
So Pacifica is very good ... for the opposing party.
PS, over 4 years, 25% increase</v>
      </c>
    </row>
    <row r="462" ht="15.75" customHeight="1">
      <c r="A462" s="2">
        <v>1.0</v>
      </c>
      <c r="B462" s="2" t="s">
        <v>1380</v>
      </c>
      <c r="C462" s="2" t="s">
        <v>1381</v>
      </c>
      <c r="D462" s="2" t="s">
        <v>41</v>
      </c>
      <c r="E462" s="2" t="s">
        <v>21</v>
      </c>
      <c r="F462" s="2" t="s">
        <v>15</v>
      </c>
      <c r="G462" s="2" t="s">
        <v>1382</v>
      </c>
      <c r="H462" s="2" t="s">
        <v>38</v>
      </c>
      <c r="I462" s="2" t="str">
        <f>IFERROR(__xludf.DUMMYFUNCTION("GOOGLETRANSLATE(C462,""fr"",""en"")"),"Insurance terminates my contract for a ""too high accidental rate"". I have come back to me 3 times in 5 years ... I specify that these are all non -responsible accidents. To underline the whole, I have never been warned of the termination, whether by mai"&amp;"l or by email ... Result I was no longer insured without knowing it.")</f>
        <v>Insurance terminates my contract for a "too high accidental rate". I have come back to me 3 times in 5 years ... I specify that these are all non -responsible accidents. To underline the whole, I have never been warned of the termination, whether by mail or by email ... Result I was no longer insured without knowing it.</v>
      </c>
    </row>
    <row r="463" ht="15.75" customHeight="1">
      <c r="A463" s="2">
        <v>1.0</v>
      </c>
      <c r="B463" s="2" t="s">
        <v>1383</v>
      </c>
      <c r="C463" s="2" t="s">
        <v>1384</v>
      </c>
      <c r="D463" s="2" t="s">
        <v>31</v>
      </c>
      <c r="E463" s="2" t="s">
        <v>21</v>
      </c>
      <c r="F463" s="2" t="s">
        <v>15</v>
      </c>
      <c r="G463" s="2" t="s">
        <v>1382</v>
      </c>
      <c r="H463" s="2" t="s">
        <v>38</v>
      </c>
      <c r="I463" s="2" t="str">
        <f>IFERROR(__xludf.DUMMYFUNCTION("GOOGLETRANSLATE(C463,""fr"",""en"")"),"Having sold my Passat TDI vehicle on January 30, 2020, the Macif with whom I am insured
For several years has refused to reimburse me my premium share in Prorata Temporis.
Indeed, I paid my insurance premium in advance from April 1, 2019 to March 31, 20"&amp;"20, a sum of 352.86 euros. The Macif must therefore reimburse me for 2 months of subscription, or February and March 2020 or 62.76 euros which corresponds to 60 days (29 days in February because yearcbissextile and 31 days in March 2020); the Macif paid m"&amp;"e generously 22.73 euros that I managed to increase by 8.97 euros after complaint. 31.06 euros are missing")</f>
        <v>Having sold my Passat TDI vehicle on January 30, 2020, the Macif with whom I am insured
For several years has refused to reimburse me my premium share in Prorata Temporis.
Indeed, I paid my insurance premium in advance from April 1, 2019 to March 31, 2020, a sum of 352.86 euros. The Macif must therefore reimburse me for 2 months of subscription, or February and March 2020 or 62.76 euros which corresponds to 60 days (29 days in February because yearcbissextile and 31 days in March 2020); the Macif paid me generously 22.73 euros that I managed to increase by 8.97 euros after complaint. 31.06 euros are missing</v>
      </c>
    </row>
    <row r="464" ht="15.75" customHeight="1">
      <c r="A464" s="2">
        <v>5.0</v>
      </c>
      <c r="B464" s="2" t="s">
        <v>1385</v>
      </c>
      <c r="C464" s="2" t="s">
        <v>1386</v>
      </c>
      <c r="D464" s="2" t="s">
        <v>103</v>
      </c>
      <c r="E464" s="2" t="s">
        <v>104</v>
      </c>
      <c r="F464" s="2" t="s">
        <v>15</v>
      </c>
      <c r="G464" s="2" t="s">
        <v>305</v>
      </c>
      <c r="H464" s="2" t="s">
        <v>134</v>
      </c>
      <c r="I464" s="2" t="str">
        <f>IFERROR(__xludf.DUMMYFUNCTION("GOOGLETRANSLATE(C464,""fr"",""en"")"),"Personalized support and excellent follow -up
Competetive price
I confirm on the digital but human side
Thank you Benjamin
I am satisfied with the service")</f>
        <v>Personalized support and excellent follow -up
Competetive price
I confirm on the digital but human side
Thank you Benjamin
I am satisfied with the service</v>
      </c>
    </row>
    <row r="465" ht="15.75" customHeight="1">
      <c r="A465" s="2">
        <v>5.0</v>
      </c>
      <c r="B465" s="2" t="s">
        <v>1387</v>
      </c>
      <c r="C465" s="2" t="s">
        <v>1388</v>
      </c>
      <c r="D465" s="2" t="s">
        <v>72</v>
      </c>
      <c r="E465" s="2" t="s">
        <v>21</v>
      </c>
      <c r="F465" s="2" t="s">
        <v>15</v>
      </c>
      <c r="G465" s="2" t="s">
        <v>517</v>
      </c>
      <c r="H465" s="2" t="s">
        <v>55</v>
      </c>
      <c r="I465" s="2" t="str">
        <f>IFERROR(__xludf.DUMMYFUNCTION("GOOGLETRANSLATE(C465,""fr"",""en"")"),"I am very satisfied with the reception and speed of the operations to be carried out.
The SMS validation system is practical and fast.
Thank you again for the impeccable service and good continuation with a of course.
")</f>
        <v>I am very satisfied with the reception and speed of the operations to be carried out.
The SMS validation system is practical and fast.
Thank you again for the impeccable service and good continuation with a of course.
</v>
      </c>
    </row>
    <row r="466" ht="15.75" customHeight="1">
      <c r="A466" s="2">
        <v>4.0</v>
      </c>
      <c r="B466" s="2" t="s">
        <v>1389</v>
      </c>
      <c r="C466" s="2" t="s">
        <v>1390</v>
      </c>
      <c r="D466" s="2" t="s">
        <v>20</v>
      </c>
      <c r="E466" s="2" t="s">
        <v>21</v>
      </c>
      <c r="F466" s="2" t="s">
        <v>15</v>
      </c>
      <c r="G466" s="2" t="s">
        <v>133</v>
      </c>
      <c r="H466" s="2" t="s">
        <v>134</v>
      </c>
      <c r="I466" s="2" t="str">
        <f>IFERROR(__xludf.DUMMYFUNCTION("GOOGLETRANSLATE(C466,""fr"",""en"")"),"To see in the future if the insurance corresponds to my needs. Otherwise the price offer seems correct.
Speed ​​of management management of the contract and dematerialization.")</f>
        <v>To see in the future if the insurance corresponds to my needs. Otherwise the price offer seems correct.
Speed ​​of management management of the contract and dematerialization.</v>
      </c>
    </row>
    <row r="467" ht="15.75" customHeight="1">
      <c r="A467" s="2">
        <v>1.0</v>
      </c>
      <c r="B467" s="2" t="s">
        <v>1391</v>
      </c>
      <c r="C467" s="2" t="s">
        <v>1392</v>
      </c>
      <c r="D467" s="2" t="s">
        <v>164</v>
      </c>
      <c r="E467" s="2" t="s">
        <v>58</v>
      </c>
      <c r="F467" s="2" t="s">
        <v>15</v>
      </c>
      <c r="G467" s="2" t="s">
        <v>37</v>
      </c>
      <c r="H467" s="2" t="s">
        <v>38</v>
      </c>
      <c r="I467" s="2" t="str">
        <f>IFERROR(__xludf.DUMMYFUNCTION("GOOGLETRANSLATE(C467,""fr"",""en"")"),"Totally dissatisfied with the service offered and for which I pay my subscription every month! Pacifica is not up to an insurer worthy of the name. I am the victim of a disaster in water damage and 17 months later, still unresolved for concerns that they "&amp;"do not even manage to resolve between internal services, providers and experts included! My neighbor guilty of the claim had his apartment renovated in less than a month! Inadmissible! When we contact the manager who ensures that so saying the follow -up "&amp;"of the file, she is always and systematically unavailable and her message on telephone answering machine is not always followed by the cited example: message of absence + promise of recall in the Day (workforce 1 time out of 10) !!")</f>
        <v>Totally dissatisfied with the service offered and for which I pay my subscription every month! Pacifica is not up to an insurer worthy of the name. I am the victim of a disaster in water damage and 17 months later, still unresolved for concerns that they do not even manage to resolve between internal services, providers and experts included! My neighbor guilty of the claim had his apartment renovated in less than a month! Inadmissible! When we contact the manager who ensures that so saying the follow -up of the file, she is always and systematically unavailable and her message on telephone answering machine is not always followed by the cited example: message of absence + promise of recall in the Day (workforce 1 time out of 10) !!</v>
      </c>
    </row>
    <row r="468" ht="15.75" customHeight="1">
      <c r="A468" s="2">
        <v>5.0</v>
      </c>
      <c r="B468" s="2" t="s">
        <v>1393</v>
      </c>
      <c r="C468" s="2" t="s">
        <v>1394</v>
      </c>
      <c r="D468" s="2" t="s">
        <v>121</v>
      </c>
      <c r="E468" s="2" t="s">
        <v>122</v>
      </c>
      <c r="F468" s="2" t="s">
        <v>15</v>
      </c>
      <c r="G468" s="2" t="s">
        <v>1395</v>
      </c>
      <c r="H468" s="2" t="s">
        <v>74</v>
      </c>
      <c r="I468" s="2" t="str">
        <f>IFERROR(__xludf.DUMMYFUNCTION("GOOGLETRANSLATE(C468,""fr"",""en"")"),"Very much satisfied with the services offered and provided by this insurance
Very satisfied so far from the services offered and provided by this site")</f>
        <v>Very much satisfied with the services offered and provided by this insurance
Very satisfied so far from the services offered and provided by this site</v>
      </c>
    </row>
    <row r="469" ht="15.75" customHeight="1">
      <c r="A469" s="2">
        <v>4.0</v>
      </c>
      <c r="B469" s="2" t="s">
        <v>1396</v>
      </c>
      <c r="C469" s="2" t="s">
        <v>1397</v>
      </c>
      <c r="D469" s="2" t="s">
        <v>206</v>
      </c>
      <c r="E469" s="2" t="s">
        <v>207</v>
      </c>
      <c r="F469" s="2" t="s">
        <v>15</v>
      </c>
      <c r="G469" s="2" t="s">
        <v>1398</v>
      </c>
      <c r="H469" s="2" t="s">
        <v>100</v>
      </c>
      <c r="I469" s="2" t="str">
        <f>IFERROR(__xludf.DUMMYFUNCTION("GOOGLETRANSLATE(C469,""fr"",""en"")"),"I have subscribed to this insurance for only 3 months for my two kittens and I admit that I was astonished satisfied. I thought I would never be reimbursed like 90% of insurances which when there is a concern always finds out the famous little line that w"&amp;"e have never read in the contract but there nothing!
Everything was done as I had been pointed out. Refunded in time, and the amount planned! Two months also offered despite the concerns encountered from the 1st month of subscription. The emails sent alw"&amp;"ays have an answer, the communication is effective, not frankly I have nothing to complain about, I am very satisfied it is an honest insurance. I highly recommend.")</f>
        <v>I have subscribed to this insurance for only 3 months for my two kittens and I admit that I was astonished satisfied. I thought I would never be reimbursed like 90% of insurances which when there is a concern always finds out the famous little line that we have never read in the contract but there nothing!
Everything was done as I had been pointed out. Refunded in time, and the amount planned! Two months also offered despite the concerns encountered from the 1st month of subscription. The emails sent always have an answer, the communication is effective, not frankly I have nothing to complain about, I am very satisfied it is an honest insurance. I highly recommend.</v>
      </c>
    </row>
    <row r="470" ht="15.75" customHeight="1">
      <c r="A470" s="2">
        <v>1.0</v>
      </c>
      <c r="B470" s="2" t="s">
        <v>1399</v>
      </c>
      <c r="C470" s="2" t="s">
        <v>1400</v>
      </c>
      <c r="D470" s="2" t="s">
        <v>395</v>
      </c>
      <c r="E470" s="2" t="s">
        <v>58</v>
      </c>
      <c r="F470" s="2" t="s">
        <v>15</v>
      </c>
      <c r="G470" s="2" t="s">
        <v>223</v>
      </c>
      <c r="H470" s="2" t="s">
        <v>74</v>
      </c>
      <c r="I470" s="2" t="str">
        <f>IFERROR(__xludf.DUMMYFUNCTION("GOOGLETRANSLATE(C470,""fr"",""en"")")," Contract at a prohibitive price. Termination of the contract on their part after 48 years without disaster. This following an attempted break -in with just 3 damaged doors. 20% less reimbursement after signature of the reimbursement letter. In short, AXA"&amp;" is to be fleeing absolutely!")</f>
        <v> Contract at a prohibitive price. Termination of the contract on their part after 48 years without disaster. This following an attempted break -in with just 3 damaged doors. 20% less reimbursement after signature of the reimbursement letter. In short, AXA is to be fleeing absolutely!</v>
      </c>
    </row>
    <row r="471" ht="15.75" customHeight="1">
      <c r="A471" s="2">
        <v>2.0</v>
      </c>
      <c r="B471" s="2" t="s">
        <v>1401</v>
      </c>
      <c r="C471" s="2" t="s">
        <v>1402</v>
      </c>
      <c r="D471" s="2" t="s">
        <v>164</v>
      </c>
      <c r="E471" s="2" t="s">
        <v>58</v>
      </c>
      <c r="F471" s="2" t="s">
        <v>15</v>
      </c>
      <c r="G471" s="2" t="s">
        <v>923</v>
      </c>
      <c r="H471" s="2" t="s">
        <v>465</v>
      </c>
      <c r="I471" s="2" t="str">
        <f>IFERROR(__xludf.DUMMYFUNCTION("GOOGLETRANSLATE(C471,""fr"",""en"")"),"I had a small fire in my kitchen last June (June 2020) it all started well, if I may say, since ""only"" 2 weeks after having declared the claim to Pacifica, their cabinet of experts mandated A company to clean the soies. I had to wait longer for the pass"&amp;"age of the expert but since then I sent them all the quotes of the different trades in July (painter, electrician and carpenter) and since I 'Always wait, 3 months later! Very very disappointed with their services, it is decided, I change insurer.")</f>
        <v>I had a small fire in my kitchen last June (June 2020) it all started well, if I may say, since "only" 2 weeks after having declared the claim to Pacifica, their cabinet of experts mandated A company to clean the soies. I had to wait longer for the passage of the expert but since then I sent them all the quotes of the different trades in July (painter, electrician and carpenter) and since I 'Always wait, 3 months later! Very very disappointed with their services, it is decided, I change insurer.</v>
      </c>
    </row>
    <row r="472" ht="15.75" customHeight="1">
      <c r="A472" s="2">
        <v>1.0</v>
      </c>
      <c r="B472" s="2" t="s">
        <v>1403</v>
      </c>
      <c r="C472" s="2" t="s">
        <v>1404</v>
      </c>
      <c r="D472" s="2" t="s">
        <v>41</v>
      </c>
      <c r="E472" s="2" t="s">
        <v>21</v>
      </c>
      <c r="F472" s="2" t="s">
        <v>15</v>
      </c>
      <c r="G472" s="2" t="s">
        <v>1405</v>
      </c>
      <c r="H472" s="2" t="s">
        <v>209</v>
      </c>
      <c r="I472" s="2" t="str">
        <f>IFERROR(__xludf.DUMMYFUNCTION("GOOGLETRANSLATE(C472,""fr"",""en"")"),"I have been insured for 3 years for 3 years, I have no opinion on their services since I never needed it. I started with a high price given I had just had an accident, today my file is again in bonus + but I continue to have almost 900 euros / years !!! W"&amp;"hen I make quote simulations, whether at home or elsewhere I am faced with prices of -50% on average. I would like me to offer me a more reasonable price, otherwise I will have to look for another insurer. I read insurance with connected box, why not?")</f>
        <v>I have been insured for 3 years for 3 years, I have no opinion on their services since I never needed it. I started with a high price given I had just had an accident, today my file is again in bonus + but I continue to have almost 900 euros / years !!! When I make quote simulations, whether at home or elsewhere I am faced with prices of -50% on average. I would like me to offer me a more reasonable price, otherwise I will have to look for another insurer. I read insurance with connected box, why not?</v>
      </c>
    </row>
    <row r="473" ht="15.75" customHeight="1">
      <c r="A473" s="2">
        <v>4.0</v>
      </c>
      <c r="B473" s="2" t="s">
        <v>1406</v>
      </c>
      <c r="C473" s="2" t="s">
        <v>1407</v>
      </c>
      <c r="D473" s="2" t="s">
        <v>150</v>
      </c>
      <c r="E473" s="2" t="s">
        <v>122</v>
      </c>
      <c r="F473" s="2" t="s">
        <v>15</v>
      </c>
      <c r="G473" s="2" t="s">
        <v>332</v>
      </c>
      <c r="H473" s="2" t="s">
        <v>28</v>
      </c>
      <c r="I473" s="2" t="str">
        <f>IFERROR(__xludf.DUMMYFUNCTION("GOOGLETRANSLATE(C473,""fr"",""en"")"),"Already spent at April Moto, satisfied but a shame because a little more expensive than elsewhere.
Then it may be because you are the only ones to insure with only 16 months of motorcycle insurance")</f>
        <v>Already spent at April Moto, satisfied but a shame because a little more expensive than elsewhere.
Then it may be because you are the only ones to insure with only 16 months of motorcycle insurance</v>
      </c>
    </row>
    <row r="474" ht="15.75" customHeight="1">
      <c r="A474" s="2">
        <v>1.0</v>
      </c>
      <c r="B474" s="2" t="s">
        <v>1408</v>
      </c>
      <c r="C474" s="2" t="s">
        <v>1409</v>
      </c>
      <c r="D474" s="2" t="s">
        <v>206</v>
      </c>
      <c r="E474" s="2" t="s">
        <v>207</v>
      </c>
      <c r="F474" s="2" t="s">
        <v>15</v>
      </c>
      <c r="G474" s="2" t="s">
        <v>1410</v>
      </c>
      <c r="H474" s="2" t="s">
        <v>453</v>
      </c>
      <c r="I474" s="2" t="str">
        <f>IFERROR(__xludf.DUMMYFUNCTION("GOOGLETRANSLATE(C474,""fr"",""en"")"),"especially not to tell them that you do not follow up
They are on the edge of politeness, tell you that your pet anyway is too old to assure it and they hang up on you
consumer law is to find out")</f>
        <v>especially not to tell them that you do not follow up
They are on the edge of politeness, tell you that your pet anyway is too old to assure it and they hang up on you
consumer law is to find out</v>
      </c>
    </row>
    <row r="475" ht="15.75" customHeight="1">
      <c r="A475" s="2">
        <v>4.0</v>
      </c>
      <c r="B475" s="2" t="s">
        <v>1411</v>
      </c>
      <c r="C475" s="2" t="s">
        <v>1412</v>
      </c>
      <c r="D475" s="2" t="s">
        <v>41</v>
      </c>
      <c r="E475" s="2" t="s">
        <v>21</v>
      </c>
      <c r="F475" s="2" t="s">
        <v>15</v>
      </c>
      <c r="G475" s="2" t="s">
        <v>860</v>
      </c>
      <c r="H475" s="2" t="s">
        <v>51</v>
      </c>
      <c r="I475" s="2" t="str">
        <f>IFERROR(__xludf.DUMMYFUNCTION("GOOGLETRANSLATE(C475,""fr"",""en"")"),"I am satisfied but unfortunately I could not find the monthly sample. I hope not to be taken annually.
Simple and practical to use")</f>
        <v>I am satisfied but unfortunately I could not find the monthly sample. I hope not to be taken annually.
Simple and practical to use</v>
      </c>
    </row>
    <row r="476" ht="15.75" customHeight="1">
      <c r="A476" s="2">
        <v>5.0</v>
      </c>
      <c r="B476" s="2" t="s">
        <v>1413</v>
      </c>
      <c r="C476" s="2" t="s">
        <v>1414</v>
      </c>
      <c r="D476" s="2" t="s">
        <v>41</v>
      </c>
      <c r="E476" s="2" t="s">
        <v>21</v>
      </c>
      <c r="F476" s="2" t="s">
        <v>15</v>
      </c>
      <c r="G476" s="2" t="s">
        <v>971</v>
      </c>
      <c r="H476" s="2" t="s">
        <v>74</v>
      </c>
      <c r="I476" s="2" t="str">
        <f>IFERROR(__xludf.DUMMYFUNCTION("GOOGLETRANSLATE(C476,""fr"",""en"")"),"I am satisfied with the services, the ease for subscription and, of course, the extremely competitive price of your company. It is with pleasure that I have subscribed to your services for my two vehicles")</f>
        <v>I am satisfied with the services, the ease for subscription and, of course, the extremely competitive price of your company. It is with pleasure that I have subscribed to your services for my two vehicles</v>
      </c>
    </row>
    <row r="477" ht="15.75" customHeight="1">
      <c r="A477" s="2">
        <v>3.0</v>
      </c>
      <c r="B477" s="2" t="s">
        <v>1415</v>
      </c>
      <c r="C477" s="2" t="s">
        <v>1416</v>
      </c>
      <c r="D477" s="2" t="s">
        <v>41</v>
      </c>
      <c r="E477" s="2" t="s">
        <v>21</v>
      </c>
      <c r="F477" s="2" t="s">
        <v>15</v>
      </c>
      <c r="G477" s="2" t="s">
        <v>1417</v>
      </c>
      <c r="H477" s="2" t="s">
        <v>134</v>
      </c>
      <c r="I477" s="2" t="str">
        <f>IFERROR(__xludf.DUMMYFUNCTION("GOOGLETRANSLATE(C477,""fr"",""en"")"),"I am satisfied with the service, I was answered when I needed and no bad surprises
The prices are exorbitant and the penalus applied is very high")</f>
        <v>I am satisfied with the service, I was answered when I needed and no bad surprises
The prices are exorbitant and the penalus applied is very high</v>
      </c>
    </row>
    <row r="478" ht="15.75" customHeight="1">
      <c r="A478" s="2">
        <v>1.0</v>
      </c>
      <c r="B478" s="2" t="s">
        <v>1418</v>
      </c>
      <c r="C478" s="2" t="s">
        <v>1419</v>
      </c>
      <c r="D478" s="2" t="s">
        <v>41</v>
      </c>
      <c r="E478" s="2" t="s">
        <v>21</v>
      </c>
      <c r="F478" s="2" t="s">
        <v>15</v>
      </c>
      <c r="G478" s="2" t="s">
        <v>1420</v>
      </c>
      <c r="H478" s="2" t="s">
        <v>241</v>
      </c>
      <c r="I478" s="2" t="str">
        <f>IFERROR(__xludf.DUMMYFUNCTION("GOOGLETRANSLATE(C478,""fr"",""en"")"),"It is not understanding anything every year my car insurance increases and my bonus also there is a problem I never declared a disaster and I do not prefer because I wonder how it risks it I recommend this insurer who is hidden behind A new buyer and ther"&amp;"efore have not known anything even warned of the not very courteous change for insurance saying that being as efficient by these television ads")</f>
        <v>It is not understanding anything every year my car insurance increases and my bonus also there is a problem I never declared a disaster and I do not prefer because I wonder how it risks it I recommend this insurer who is hidden behind A new buyer and therefore have not known anything even warned of the not very courteous change for insurance saying that being as efficient by these television ads</v>
      </c>
    </row>
    <row r="479" ht="15.75" customHeight="1">
      <c r="A479" s="2">
        <v>2.0</v>
      </c>
      <c r="B479" s="2" t="s">
        <v>1421</v>
      </c>
      <c r="C479" s="2" t="s">
        <v>1422</v>
      </c>
      <c r="D479" s="2" t="s">
        <v>150</v>
      </c>
      <c r="E479" s="2" t="s">
        <v>122</v>
      </c>
      <c r="F479" s="2" t="s">
        <v>15</v>
      </c>
      <c r="G479" s="2" t="s">
        <v>1423</v>
      </c>
      <c r="H479" s="2" t="s">
        <v>134</v>
      </c>
      <c r="I479" s="2" t="str">
        <f>IFERROR(__xludf.DUMMYFUNCTION("GOOGLETRANSLATE(C479,""fr"",""en"")"),"A drop in prices depending on the ages will be good and more proposals depending on the seniority of the driver. A possibility of modifying the vehicle registered on the contract.")</f>
        <v>A drop in prices depending on the ages will be good and more proposals depending on the seniority of the driver. A possibility of modifying the vehicle registered on the contract.</v>
      </c>
    </row>
    <row r="480" ht="15.75" customHeight="1">
      <c r="A480" s="2">
        <v>3.0</v>
      </c>
      <c r="B480" s="2" t="s">
        <v>1424</v>
      </c>
      <c r="C480" s="2" t="s">
        <v>1425</v>
      </c>
      <c r="D480" s="2" t="s">
        <v>41</v>
      </c>
      <c r="E480" s="2" t="s">
        <v>21</v>
      </c>
      <c r="F480" s="2" t="s">
        <v>15</v>
      </c>
      <c r="G480" s="2" t="s">
        <v>1426</v>
      </c>
      <c r="H480" s="2" t="s">
        <v>28</v>
      </c>
      <c r="I480" s="2" t="str">
        <f>IFERROR(__xludf.DUMMYFUNCTION("GOOGLETRANSLATE(C480,""fr"",""en"")"),"Too much insurance for a second low -end car.
Otherwise, contact with very satisfactory interlocutors.")</f>
        <v>Too much insurance for a second low -end car.
Otherwise, contact with very satisfactory interlocutors.</v>
      </c>
    </row>
    <row r="481" ht="15.75" customHeight="1">
      <c r="A481" s="2">
        <v>1.0</v>
      </c>
      <c r="B481" s="2" t="s">
        <v>1427</v>
      </c>
      <c r="C481" s="2" t="s">
        <v>1428</v>
      </c>
      <c r="D481" s="2" t="s">
        <v>72</v>
      </c>
      <c r="E481" s="2" t="s">
        <v>21</v>
      </c>
      <c r="F481" s="2" t="s">
        <v>15</v>
      </c>
      <c r="G481" s="2" t="s">
        <v>50</v>
      </c>
      <c r="H481" s="2" t="s">
        <v>51</v>
      </c>
      <c r="I481" s="2" t="str">
        <f>IFERROR(__xludf.DUMMYFUNCTION("GOOGLETRANSLATE(C481,""fr"",""en"")"),"There is a lot of internet exchanges with insurance.
No listening or reaction in agency
No clear info by phone
It is desperate to know yourself at GMF as badly treated as elsewhere.
You contribute to the general degradation of services
")</f>
        <v>There is a lot of internet exchanges with insurance.
No listening or reaction in agency
No clear info by phone
It is desperate to know yourself at GMF as badly treated as elsewhere.
You contribute to the general degradation of services
</v>
      </c>
    </row>
    <row r="482" ht="15.75" customHeight="1">
      <c r="A482" s="2">
        <v>1.0</v>
      </c>
      <c r="B482" s="2" t="s">
        <v>1429</v>
      </c>
      <c r="C482" s="2" t="s">
        <v>1430</v>
      </c>
      <c r="D482" s="2" t="s">
        <v>41</v>
      </c>
      <c r="E482" s="2" t="s">
        <v>21</v>
      </c>
      <c r="F482" s="2" t="s">
        <v>15</v>
      </c>
      <c r="G482" s="2" t="s">
        <v>1287</v>
      </c>
      <c r="H482" s="2" t="s">
        <v>23</v>
      </c>
      <c r="I482" s="2" t="str">
        <f>IFERROR(__xludf.DUMMYFUNCTION("GOOGLETRANSLATE(C482,""fr"",""en"")"),"Once the quote is established the price on the contract no longer corresponds. You play with the dates this strategy allows you to have and in the end recover the discount that you make, on average € 60 per contract! Transmitted to 60m from consumators.")</f>
        <v>Once the quote is established the price on the contract no longer corresponds. You play with the dates this strategy allows you to have and in the end recover the discount that you make, on average € 60 per contract! Transmitted to 60m from consumators.</v>
      </c>
    </row>
    <row r="483" ht="15.75" customHeight="1">
      <c r="A483" s="2">
        <v>4.0</v>
      </c>
      <c r="B483" s="2" t="s">
        <v>1431</v>
      </c>
      <c r="C483" s="2" t="s">
        <v>1432</v>
      </c>
      <c r="D483" s="2" t="s">
        <v>72</v>
      </c>
      <c r="E483" s="2" t="s">
        <v>21</v>
      </c>
      <c r="F483" s="2" t="s">
        <v>15</v>
      </c>
      <c r="G483" s="2" t="s">
        <v>633</v>
      </c>
      <c r="H483" s="2" t="s">
        <v>23</v>
      </c>
      <c r="I483" s="2" t="str">
        <f>IFERROR(__xludf.DUMMYFUNCTION("GOOGLETRANSLATE(C483,""fr"",""en"")"),"All my insurance at GMF for many years, satisfied with your services, cars, housing, legal protection, protection and families")</f>
        <v>All my insurance at GMF for many years, satisfied with your services, cars, housing, legal protection, protection and families</v>
      </c>
    </row>
    <row r="484" ht="15.75" customHeight="1">
      <c r="A484" s="2">
        <v>5.0</v>
      </c>
      <c r="B484" s="2" t="s">
        <v>1433</v>
      </c>
      <c r="C484" s="2" t="s">
        <v>1434</v>
      </c>
      <c r="D484" s="2" t="s">
        <v>41</v>
      </c>
      <c r="E484" s="2" t="s">
        <v>21</v>
      </c>
      <c r="F484" s="2" t="s">
        <v>15</v>
      </c>
      <c r="G484" s="2" t="s">
        <v>531</v>
      </c>
      <c r="H484" s="2" t="s">
        <v>134</v>
      </c>
      <c r="I484" s="2" t="str">
        <f>IFERROR(__xludf.DUMMYFUNCTION("GOOGLETRANSLATE(C484,""fr"",""en"")"),"Very well, interesting and competitive prices, efficient and competent interlocutor.
Easy to find information, practical and fast online quote.")</f>
        <v>Very well, interesting and competitive prices, efficient and competent interlocutor.
Easy to find information, practical and fast online quote.</v>
      </c>
    </row>
    <row r="485" ht="15.75" customHeight="1">
      <c r="A485" s="2">
        <v>1.0</v>
      </c>
      <c r="B485" s="2" t="s">
        <v>1435</v>
      </c>
      <c r="C485" s="2" t="s">
        <v>1436</v>
      </c>
      <c r="D485" s="2" t="s">
        <v>67</v>
      </c>
      <c r="E485" s="2" t="s">
        <v>58</v>
      </c>
      <c r="F485" s="2" t="s">
        <v>15</v>
      </c>
      <c r="G485" s="2" t="s">
        <v>1314</v>
      </c>
      <c r="H485" s="2" t="s">
        <v>197</v>
      </c>
      <c r="I485" s="2" t="str">
        <f>IFERROR(__xludf.DUMMYFUNCTION("GOOGLETRANSLATE(C485,""fr"",""en"")"),"Just good to garner contracts, no customer service:
After hours of waiting on the phone to make a declaration of a claim without succeeding, I go to my agency:
The secretary, however visibly disowned, is reluctant to take my request into account by advi"&amp;"sing me to do it myself by phone! Explains to me that if the agencies recorded the claims they would only do that! (Is that the job of an insurer, right?)
Following my insistence, it does it and forces me to wait while listening to his answering machine."&amp;" And after an hour without succeeding either, I take a print that I put 3 minutes to fill out: the Maaf cares about its customers!
Years that I am there, I am looking for another insurer.")</f>
        <v>Just good to garner contracts, no customer service:
After hours of waiting on the phone to make a declaration of a claim without succeeding, I go to my agency:
The secretary, however visibly disowned, is reluctant to take my request into account by advising me to do it myself by phone! Explains to me that if the agencies recorded the claims they would only do that! (Is that the job of an insurer, right?)
Following my insistence, it does it and forces me to wait while listening to his answering machine. And after an hour without succeeding either, I take a print that I put 3 minutes to fill out: the Maaf cares about its customers!
Years that I am there, I am looking for another insurer.</v>
      </c>
    </row>
    <row r="486" ht="15.75" customHeight="1">
      <c r="A486" s="2">
        <v>1.0</v>
      </c>
      <c r="B486" s="2" t="s">
        <v>1437</v>
      </c>
      <c r="C486" s="2" t="s">
        <v>1438</v>
      </c>
      <c r="D486" s="2" t="s">
        <v>13</v>
      </c>
      <c r="E486" s="2" t="s">
        <v>14</v>
      </c>
      <c r="F486" s="2" t="s">
        <v>15</v>
      </c>
      <c r="G486" s="2" t="s">
        <v>1439</v>
      </c>
      <c r="H486" s="2" t="s">
        <v>693</v>
      </c>
      <c r="I486" s="2" t="str">
        <f>IFERROR(__xludf.DUMMYFUNCTION("GOOGLETRANSLATE(C486,""fr"",""en"")"),"pre -levment performs this day while my contract debt in January")</f>
        <v>pre -levment performs this day while my contract debt in January</v>
      </c>
    </row>
    <row r="487" ht="15.75" customHeight="1">
      <c r="A487" s="2">
        <v>2.0</v>
      </c>
      <c r="B487" s="2" t="s">
        <v>1440</v>
      </c>
      <c r="C487" s="2" t="s">
        <v>1441</v>
      </c>
      <c r="D487" s="2" t="s">
        <v>31</v>
      </c>
      <c r="E487" s="2" t="s">
        <v>21</v>
      </c>
      <c r="F487" s="2" t="s">
        <v>15</v>
      </c>
      <c r="G487" s="2" t="s">
        <v>1442</v>
      </c>
      <c r="H487" s="2" t="s">
        <v>60</v>
      </c>
      <c r="I487" s="2" t="str">
        <f>IFERROR(__xludf.DUMMYFUNCTION("GOOGLETRANSLATE(C487,""fr"",""en"")"),"Following a move, we still have no termination so I will see elsewhere for my auto contras for the same guarantees 200 euros less in the year his account")</f>
        <v>Following a move, we still have no termination so I will see elsewhere for my auto contras for the same guarantees 200 euros less in the year his account</v>
      </c>
    </row>
    <row r="488" ht="15.75" customHeight="1">
      <c r="A488" s="2">
        <v>4.0</v>
      </c>
      <c r="B488" s="2" t="s">
        <v>1443</v>
      </c>
      <c r="C488" s="2" t="s">
        <v>1444</v>
      </c>
      <c r="D488" s="2" t="s">
        <v>41</v>
      </c>
      <c r="E488" s="2" t="s">
        <v>21</v>
      </c>
      <c r="F488" s="2" t="s">
        <v>15</v>
      </c>
      <c r="G488" s="2" t="s">
        <v>1445</v>
      </c>
      <c r="H488" s="2" t="s">
        <v>42</v>
      </c>
      <c r="I488" s="2" t="str">
        <f>IFERROR(__xludf.DUMMYFUNCTION("GOOGLETRANSLATE(C488,""fr"",""en"")"),"I am satisfied with the customer advisor, to see in the future if sinister or problem there should be, as we always say, the time that there is no problem, all goes")</f>
        <v>I am satisfied with the customer advisor, to see in the future if sinister or problem there should be, as we always say, the time that there is no problem, all goes</v>
      </c>
    </row>
    <row r="489" ht="15.75" customHeight="1">
      <c r="A489" s="2">
        <v>4.0</v>
      </c>
      <c r="B489" s="2" t="s">
        <v>1446</v>
      </c>
      <c r="C489" s="2" t="s">
        <v>1447</v>
      </c>
      <c r="D489" s="2" t="s">
        <v>20</v>
      </c>
      <c r="E489" s="2" t="s">
        <v>21</v>
      </c>
      <c r="F489" s="2" t="s">
        <v>15</v>
      </c>
      <c r="G489" s="2" t="s">
        <v>1448</v>
      </c>
      <c r="H489" s="2" t="s">
        <v>689</v>
      </c>
      <c r="I489" s="2" t="str">
        <f>IFERROR(__xludf.DUMMYFUNCTION("GOOGLETRANSLATE(C489,""fr"",""en"")"),"Very good services nothing to complain about. Very easily reachable, effective in solving the problems encountered during registration.")</f>
        <v>Very good services nothing to complain about. Very easily reachable, effective in solving the problems encountered during registration.</v>
      </c>
    </row>
    <row r="490" ht="15.75" customHeight="1">
      <c r="A490" s="2">
        <v>5.0</v>
      </c>
      <c r="B490" s="2" t="s">
        <v>1449</v>
      </c>
      <c r="C490" s="2" t="s">
        <v>1450</v>
      </c>
      <c r="D490" s="2" t="s">
        <v>20</v>
      </c>
      <c r="E490" s="2" t="s">
        <v>21</v>
      </c>
      <c r="F490" s="2" t="s">
        <v>15</v>
      </c>
      <c r="G490" s="2" t="s">
        <v>1451</v>
      </c>
      <c r="H490" s="2" t="s">
        <v>42</v>
      </c>
      <c r="I490" s="2" t="str">
        <f>IFERROR(__xludf.DUMMYFUNCTION("GOOGLETRANSLATE(C490,""fr"",""en"")"),"I am satisfied with the service
Satisfied prices
Satisfied with the very listening and pleasant interlocutor
I highly recommend this site")</f>
        <v>I am satisfied with the service
Satisfied prices
Satisfied with the very listening and pleasant interlocutor
I highly recommend this site</v>
      </c>
    </row>
    <row r="491" ht="15.75" customHeight="1">
      <c r="A491" s="2">
        <v>3.0</v>
      </c>
      <c r="B491" s="2" t="s">
        <v>1452</v>
      </c>
      <c r="C491" s="2" t="s">
        <v>1453</v>
      </c>
      <c r="D491" s="2" t="s">
        <v>41</v>
      </c>
      <c r="E491" s="2" t="s">
        <v>21</v>
      </c>
      <c r="F491" s="2" t="s">
        <v>15</v>
      </c>
      <c r="G491" s="2" t="s">
        <v>1454</v>
      </c>
      <c r="H491" s="2" t="s">
        <v>118</v>
      </c>
      <c r="I491" s="2" t="str">
        <f>IFERROR(__xludf.DUMMYFUNCTION("GOOGLETRANSLATE(C491,""fr"",""en"")"),"To the honest laire to see if my profile remains accepted young driver! Not yet 3 years of permit to my credit, satisfactory price remains to be seen if it does not change.")</f>
        <v>To the honest laire to see if my profile remains accepted young driver! Not yet 3 years of permit to my credit, satisfactory price remains to be seen if it does not change.</v>
      </c>
    </row>
    <row r="492" ht="15.75" customHeight="1">
      <c r="A492" s="2">
        <v>1.0</v>
      </c>
      <c r="B492" s="2" t="s">
        <v>1455</v>
      </c>
      <c r="C492" s="2" t="s">
        <v>1456</v>
      </c>
      <c r="D492" s="2" t="s">
        <v>315</v>
      </c>
      <c r="E492" s="2" t="s">
        <v>14</v>
      </c>
      <c r="F492" s="2" t="s">
        <v>15</v>
      </c>
      <c r="G492" s="2" t="s">
        <v>755</v>
      </c>
      <c r="H492" s="2" t="s">
        <v>42</v>
      </c>
      <c r="I492" s="2" t="str">
        <f>IFERROR(__xludf.DUMMYFUNCTION("GOOGLETRANSLATE(C492,""fr"",""en"")"),"I had this mutual by a collective contract. I am no longer in the company since 12/13/2020 and therefore terminated from this mutual. But then since then, I have struggled to recover the contributions of December 2020 and January 2021 derived wrongly, as "&amp;"well as the reimbursement of the November contribution in Prrata.
I sent 4 emails since December no answer! On the phone, when I manage to have a person, the answers are ""it's in progress"", ""it's not logical"" and it is 8 days ago ""oh yes, I see that"&amp;" it is not done, I ask that the necessary be done sir ""....
But still nothing!
On the national site, I wanted to send a complaint but it does not work ""incorrect catchpa""
Finally only bad memory and not very well reimbursed in terms of care.")</f>
        <v>I had this mutual by a collective contract. I am no longer in the company since 12/13/2020 and therefore terminated from this mutual. But then since then, I have struggled to recover the contributions of December 2020 and January 2021 derived wrongly, as well as the reimbursement of the November contribution in Prrata.
I sent 4 emails since December no answer! On the phone, when I manage to have a person, the answers are "it's in progress", "it's not logical" and it is 8 days ago "oh yes, I see that it is not done, I ask that the necessary be done sir "....
But still nothing!
On the national site, I wanted to send a complaint but it does not work "incorrect catchpa"
Finally only bad memory and not very well reimbursed in terms of care.</v>
      </c>
    </row>
    <row r="493" ht="15.75" customHeight="1">
      <c r="A493" s="2">
        <v>5.0</v>
      </c>
      <c r="B493" s="2" t="s">
        <v>1457</v>
      </c>
      <c r="C493" s="2" t="s">
        <v>1458</v>
      </c>
      <c r="D493" s="2" t="s">
        <v>20</v>
      </c>
      <c r="E493" s="2" t="s">
        <v>21</v>
      </c>
      <c r="F493" s="2" t="s">
        <v>15</v>
      </c>
      <c r="G493" s="2" t="s">
        <v>1459</v>
      </c>
      <c r="H493" s="2" t="s">
        <v>47</v>
      </c>
      <c r="I493" s="2" t="str">
        <f>IFERROR(__xludf.DUMMYFUNCTION("GOOGLETRANSLATE(C493,""fr"",""en"")"),"The price is really at the top, cheap compared to competitor.
Customer service is attentive and really does what is necessary to satisfy the customer.")</f>
        <v>The price is really at the top, cheap compared to competitor.
Customer service is attentive and really does what is necessary to satisfy the customer.</v>
      </c>
    </row>
    <row r="494" ht="15.75" customHeight="1">
      <c r="A494" s="2">
        <v>5.0</v>
      </c>
      <c r="B494" s="2" t="s">
        <v>1460</v>
      </c>
      <c r="C494" s="2" t="s">
        <v>1461</v>
      </c>
      <c r="D494" s="2" t="s">
        <v>20</v>
      </c>
      <c r="E494" s="2" t="s">
        <v>21</v>
      </c>
      <c r="F494" s="2" t="s">
        <v>15</v>
      </c>
      <c r="G494" s="2" t="s">
        <v>1462</v>
      </c>
      <c r="H494" s="2" t="s">
        <v>1068</v>
      </c>
      <c r="I494" s="2" t="str">
        <f>IFERROR(__xludf.DUMMYFUNCTION("GOOGLETRANSLATE(C494,""fr"",""en"")"),"Very satisfied prices and explanations on the appointment, the site interface is simple and telephone interlocutor listening to the customer
I will recommend the olive tree")</f>
        <v>Very satisfied prices and explanations on the appointment, the site interface is simple and telephone interlocutor listening to the customer
I will recommend the olive tree</v>
      </c>
    </row>
    <row r="495" ht="15.75" customHeight="1">
      <c r="A495" s="2">
        <v>2.0</v>
      </c>
      <c r="B495" s="2" t="s">
        <v>1463</v>
      </c>
      <c r="C495" s="2" t="s">
        <v>1464</v>
      </c>
      <c r="D495" s="2" t="s">
        <v>41</v>
      </c>
      <c r="E495" s="2" t="s">
        <v>21</v>
      </c>
      <c r="F495" s="2" t="s">
        <v>15</v>
      </c>
      <c r="G495" s="2" t="s">
        <v>1465</v>
      </c>
      <c r="H495" s="2" t="s">
        <v>55</v>
      </c>
      <c r="I495" s="2" t="str">
        <f>IFERROR(__xludf.DUMMYFUNCTION("GOOGLETRANSLATE(C495,""fr"",""en"")"),"Thank you for welcoming my services it is too fast because I did three insurance contracts I would like to wake up a 2 Ford ranger cordially thank you see you soon")</f>
        <v>Thank you for welcoming my services it is too fast because I did three insurance contracts I would like to wake up a 2 Ford ranger cordially thank you see you soon</v>
      </c>
    </row>
    <row r="496" ht="15.75" customHeight="1">
      <c r="A496" s="2">
        <v>4.0</v>
      </c>
      <c r="B496" s="2" t="s">
        <v>1466</v>
      </c>
      <c r="C496" s="2" t="s">
        <v>1467</v>
      </c>
      <c r="D496" s="2" t="s">
        <v>41</v>
      </c>
      <c r="E496" s="2" t="s">
        <v>21</v>
      </c>
      <c r="F496" s="2" t="s">
        <v>15</v>
      </c>
      <c r="G496" s="2" t="s">
        <v>1468</v>
      </c>
      <c r="H496" s="2" t="s">
        <v>55</v>
      </c>
      <c r="I496" s="2" t="str">
        <f>IFERROR(__xludf.DUMMYFUNCTION("GOOGLETRANSLATE(C496,""fr"",""en"")"),"I am satisfied, the price suits me. Except that I have nothing more to add to this forced survey. Thank you now for letting me access my subscriber space")</f>
        <v>I am satisfied, the price suits me. Except that I have nothing more to add to this forced survey. Thank you now for letting me access my subscriber space</v>
      </c>
    </row>
    <row r="497" ht="15.75" customHeight="1">
      <c r="A497" s="2">
        <v>2.0</v>
      </c>
      <c r="B497" s="2" t="s">
        <v>1469</v>
      </c>
      <c r="C497" s="2" t="s">
        <v>1470</v>
      </c>
      <c r="D497" s="2" t="s">
        <v>41</v>
      </c>
      <c r="E497" s="2" t="s">
        <v>21</v>
      </c>
      <c r="F497" s="2" t="s">
        <v>15</v>
      </c>
      <c r="G497" s="2" t="s">
        <v>517</v>
      </c>
      <c r="H497" s="2" t="s">
        <v>55</v>
      </c>
      <c r="I497" s="2" t="str">
        <f>IFERROR(__xludf.DUMMYFUNCTION("GOOGLETRANSLATE(C497,""fr"",""en"")"),"We are asked additional elements that are not indicated when subscribing and we are forced to use a mobile application that we cannot have without a smartphone. I would not have subscribed to Direct Insurance with this condition if it had been brought to "&amp;"my knowledge")</f>
        <v>We are asked additional elements that are not indicated when subscribing and we are forced to use a mobile application that we cannot have without a smartphone. I would not have subscribed to Direct Insurance with this condition if it had been brought to my knowledge</v>
      </c>
    </row>
    <row r="498" ht="15.75" customHeight="1">
      <c r="A498" s="2">
        <v>1.0</v>
      </c>
      <c r="B498" s="2" t="s">
        <v>1471</v>
      </c>
      <c r="C498" s="2" t="s">
        <v>1472</v>
      </c>
      <c r="D498" s="2" t="s">
        <v>67</v>
      </c>
      <c r="E498" s="2" t="s">
        <v>21</v>
      </c>
      <c r="F498" s="2" t="s">
        <v>15</v>
      </c>
      <c r="G498" s="2" t="s">
        <v>1473</v>
      </c>
      <c r="H498" s="2" t="s">
        <v>407</v>
      </c>
      <c r="I498" s="2" t="str">
        <f>IFERROR(__xludf.DUMMYFUNCTION("GOOGLETRANSLATE(C498,""fr"",""en"")"),"It has been several years since I assured the MAAF, however having changed car recently I tried to reach the advisers in front of the clear increase in insurance. The advisers are unreachable, prices are much higher than other insurers. I find out to chan"&amp;"ge insurance for my Seat Arona")</f>
        <v>It has been several years since I assured the MAAF, however having changed car recently I tried to reach the advisers in front of the clear increase in insurance. The advisers are unreachable, prices are much higher than other insurers. I find out to change insurance for my Seat Arona</v>
      </c>
    </row>
    <row r="499" ht="15.75" customHeight="1">
      <c r="A499" s="2">
        <v>1.0</v>
      </c>
      <c r="B499" s="2" t="s">
        <v>1474</v>
      </c>
      <c r="C499" s="2" t="s">
        <v>1475</v>
      </c>
      <c r="D499" s="2" t="s">
        <v>31</v>
      </c>
      <c r="E499" s="2" t="s">
        <v>21</v>
      </c>
      <c r="F499" s="2" t="s">
        <v>15</v>
      </c>
      <c r="G499" s="2" t="s">
        <v>1476</v>
      </c>
      <c r="H499" s="2" t="s">
        <v>660</v>
      </c>
      <c r="I499" s="2" t="str">
        <f>IFERROR(__xludf.DUMMYFUNCTION("GOOGLETRANSLATE(C499,""fr"",""en"")"),"I strongly do not recommend Macif insurance, they are not serious, do not worry about the insured, they take too much time to resolve your errors made by themselves, they lie each time to calm you down. Know that at the time of paying are always deriere u"&amp;"s but when it is up to them to pay they take is time great ... The worst insurance that I had in my life. Strongly not recommended !!!")</f>
        <v>I strongly do not recommend Macif insurance, they are not serious, do not worry about the insured, they take too much time to resolve your errors made by themselves, they lie each time to calm you down. Know that at the time of paying are always deriere us but when it is up to them to pay they take is time great ... The worst insurance that I had in my life. Strongly not recommended !!!</v>
      </c>
    </row>
    <row r="500" ht="15.75" customHeight="1">
      <c r="A500" s="2">
        <v>3.0</v>
      </c>
      <c r="B500" s="2" t="s">
        <v>1477</v>
      </c>
      <c r="C500" s="2" t="s">
        <v>1478</v>
      </c>
      <c r="D500" s="2" t="s">
        <v>20</v>
      </c>
      <c r="E500" s="2" t="s">
        <v>21</v>
      </c>
      <c r="F500" s="2" t="s">
        <v>15</v>
      </c>
      <c r="G500" s="2" t="s">
        <v>1292</v>
      </c>
      <c r="H500" s="2" t="s">
        <v>23</v>
      </c>
      <c r="I500" s="2" t="str">
        <f>IFERROR(__xludf.DUMMYFUNCTION("GOOGLETRANSLATE(C500,""fr"",""en"")"),"Satisfied with the service and speed, simplicity and welcome from the Olivier Insurance.
I will recommend this service to my friends and loved ones, family, etc.")</f>
        <v>Satisfied with the service and speed, simplicity and welcome from the Olivier Insurance.
I will recommend this service to my friends and loved ones, family, etc.</v>
      </c>
    </row>
    <row r="501" ht="15.75" customHeight="1">
      <c r="A501" s="2">
        <v>2.0</v>
      </c>
      <c r="B501" s="2" t="s">
        <v>1479</v>
      </c>
      <c r="C501" s="2" t="s">
        <v>1480</v>
      </c>
      <c r="D501" s="2" t="s">
        <v>605</v>
      </c>
      <c r="E501" s="2" t="s">
        <v>195</v>
      </c>
      <c r="F501" s="2" t="s">
        <v>15</v>
      </c>
      <c r="G501" s="2" t="s">
        <v>1481</v>
      </c>
      <c r="H501" s="2" t="s">
        <v>407</v>
      </c>
      <c r="I501" s="2" t="str">
        <f>IFERROR(__xludf.DUMMYFUNCTION("GOOGLETRANSLATE(C501,""fr"",""en"")"),"In AT outside mission since 7-01-19 I am still awaiting additional compensation
")</f>
        <v>In AT outside mission since 7-01-19 I am still awaiting additional compensation
</v>
      </c>
    </row>
    <row r="502" ht="15.75" customHeight="1">
      <c r="A502" s="2">
        <v>2.0</v>
      </c>
      <c r="B502" s="2" t="s">
        <v>1482</v>
      </c>
      <c r="C502" s="2" t="s">
        <v>1483</v>
      </c>
      <c r="D502" s="2" t="s">
        <v>20</v>
      </c>
      <c r="E502" s="2" t="s">
        <v>21</v>
      </c>
      <c r="F502" s="2" t="s">
        <v>15</v>
      </c>
      <c r="G502" s="2" t="s">
        <v>1484</v>
      </c>
      <c r="H502" s="2" t="s">
        <v>134</v>
      </c>
      <c r="I502" s="2" t="str">
        <f>IFERROR(__xludf.DUMMYFUNCTION("GOOGLETRANSLATE(C502,""fr"",""en"")"),"Sinister flight open on May 31. Despite all the documents sent for 1 month now, no proposal has been made, there is no file compensation for the facts despite the law on the sinister flight. Avoid urgently")</f>
        <v>Sinister flight open on May 31. Despite all the documents sent for 1 month now, no proposal has been made, there is no file compensation for the facts despite the law on the sinister flight. Avoid urgently</v>
      </c>
    </row>
    <row r="503" ht="15.75" customHeight="1">
      <c r="A503" s="2">
        <v>4.0</v>
      </c>
      <c r="B503" s="2" t="s">
        <v>1485</v>
      </c>
      <c r="C503" s="2" t="s">
        <v>1486</v>
      </c>
      <c r="D503" s="2" t="s">
        <v>20</v>
      </c>
      <c r="E503" s="2" t="s">
        <v>21</v>
      </c>
      <c r="F503" s="2" t="s">
        <v>15</v>
      </c>
      <c r="G503" s="2" t="s">
        <v>96</v>
      </c>
      <c r="H503" s="2" t="s">
        <v>23</v>
      </c>
      <c r="I503" s="2" t="str">
        <f>IFERROR(__xludf.DUMMYFUNCTION("GOOGLETRANSLATE(C503,""fr"",""en"")"),"I’m satisfied with the service yet. The prices are very reasonable compared to other insurers. To see in the long term for services")</f>
        <v>I’m satisfied with the service yet. The prices are very reasonable compared to other insurers. To see in the long term for services</v>
      </c>
    </row>
    <row r="504" ht="15.75" customHeight="1">
      <c r="A504" s="2">
        <v>3.0</v>
      </c>
      <c r="B504" s="2" t="s">
        <v>1487</v>
      </c>
      <c r="C504" s="2" t="s">
        <v>1488</v>
      </c>
      <c r="D504" s="2" t="s">
        <v>41</v>
      </c>
      <c r="E504" s="2" t="s">
        <v>21</v>
      </c>
      <c r="F504" s="2" t="s">
        <v>15</v>
      </c>
      <c r="G504" s="2" t="s">
        <v>28</v>
      </c>
      <c r="H504" s="2" t="s">
        <v>28</v>
      </c>
      <c r="I504" s="2" t="str">
        <f>IFERROR(__xludf.DUMMYFUNCTION("GOOGLETRANSLATE(C504,""fr"",""en"")"),"I am not satisfied with the service offer despite the fact that the prices are attractive I cannot contact your contact for an error on my quote when all the information that was asking are correct, but impossible to join you I try everything The Direct I"&amp;"nsurance Number that I was able to find but no one at the end of the line.")</f>
        <v>I am not satisfied with the service offer despite the fact that the prices are attractive I cannot contact your contact for an error on my quote when all the information that was asking are correct, but impossible to join you I try everything The Direct Insurance Number that I was able to find but no one at the end of the line.</v>
      </c>
    </row>
    <row r="505" ht="15.75" customHeight="1">
      <c r="A505" s="2">
        <v>4.0</v>
      </c>
      <c r="B505" s="2" t="s">
        <v>1489</v>
      </c>
      <c r="C505" s="2" t="s">
        <v>1490</v>
      </c>
      <c r="D505" s="2" t="s">
        <v>20</v>
      </c>
      <c r="E505" s="2" t="s">
        <v>21</v>
      </c>
      <c r="F505" s="2" t="s">
        <v>15</v>
      </c>
      <c r="G505" s="2" t="s">
        <v>47</v>
      </c>
      <c r="H505" s="2" t="s">
        <v>47</v>
      </c>
      <c r="I505" s="2" t="str">
        <f>IFERROR(__xludf.DUMMYFUNCTION("GOOGLETRANSLATE(C505,""fr"",""en"")"),"I am satisfied with this service I recommend this service to other people this is a springboard for my future life for young drivers who acquire their first vehicle")</f>
        <v>I am satisfied with this service I recommend this service to other people this is a springboard for my future life for young drivers who acquire their first vehicle</v>
      </c>
    </row>
    <row r="506" ht="15.75" customHeight="1">
      <c r="A506" s="2">
        <v>1.0</v>
      </c>
      <c r="B506" s="2" t="s">
        <v>1491</v>
      </c>
      <c r="C506" s="2" t="s">
        <v>1492</v>
      </c>
      <c r="D506" s="2" t="s">
        <v>63</v>
      </c>
      <c r="E506" s="2" t="s">
        <v>14</v>
      </c>
      <c r="F506" s="2" t="s">
        <v>15</v>
      </c>
      <c r="G506" s="2" t="s">
        <v>1493</v>
      </c>
      <c r="H506" s="2" t="s">
        <v>282</v>
      </c>
      <c r="I506" s="2" t="str">
        <f>IFERROR(__xludf.DUMMYFUNCTION("GOOGLETRANSLATE(C506,""fr"",""en"")"),"A catastrophe this mutual. I await a refund of more than 1000 euros which has been validated but which I have bizarrely never received, and this for several months and it is impossible to join an interlocutor capable of solving the problem.")</f>
        <v>A catastrophe this mutual. I await a refund of more than 1000 euros which has been validated but which I have bizarrely never received, and this for several months and it is impossible to join an interlocutor capable of solving the problem.</v>
      </c>
    </row>
    <row r="507" ht="15.75" customHeight="1">
      <c r="A507" s="2">
        <v>5.0</v>
      </c>
      <c r="B507" s="2" t="s">
        <v>1494</v>
      </c>
      <c r="C507" s="2" t="s">
        <v>1495</v>
      </c>
      <c r="D507" s="2" t="s">
        <v>20</v>
      </c>
      <c r="E507" s="2" t="s">
        <v>21</v>
      </c>
      <c r="F507" s="2" t="s">
        <v>15</v>
      </c>
      <c r="G507" s="2" t="s">
        <v>1496</v>
      </c>
      <c r="H507" s="2" t="s">
        <v>51</v>
      </c>
      <c r="I507" s="2" t="str">
        <f>IFERROR(__xludf.DUMMYFUNCTION("GOOGLETRANSLATE(C507,""fr"",""en"")"),"Young driver insurance at the lowest with good warranty and super attentive advisor I can recommend my eyes to close to my loved ones for their future insurance")</f>
        <v>Young driver insurance at the lowest with good warranty and super attentive advisor I can recommend my eyes to close to my loved ones for their future insurance</v>
      </c>
    </row>
    <row r="508" ht="15.75" customHeight="1">
      <c r="A508" s="2">
        <v>5.0</v>
      </c>
      <c r="B508" s="2" t="s">
        <v>1497</v>
      </c>
      <c r="C508" s="2" t="s">
        <v>1498</v>
      </c>
      <c r="D508" s="2" t="s">
        <v>20</v>
      </c>
      <c r="E508" s="2" t="s">
        <v>21</v>
      </c>
      <c r="F508" s="2" t="s">
        <v>15</v>
      </c>
      <c r="G508" s="2" t="s">
        <v>381</v>
      </c>
      <c r="H508" s="2" t="s">
        <v>51</v>
      </c>
      <c r="I508" s="2" t="str">
        <f>IFERROR(__xludf.DUMMYFUNCTION("GOOGLETRANSLATE(C508,""fr"",""en"")"),"I satisfy my auto guaranteed contract. And I am satisfied with my closes of my car contract and my warranty.
Thanks. Cordially.")</f>
        <v>I satisfy my auto guaranteed contract. And I am satisfied with my closes of my car contract and my warranty.
Thanks. Cordially.</v>
      </c>
    </row>
    <row r="509" ht="15.75" customHeight="1">
      <c r="A509" s="2">
        <v>4.0</v>
      </c>
      <c r="B509" s="2" t="s">
        <v>1499</v>
      </c>
      <c r="C509" s="2" t="s">
        <v>1500</v>
      </c>
      <c r="D509" s="2" t="s">
        <v>41</v>
      </c>
      <c r="E509" s="2" t="s">
        <v>21</v>
      </c>
      <c r="F509" s="2" t="s">
        <v>15</v>
      </c>
      <c r="G509" s="2" t="s">
        <v>543</v>
      </c>
      <c r="H509" s="2" t="s">
        <v>74</v>
      </c>
      <c r="I509" s="2" t="str">
        <f>IFERROR(__xludf.DUMMYFUNCTION("GOOGLETRANSLATE(C509,""fr"",""en"")"),"I am satisfied with the fluidity of your process and also the multiple choices that you offer as well as the different prices that comes with the offers")</f>
        <v>I am satisfied with the fluidity of your process and also the multiple choices that you offer as well as the different prices that comes with the offers</v>
      </c>
    </row>
    <row r="510" ht="15.75" customHeight="1">
      <c r="A510" s="2">
        <v>1.0</v>
      </c>
      <c r="B510" s="2" t="s">
        <v>1501</v>
      </c>
      <c r="C510" s="2" t="s">
        <v>1502</v>
      </c>
      <c r="D510" s="2" t="s">
        <v>26</v>
      </c>
      <c r="E510" s="2" t="s">
        <v>14</v>
      </c>
      <c r="F510" s="2" t="s">
        <v>15</v>
      </c>
      <c r="G510" s="2" t="s">
        <v>1503</v>
      </c>
      <c r="H510" s="2" t="s">
        <v>269</v>
      </c>
      <c r="I510" s="2" t="str">
        <f>IFERROR(__xludf.DUMMYFUNCTION("GOOGLETRANSLATE(C510,""fr"",""en"")"),"I made a request for my company in May 2019, I was able to have the file in July 2019 that I completed in stride .... to see the compulsory business side of the company finally settled in December 2019. There we no longer find the request for provident wh"&amp;"o accompanied him ... LAMENTABLE")</f>
        <v>I made a request for my company in May 2019, I was able to have the file in July 2019 that I completed in stride .... to see the compulsory business side of the company finally settled in December 2019. There we no longer find the request for provident who accompanied him ... LAMENTABLE</v>
      </c>
    </row>
    <row r="511" ht="15.75" customHeight="1">
      <c r="A511" s="2">
        <v>2.0</v>
      </c>
      <c r="B511" s="2" t="s">
        <v>1504</v>
      </c>
      <c r="C511" s="2" t="s">
        <v>1505</v>
      </c>
      <c r="D511" s="2" t="s">
        <v>41</v>
      </c>
      <c r="E511" s="2" t="s">
        <v>21</v>
      </c>
      <c r="F511" s="2" t="s">
        <v>15</v>
      </c>
      <c r="G511" s="2" t="s">
        <v>392</v>
      </c>
      <c r="H511" s="2" t="s">
        <v>74</v>
      </c>
      <c r="I511" s="2" t="str">
        <f>IFERROR(__xludf.DUMMYFUNCTION("GOOGLETRANSLATE(C511,""fr"",""en"")"),"Well but it remains expensive for the cheapest insurance on the market. I hope the prices will not evolve. thanks in advance
Have a good day
Cordially")</f>
        <v>Well but it remains expensive for the cheapest insurance on the market. I hope the prices will not evolve. thanks in advance
Have a good day
Cordially</v>
      </c>
    </row>
    <row r="512" ht="15.75" customHeight="1">
      <c r="A512" s="2">
        <v>1.0</v>
      </c>
      <c r="B512" s="2" t="s">
        <v>1506</v>
      </c>
      <c r="C512" s="2" t="s">
        <v>1507</v>
      </c>
      <c r="D512" s="2" t="s">
        <v>395</v>
      </c>
      <c r="E512" s="2" t="s">
        <v>21</v>
      </c>
      <c r="F512" s="2" t="s">
        <v>15</v>
      </c>
      <c r="G512" s="2" t="s">
        <v>1508</v>
      </c>
      <c r="H512" s="2" t="s">
        <v>38</v>
      </c>
      <c r="I512" s="2" t="str">
        <f>IFERROR(__xludf.DUMMYFUNCTION("GOOGLETRANSLATE(C512,""fr"",""en"")"),"I have been insured for my car at Axa for over 7 years now.
In ""all risks"". Correct monthly payment at the start .... but change of collaborator and BAM The price changes expodentially.
But above all =&gt; in 7 years 1 sinister (December 2019) not resp"&amp;"onsible. I have been waiting for a refund since that day .... nothing nada ... you pay but the day you have a glitch they are not there for you
I called the opposing part myself and I made things move in 5 minutes faster than them in 1 year.
")</f>
        <v>I have been insured for my car at Axa for over 7 years now.
In "all risks". Correct monthly payment at the start .... but change of collaborator and BAM The price changes expodentially.
But above all =&gt; in 7 years 1 sinister (December 2019) not responsible. I have been waiting for a refund since that day .... nothing nada ... you pay but the day you have a glitch they are not there for you
I called the opposing part myself and I made things move in 5 minutes faster than them in 1 year.
</v>
      </c>
    </row>
    <row r="513" ht="15.75" customHeight="1">
      <c r="A513" s="2">
        <v>3.0</v>
      </c>
      <c r="B513" s="2" t="s">
        <v>1509</v>
      </c>
      <c r="C513" s="2" t="s">
        <v>1510</v>
      </c>
      <c r="D513" s="2" t="s">
        <v>172</v>
      </c>
      <c r="E513" s="2" t="s">
        <v>14</v>
      </c>
      <c r="F513" s="2" t="s">
        <v>15</v>
      </c>
      <c r="G513" s="2" t="s">
        <v>1280</v>
      </c>
      <c r="H513" s="2" t="s">
        <v>231</v>
      </c>
      <c r="I513" s="2" t="str">
        <f>IFERROR(__xludf.DUMMYFUNCTION("GOOGLETRANSLATE(C513,""fr"",""en"")"),"friendly staff and available on the phone listen to the documents are sent on time")</f>
        <v>friendly staff and available on the phone listen to the documents are sent on time</v>
      </c>
    </row>
    <row r="514" ht="15.75" customHeight="1">
      <c r="A514" s="2">
        <v>1.0</v>
      </c>
      <c r="B514" s="2" t="s">
        <v>1511</v>
      </c>
      <c r="C514" s="2" t="s">
        <v>1512</v>
      </c>
      <c r="D514" s="2" t="s">
        <v>41</v>
      </c>
      <c r="E514" s="2" t="s">
        <v>21</v>
      </c>
      <c r="F514" s="2" t="s">
        <v>15</v>
      </c>
      <c r="G514" s="2" t="s">
        <v>288</v>
      </c>
      <c r="H514" s="2" t="s">
        <v>42</v>
      </c>
      <c r="I514" s="2" t="str">
        <f>IFERROR(__xludf.DUMMYFUNCTION("GOOGLETRANSLATE(C514,""fr"",""en"")"),"For my future accommodation: price more than double !!! From what I am also offered with exactly the same guarantees and guaranteed furniture capital of € 50k less !!!
... and this price is twice as important than my current price at home for a smaller h"&amp;"ouse !!!
Big big doubt (to say the least) about your pricing practices ... I ask for an explanation !!!")</f>
        <v>For my future accommodation: price more than double !!! From what I am also offered with exactly the same guarantees and guaranteed furniture capital of € 50k less !!!
... and this price is twice as important than my current price at home for a smaller house !!!
Big big doubt (to say the least) about your pricing practices ... I ask for an explanation !!!</v>
      </c>
    </row>
    <row r="515" ht="15.75" customHeight="1">
      <c r="A515" s="2">
        <v>1.0</v>
      </c>
      <c r="B515" s="2" t="s">
        <v>1513</v>
      </c>
      <c r="C515" s="2" t="s">
        <v>1514</v>
      </c>
      <c r="D515" s="2" t="s">
        <v>41</v>
      </c>
      <c r="E515" s="2" t="s">
        <v>21</v>
      </c>
      <c r="F515" s="2" t="s">
        <v>15</v>
      </c>
      <c r="G515" s="2" t="s">
        <v>1515</v>
      </c>
      <c r="H515" s="2" t="s">
        <v>292</v>
      </c>
      <c r="I515" s="2" t="str">
        <f>IFERROR(__xludf.DUMMYFUNCTION("GOOGLETRANSLATE(C515,""fr"",""en"")"),"Very disappointed with this insurer: attractive prices at first but better your steps have a problem or accident because the prices increase very quickly. Besides, even without that the insurer allows himself to increase the prices each year without real "&amp;"reason. I asked 5 days ago to make a point on my situation, I am still waiting for a advisor to remind me (the appointment was scheduled 3 days ago at 12:00). By waiting I continue to pay € 142 per month for a 2008 Nissan Micra which parks in a closed gar"&amp;"age all week ...")</f>
        <v>Very disappointed with this insurer: attractive prices at first but better your steps have a problem or accident because the prices increase very quickly. Besides, even without that the insurer allows himself to increase the prices each year without real reason. I asked 5 days ago to make a point on my situation, I am still waiting for a advisor to remind me (the appointment was scheduled 3 days ago at 12:00). By waiting I continue to pay € 142 per month for a 2008 Nissan Micra which parks in a closed garage all week ...</v>
      </c>
    </row>
    <row r="516" ht="15.75" customHeight="1">
      <c r="A516" s="2">
        <v>4.0</v>
      </c>
      <c r="B516" s="2" t="s">
        <v>1516</v>
      </c>
      <c r="C516" s="2" t="s">
        <v>1517</v>
      </c>
      <c r="D516" s="2" t="s">
        <v>20</v>
      </c>
      <c r="E516" s="2" t="s">
        <v>21</v>
      </c>
      <c r="F516" s="2" t="s">
        <v>15</v>
      </c>
      <c r="G516" s="2" t="s">
        <v>514</v>
      </c>
      <c r="H516" s="2" t="s">
        <v>465</v>
      </c>
      <c r="I516" s="2" t="str">
        <f>IFERROR(__xludf.DUMMYFUNCTION("GOOGLETRANSLATE(C516,""fr"",""en"")"),"I was completely compensated while initially I should have paid a deductible of € 800. The approved garage has done a remarkable work in every way. I had a replacement vehicle for the duration of the repair which lasted more than a week.")</f>
        <v>I was completely compensated while initially I should have paid a deductible of € 800. The approved garage has done a remarkable work in every way. I had a replacement vehicle for the duration of the repair which lasted more than a week.</v>
      </c>
    </row>
    <row r="517" ht="15.75" customHeight="1">
      <c r="A517" s="2">
        <v>3.0</v>
      </c>
      <c r="B517" s="2" t="s">
        <v>1518</v>
      </c>
      <c r="C517" s="2" t="s">
        <v>1519</v>
      </c>
      <c r="D517" s="2" t="s">
        <v>41</v>
      </c>
      <c r="E517" s="2" t="s">
        <v>21</v>
      </c>
      <c r="F517" s="2" t="s">
        <v>15</v>
      </c>
      <c r="G517" s="2" t="s">
        <v>1520</v>
      </c>
      <c r="H517" s="2" t="s">
        <v>134</v>
      </c>
      <c r="I517" s="2" t="str">
        <f>IFERROR(__xludf.DUMMYFUNCTION("GOOGLETRANSLATE(C517,""fr"",""en"")"),"Hello thank you for sending me in time my reduction of -50euro.
The last time I had to wait for several weeks and relaunch you several times")</f>
        <v>Hello thank you for sending me in time my reduction of -50euro.
The last time I had to wait for several weeks and relaunch you several times</v>
      </c>
    </row>
    <row r="518" ht="15.75" customHeight="1">
      <c r="A518" s="2">
        <v>1.0</v>
      </c>
      <c r="B518" s="2" t="s">
        <v>1521</v>
      </c>
      <c r="C518" s="2" t="s">
        <v>1522</v>
      </c>
      <c r="D518" s="2" t="s">
        <v>31</v>
      </c>
      <c r="E518" s="2" t="s">
        <v>21</v>
      </c>
      <c r="F518" s="2" t="s">
        <v>15</v>
      </c>
      <c r="G518" s="2" t="s">
        <v>1523</v>
      </c>
      <c r="H518" s="2" t="s">
        <v>292</v>
      </c>
      <c r="I518" s="2" t="str">
        <f>IFERROR(__xludf.DUMMYFUNCTION("GOOGLETRANSLATE(C518,""fr"",""en"")")," Insurer to avoid at all costs! After a car accident on the highway with a 60 tonnes which was inserted on my track did not see me (so the third person has fully recognized its wrongs with PV of the police at the support and witnesses). The third party be"&amp;"ing Belgian the Macif did not move a finger when I called the sinister service I was broken from number to number so that I exhausted myself. I had to call on a Legal aid to have a first contact with third -party insurance who was the GMF in this specific"&amp;" case. FINALLY, I had to hire a lawyer from my pocket to defend my file which should have been managed by my insurer La Macif.M Vehicle who went to scratch following the accident was not reimbursed to me or the lawyers' fees alone was a ridiculous sum was"&amp;" granted to me. I immediately terminated this insurer which was more a ball and a chasm Financial that anything else! To avoid! If I had been able to put zero stars I would have done it. Make never the Macif!")</f>
        <v> Insurer to avoid at all costs! After a car accident on the highway with a 60 tonnes which was inserted on my track did not see me (so the third person has fully recognized its wrongs with PV of the police at the support and witnesses). The third party being Belgian the Macif did not move a finger when I called the sinister service I was broken from number to number so that I exhausted myself. I had to call on a Legal aid to have a first contact with third -party insurance who was the GMF in this specific case. FINALLY, I had to hire a lawyer from my pocket to defend my file which should have been managed by my insurer La Macif.M Vehicle who went to scratch following the accident was not reimbursed to me or the lawyers' fees alone was a ridiculous sum was granted to me. I immediately terminated this insurer which was more a ball and a chasm Financial that anything else! To avoid! If I had been able to put zero stars I would have done it. Make never the Macif!</v>
      </c>
    </row>
    <row r="519" ht="15.75" customHeight="1">
      <c r="A519" s="2">
        <v>4.0</v>
      </c>
      <c r="B519" s="2" t="s">
        <v>1524</v>
      </c>
      <c r="C519" s="2" t="s">
        <v>1525</v>
      </c>
      <c r="D519" s="2" t="s">
        <v>1109</v>
      </c>
      <c r="E519" s="2" t="s">
        <v>195</v>
      </c>
      <c r="F519" s="2" t="s">
        <v>15</v>
      </c>
      <c r="G519" s="2" t="s">
        <v>1207</v>
      </c>
      <c r="H519" s="2" t="s">
        <v>134</v>
      </c>
      <c r="I519" s="2" t="str">
        <f>IFERROR(__xludf.DUMMYFUNCTION("GOOGLETRANSLATE(C519,""fr"",""en"")"),"I have been at La Carac since 2016 and am very satisfied, I have a sum placed since on a Carac Savings account in euros that I have just switched to an account with a majority of account units (shares) much more profitable. My advisor came to my house and"&amp;" did this with her computer. Before that I needed half my capital for an emergency and the Carac quickly unlocked the funds. For me it's 20/20 for now.")</f>
        <v>I have been at La Carac since 2016 and am very satisfied, I have a sum placed since on a Carac Savings account in euros that I have just switched to an account with a majority of account units (shares) much more profitable. My advisor came to my house and did this with her computer. Before that I needed half my capital for an emergency and the Carac quickly unlocked the funds. For me it's 20/20 for now.</v>
      </c>
    </row>
    <row r="520" ht="15.75" customHeight="1">
      <c r="A520" s="2">
        <v>1.0</v>
      </c>
      <c r="B520" s="2" t="s">
        <v>1526</v>
      </c>
      <c r="C520" s="2" t="s">
        <v>1527</v>
      </c>
      <c r="D520" s="2" t="s">
        <v>1528</v>
      </c>
      <c r="E520" s="2" t="s">
        <v>1529</v>
      </c>
      <c r="F520" s="2" t="s">
        <v>15</v>
      </c>
      <c r="G520" s="2" t="s">
        <v>487</v>
      </c>
      <c r="H520" s="2" t="s">
        <v>28</v>
      </c>
      <c r="I520" s="2" t="str">
        <f>IFERROR(__xludf.DUMMYFUNCTION("GOOGLETRANSLATE(C520,""fr"",""en"")"),"Lsa brokerage is that it does not answer in the delays collects your bonuses but does not advise theness it is unacceptable this incompetence and this lack of seriousness: we take your money but we do not credit your bills !!!!")</f>
        <v>Lsa brokerage is that it does not answer in the delays collects your bonuses but does not advise theness it is unacceptable this incompetence and this lack of seriousness: we take your money but we do not credit your bills !!!!</v>
      </c>
    </row>
    <row r="521" ht="15.75" customHeight="1">
      <c r="A521" s="2">
        <v>2.0</v>
      </c>
      <c r="B521" s="2" t="s">
        <v>1530</v>
      </c>
      <c r="C521" s="2" t="s">
        <v>1531</v>
      </c>
      <c r="D521" s="2" t="s">
        <v>164</v>
      </c>
      <c r="E521" s="2" t="s">
        <v>21</v>
      </c>
      <c r="F521" s="2" t="s">
        <v>15</v>
      </c>
      <c r="G521" s="2" t="s">
        <v>1532</v>
      </c>
      <c r="H521" s="2" t="s">
        <v>88</v>
      </c>
      <c r="I521" s="2" t="str">
        <f>IFERROR(__xludf.DUMMYFUNCTION("GOOGLETRANSLATE(C521,""fr"",""en"")"),"Flee this insurance before having a disaster !! Otherwise it is the beginning of a financial loss due to non -reimbursement, they always have the right excuse for not paying !!!!.")</f>
        <v>Flee this insurance before having a disaster !! Otherwise it is the beginning of a financial loss due to non -reimbursement, they always have the right excuse for not paying !!!!.</v>
      </c>
    </row>
    <row r="522" ht="15.75" customHeight="1">
      <c r="A522" s="2">
        <v>4.0</v>
      </c>
      <c r="B522" s="2" t="s">
        <v>1533</v>
      </c>
      <c r="C522" s="2" t="s">
        <v>1534</v>
      </c>
      <c r="D522" s="2" t="s">
        <v>41</v>
      </c>
      <c r="E522" s="2" t="s">
        <v>21</v>
      </c>
      <c r="F522" s="2" t="s">
        <v>15</v>
      </c>
      <c r="G522" s="2" t="s">
        <v>559</v>
      </c>
      <c r="H522" s="2" t="s">
        <v>560</v>
      </c>
      <c r="I522" s="2" t="str">
        <f>IFERROR(__xludf.DUMMYFUNCTION("GOOGLETRANSLATE(C522,""fr"",""en"")"),"One of the cheapest insurance on the market
The service is up to the market expected (but therefore at prices generally lower than the equivalent to competition)
Last disaster e, DEC 2012, support from start to finish")</f>
        <v>One of the cheapest insurance on the market
The service is up to the market expected (but therefore at prices generally lower than the equivalent to competition)
Last disaster e, DEC 2012, support from start to finish</v>
      </c>
    </row>
    <row r="523" ht="15.75" customHeight="1">
      <c r="A523" s="2">
        <v>2.0</v>
      </c>
      <c r="B523" s="2" t="s">
        <v>1535</v>
      </c>
      <c r="C523" s="2" t="s">
        <v>1536</v>
      </c>
      <c r="D523" s="2" t="s">
        <v>20</v>
      </c>
      <c r="E523" s="2" t="s">
        <v>21</v>
      </c>
      <c r="F523" s="2" t="s">
        <v>15</v>
      </c>
      <c r="G523" s="2" t="s">
        <v>988</v>
      </c>
      <c r="H523" s="2" t="s">
        <v>1068</v>
      </c>
      <c r="I523" s="2" t="str">
        <f>IFERROR(__xludf.DUMMYFUNCTION("GOOGLETRANSLATE(C523,""fr"",""en"")"),"Very good customer advisor, very good honest and fair advice. Too bad for aberrant franchise in the event of a vehicle loan. Not clear loan vehicle nothing written on contract !!!
")</f>
        <v>Very good customer advisor, very good honest and fair advice. Too bad for aberrant franchise in the event of a vehicle loan. Not clear loan vehicle nothing written on contract !!!
</v>
      </c>
    </row>
    <row r="524" ht="15.75" customHeight="1">
      <c r="A524" s="2">
        <v>1.0</v>
      </c>
      <c r="B524" s="2" t="s">
        <v>1537</v>
      </c>
      <c r="C524" s="2" t="s">
        <v>1538</v>
      </c>
      <c r="D524" s="2" t="s">
        <v>108</v>
      </c>
      <c r="E524" s="2" t="s">
        <v>21</v>
      </c>
      <c r="F524" s="2" t="s">
        <v>15</v>
      </c>
      <c r="G524" s="2" t="s">
        <v>412</v>
      </c>
      <c r="H524" s="2" t="s">
        <v>412</v>
      </c>
      <c r="I524" s="2" t="str">
        <f>IFERROR(__xludf.DUMMYFUNCTION("GOOGLETRANSLATE(C524,""fr"",""en"")"),"I wonder how they can go from 0.72 to 0.90
I am 30 years old and all my head I can read and write
But I do not see 0.90 on my information reported.
I may have had to read the opinions before subscribing.
")</f>
        <v>I wonder how they can go from 0.72 to 0.90
I am 30 years old and all my head I can read and write
But I do not see 0.90 on my information reported.
I may have had to read the opinions before subscribing.
</v>
      </c>
    </row>
    <row r="525" ht="15.75" customHeight="1">
      <c r="A525" s="2">
        <v>5.0</v>
      </c>
      <c r="B525" s="2" t="s">
        <v>1539</v>
      </c>
      <c r="C525" s="2" t="s">
        <v>1540</v>
      </c>
      <c r="D525" s="2" t="s">
        <v>150</v>
      </c>
      <c r="E525" s="2" t="s">
        <v>122</v>
      </c>
      <c r="F525" s="2" t="s">
        <v>15</v>
      </c>
      <c r="G525" s="2" t="s">
        <v>1541</v>
      </c>
      <c r="H525" s="2" t="s">
        <v>28</v>
      </c>
      <c r="I525" s="2" t="str">
        <f>IFERROR(__xludf.DUMMYFUNCTION("GOOGLETRANSLATE(C525,""fr"",""en"")"),"Interesting rates. Hoping that the quality of service is there. Easy subscription. Clear and practical
The rest will say if unfortunately a disaster arrived")</f>
        <v>Interesting rates. Hoping that the quality of service is there. Easy subscription. Clear and practical
The rest will say if unfortunately a disaster arrived</v>
      </c>
    </row>
    <row r="526" ht="15.75" customHeight="1">
      <c r="A526" s="2">
        <v>1.0</v>
      </c>
      <c r="B526" s="2" t="s">
        <v>1542</v>
      </c>
      <c r="C526" s="2" t="s">
        <v>1543</v>
      </c>
      <c r="D526" s="2" t="s">
        <v>395</v>
      </c>
      <c r="E526" s="2" t="s">
        <v>58</v>
      </c>
      <c r="F526" s="2" t="s">
        <v>15</v>
      </c>
      <c r="G526" s="2" t="s">
        <v>1544</v>
      </c>
      <c r="H526" s="2" t="s">
        <v>560</v>
      </c>
      <c r="I526" s="2" t="str">
        <f>IFERROR(__xludf.DUMMYFUNCTION("GOOGLETRANSLATE(C526,""fr"",""en"")"),"Catnat Dryresse The Elex expert does not answer AXA does not answer Axa awaits the report of the expert for cracked pool, empty for 3 months and not a word is to make fun of the world insured for 40 years at AXA is The first time I have a serious problem."&amp;" What to do except to cancel all my contracts and request a summary proceedings")</f>
        <v>Catnat Dryresse The Elex expert does not answer AXA does not answer Axa awaits the report of the expert for cracked pool, empty for 3 months and not a word is to make fun of the world insured for 40 years at AXA is The first time I have a serious problem. What to do except to cancel all my contracts and request a summary proceedings</v>
      </c>
    </row>
    <row r="527" ht="15.75" customHeight="1">
      <c r="A527" s="2">
        <v>5.0</v>
      </c>
      <c r="B527" s="2" t="s">
        <v>1545</v>
      </c>
      <c r="C527" s="2" t="s">
        <v>1546</v>
      </c>
      <c r="D527" s="2" t="s">
        <v>20</v>
      </c>
      <c r="E527" s="2" t="s">
        <v>21</v>
      </c>
      <c r="F527" s="2" t="s">
        <v>15</v>
      </c>
      <c r="G527" s="2" t="s">
        <v>619</v>
      </c>
      <c r="H527" s="2" t="s">
        <v>74</v>
      </c>
      <c r="I527" s="2" t="str">
        <f>IFERROR(__xludf.DUMMYFUNCTION("GOOGLETRANSLATE(C527,""fr"",""en"")"),"I had a very pleasant and competent advisor that perfectly informed me about all my requests.
Very professional and courteous.
I recommend the olive assurance.")</f>
        <v>I had a very pleasant and competent advisor that perfectly informed me about all my requests.
Very professional and courteous.
I recommend the olive assurance.</v>
      </c>
    </row>
    <row r="528" ht="15.75" customHeight="1">
      <c r="A528" s="2">
        <v>1.0</v>
      </c>
      <c r="B528" s="2" t="s">
        <v>1547</v>
      </c>
      <c r="C528" s="2" t="s">
        <v>1548</v>
      </c>
      <c r="D528" s="2" t="s">
        <v>315</v>
      </c>
      <c r="E528" s="2" t="s">
        <v>14</v>
      </c>
      <c r="F528" s="2" t="s">
        <v>15</v>
      </c>
      <c r="G528" s="2" t="s">
        <v>836</v>
      </c>
      <c r="H528" s="2" t="s">
        <v>42</v>
      </c>
      <c r="I528" s="2" t="str">
        <f>IFERROR(__xludf.DUMMYFUNCTION("GOOGLETRANSLATE(C528,""fr"",""en"")"),"Ashamed !
I have been waiting for an estimate of quotes since February 4, 2021!
Relances on reminders on the member space, no answer !! What is this space for?
Repeated telephone calls: Interminable - shabby - or incompetence of agents who can do nothi"&amp;"ng for you, otherwise ""bring up the complaint"" which does not seem to want to surface ...
No response to my registered letter (5 euros) meaning my dissatisfaction.
So I will terminate
")</f>
        <v>Ashamed !
I have been waiting for an estimate of quotes since February 4, 2021!
Relances on reminders on the member space, no answer !! What is this space for?
Repeated telephone calls: Interminable - shabby - or incompetence of agents who can do nothing for you, otherwise "bring up the complaint" which does not seem to want to surface ...
No response to my registered letter (5 euros) meaning my dissatisfaction.
So I will terminate
</v>
      </c>
    </row>
    <row r="529" ht="15.75" customHeight="1">
      <c r="A529" s="2">
        <v>5.0</v>
      </c>
      <c r="B529" s="2" t="s">
        <v>1549</v>
      </c>
      <c r="C529" s="2" t="s">
        <v>1550</v>
      </c>
      <c r="D529" s="2" t="s">
        <v>41</v>
      </c>
      <c r="E529" s="2" t="s">
        <v>21</v>
      </c>
      <c r="F529" s="2" t="s">
        <v>15</v>
      </c>
      <c r="G529" s="2" t="s">
        <v>23</v>
      </c>
      <c r="H529" s="2" t="s">
        <v>23</v>
      </c>
      <c r="I529" s="2" t="str">
        <f>IFERROR(__xludf.DUMMYFUNCTION("GOOGLETRANSLATE(C529,""fr"",""en"")"),"I am satisfied with the price. The quote is done quickly and simply without any complications. All important information and in particular franchises is indicated without needing to read the small lines. Simple and efficient, I recommend direct insurance!")</f>
        <v>I am satisfied with the price. The quote is done quickly and simply without any complications. All important information and in particular franchises is indicated without needing to read the small lines. Simple and efficient, I recommend direct insurance!</v>
      </c>
    </row>
    <row r="530" ht="15.75" customHeight="1">
      <c r="A530" s="2">
        <v>5.0</v>
      </c>
      <c r="B530" s="2" t="s">
        <v>1551</v>
      </c>
      <c r="C530" s="2" t="s">
        <v>1552</v>
      </c>
      <c r="D530" s="2" t="s">
        <v>20</v>
      </c>
      <c r="E530" s="2" t="s">
        <v>21</v>
      </c>
      <c r="F530" s="2" t="s">
        <v>15</v>
      </c>
      <c r="G530" s="2" t="s">
        <v>675</v>
      </c>
      <c r="H530" s="2" t="s">
        <v>51</v>
      </c>
      <c r="I530" s="2" t="str">
        <f>IFERROR(__xludf.DUMMYFUNCTION("GOOGLETRANSLATE(C530,""fr"",""en"")"),"I am satisfied with the service. I was offered an offer adapted to my budget and my needs.
Reception, listening and value for money, I highly recommend the olive tree.")</f>
        <v>I am satisfied with the service. I was offered an offer adapted to my budget and my needs.
Reception, listening and value for money, I highly recommend the olive tree.</v>
      </c>
    </row>
    <row r="531" ht="15.75" customHeight="1">
      <c r="A531" s="2">
        <v>3.0</v>
      </c>
      <c r="B531" s="2" t="s">
        <v>1553</v>
      </c>
      <c r="C531" s="2" t="s">
        <v>1554</v>
      </c>
      <c r="D531" s="2" t="s">
        <v>72</v>
      </c>
      <c r="E531" s="2" t="s">
        <v>21</v>
      </c>
      <c r="F531" s="2" t="s">
        <v>15</v>
      </c>
      <c r="G531" s="2" t="s">
        <v>1555</v>
      </c>
      <c r="H531" s="2" t="s">
        <v>166</v>
      </c>
      <c r="I531" s="2" t="str">
        <f>IFERROR(__xludf.DUMMYFUNCTION("GOOGLETRANSLATE(C531,""fr"",""en"")"),"I had a non -pay, and to come back to it I am asked to pay cash 500E the year without being able to manage just to pay when my bonus is 0.68 and never an accident in 7 years")</f>
        <v>I had a non -pay, and to come back to it I am asked to pay cash 500E the year without being able to manage just to pay when my bonus is 0.68 and never an accident in 7 years</v>
      </c>
    </row>
    <row r="532" ht="15.75" customHeight="1">
      <c r="A532" s="2">
        <v>5.0</v>
      </c>
      <c r="B532" s="2" t="s">
        <v>1556</v>
      </c>
      <c r="C532" s="2" t="s">
        <v>1557</v>
      </c>
      <c r="D532" s="2" t="s">
        <v>31</v>
      </c>
      <c r="E532" s="2" t="s">
        <v>21</v>
      </c>
      <c r="F532" s="2" t="s">
        <v>15</v>
      </c>
      <c r="G532" s="2" t="s">
        <v>1451</v>
      </c>
      <c r="H532" s="2" t="s">
        <v>42</v>
      </c>
      <c r="I532" s="2" t="str">
        <f>IFERROR(__xludf.DUMMYFUNCTION("GOOGLETRANSLATE(C532,""fr"",""en"")"),"21 years that I am at home.
All is for the best. do not take the head, have the most competitive prices among.
For a reduction or advantages in vouchers, feel free to give my societary number: (Numero 881 739 1)")</f>
        <v>21 years that I am at home.
All is for the best. do not take the head, have the most competitive prices among.
For a reduction or advantages in vouchers, feel free to give my societary number: (Numero 881 739 1)</v>
      </c>
    </row>
    <row r="533" ht="15.75" customHeight="1">
      <c r="A533" s="2">
        <v>2.0</v>
      </c>
      <c r="B533" s="2" t="s">
        <v>1558</v>
      </c>
      <c r="C533" s="2" t="s">
        <v>1559</v>
      </c>
      <c r="D533" s="2" t="s">
        <v>41</v>
      </c>
      <c r="E533" s="2" t="s">
        <v>21</v>
      </c>
      <c r="F533" s="2" t="s">
        <v>15</v>
      </c>
      <c r="G533" s="2" t="s">
        <v>81</v>
      </c>
      <c r="H533" s="2" t="s">
        <v>51</v>
      </c>
      <c r="I533" s="2" t="str">
        <f>IFERROR(__xludf.DUMMYFUNCTION("GOOGLETRANSLATE(C533,""fr"",""en"")"),"I was very badly accompanied by your staff at the time of payment. As I live between France and Mexico and having no French laptop, your employee told me that the only way to pay was through a French laptop, which is false because after many and many atte"&amp;"mpts on the laptop From my sister (through very expensive international calls that took me hours) I was able to make payment by internet. If the saleswoman had told me that, I will have avoided many worries. Very bad training of your staff apparently. It "&amp;"is really heartbreaking to start in this way since I am one. new customer. I hope it will not be a bad omen.")</f>
        <v>I was very badly accompanied by your staff at the time of payment. As I live between France and Mexico and having no French laptop, your employee told me that the only way to pay was through a French laptop, which is false because after many and many attempts on the laptop From my sister (through very expensive international calls that took me hours) I was able to make payment by internet. If the saleswoman had told me that, I will have avoided many worries. Very bad training of your staff apparently. It is really heartbreaking to start in this way since I am one. new customer. I hope it will not be a bad omen.</v>
      </c>
    </row>
    <row r="534" ht="15.75" customHeight="1">
      <c r="A534" s="2">
        <v>3.0</v>
      </c>
      <c r="B534" s="2" t="s">
        <v>1560</v>
      </c>
      <c r="C534" s="2" t="s">
        <v>1561</v>
      </c>
      <c r="D534" s="2" t="s">
        <v>121</v>
      </c>
      <c r="E534" s="2" t="s">
        <v>122</v>
      </c>
      <c r="F534" s="2" t="s">
        <v>15</v>
      </c>
      <c r="G534" s="2" t="s">
        <v>468</v>
      </c>
      <c r="H534" s="2" t="s">
        <v>51</v>
      </c>
      <c r="I534" s="2" t="str">
        <f>IFERROR(__xludf.DUMMYFUNCTION("GOOGLETRANSLATE(C534,""fr"",""en"")"),"I am satisfied with the customer service who helped me unlock my file and my insurance contract for my 1995 MBK Spirit scooter, I am satisfied")</f>
        <v>I am satisfied with the customer service who helped me unlock my file and my insurance contract for my 1995 MBK Spirit scooter, I am satisfied</v>
      </c>
    </row>
    <row r="535" ht="15.75" customHeight="1">
      <c r="A535" s="2">
        <v>3.0</v>
      </c>
      <c r="B535" s="2" t="s">
        <v>1562</v>
      </c>
      <c r="C535" s="2" t="s">
        <v>1563</v>
      </c>
      <c r="D535" s="2" t="s">
        <v>678</v>
      </c>
      <c r="E535" s="2" t="s">
        <v>21</v>
      </c>
      <c r="F535" s="2" t="s">
        <v>15</v>
      </c>
      <c r="G535" s="2" t="s">
        <v>1564</v>
      </c>
      <c r="H535" s="2" t="s">
        <v>241</v>
      </c>
      <c r="I535" s="2" t="str">
        <f>IFERROR(__xludf.DUMMYFUNCTION("GOOGLETRANSLATE(C535,""fr"",""en"")"),"The concern has been since Eurofil has become a void care in the event of a breakdown far from your home
I have insured for 20 years at Eurofil and I will leave their home at the end of December")</f>
        <v>The concern has been since Eurofil has become a void care in the event of a breakdown far from your home
I have insured for 20 years at Eurofil and I will leave their home at the end of December</v>
      </c>
    </row>
    <row r="536" ht="15.75" customHeight="1">
      <c r="A536" s="2">
        <v>5.0</v>
      </c>
      <c r="B536" s="2" t="s">
        <v>1565</v>
      </c>
      <c r="C536" s="2" t="s">
        <v>1566</v>
      </c>
      <c r="D536" s="2" t="s">
        <v>41</v>
      </c>
      <c r="E536" s="2" t="s">
        <v>21</v>
      </c>
      <c r="F536" s="2" t="s">
        <v>15</v>
      </c>
      <c r="G536" s="2" t="s">
        <v>468</v>
      </c>
      <c r="H536" s="2" t="s">
        <v>51</v>
      </c>
      <c r="I536" s="2" t="str">
        <f>IFERROR(__xludf.DUMMYFUNCTION("GOOGLETRANSLATE(C536,""fr"",""en"")"),"I am satisfied with the platform and telephone contact of the Direct Insurance team.
The guarantees are clearly explained.
The price defies all competition for a young driver.")</f>
        <v>I am satisfied with the platform and telephone contact of the Direct Insurance team.
The guarantees are clearly explained.
The price defies all competition for a young driver.</v>
      </c>
    </row>
    <row r="537" ht="15.75" customHeight="1">
      <c r="A537" s="2">
        <v>1.0</v>
      </c>
      <c r="B537" s="2" t="s">
        <v>1567</v>
      </c>
      <c r="C537" s="2" t="s">
        <v>1568</v>
      </c>
      <c r="D537" s="2" t="s">
        <v>41</v>
      </c>
      <c r="E537" s="2" t="s">
        <v>21</v>
      </c>
      <c r="F537" s="2" t="s">
        <v>15</v>
      </c>
      <c r="G537" s="2" t="s">
        <v>1569</v>
      </c>
      <c r="H537" s="2" t="s">
        <v>197</v>
      </c>
      <c r="I537" s="2" t="str">
        <f>IFERROR(__xludf.DUMMYFUNCTION("GOOGLETRANSLATE(C537,""fr"",""en"")"),"Nonexistent customer service scandal
I pay 102 € per month more expensive than any insurer and they come to be cheaper! I call it false advertising I offer me € 46.40 at Eurofil you are not dreaming more! And when I call I am told that it is normal and t"&amp;"hat we can do nothing more than a year of contract so goodbye !!!")</f>
        <v>Nonexistent customer service scandal
I pay 102 € per month more expensive than any insurer and they come to be cheaper! I call it false advertising I offer me € 46.40 at Eurofil you are not dreaming more! And when I call I am told that it is normal and that we can do nothing more than a year of contract so goodbye !!!</v>
      </c>
    </row>
    <row r="538" ht="15.75" customHeight="1">
      <c r="A538" s="2">
        <v>5.0</v>
      </c>
      <c r="B538" s="2" t="s">
        <v>1570</v>
      </c>
      <c r="C538" s="2" t="s">
        <v>1571</v>
      </c>
      <c r="D538" s="2" t="s">
        <v>20</v>
      </c>
      <c r="E538" s="2" t="s">
        <v>21</v>
      </c>
      <c r="F538" s="2" t="s">
        <v>15</v>
      </c>
      <c r="G538" s="2" t="s">
        <v>729</v>
      </c>
      <c r="H538" s="2" t="s">
        <v>42</v>
      </c>
      <c r="I538" s="2" t="str">
        <f>IFERROR(__xludf.DUMMYFUNCTION("GOOGLETRANSLATE(C538,""fr"",""en"")"),"Very good advice by phone.
Too bad not to be able to make a franchise buyout because they are a bit high.
Attractive price and very fun platform")</f>
        <v>Very good advice by phone.
Too bad not to be able to make a franchise buyout because they are a bit high.
Attractive price and very fun platform</v>
      </c>
    </row>
    <row r="539" ht="15.75" customHeight="1">
      <c r="A539" s="2">
        <v>2.0</v>
      </c>
      <c r="B539" s="2" t="s">
        <v>1572</v>
      </c>
      <c r="C539" s="2" t="s">
        <v>1573</v>
      </c>
      <c r="D539" s="2" t="s">
        <v>41</v>
      </c>
      <c r="E539" s="2" t="s">
        <v>58</v>
      </c>
      <c r="F539" s="2" t="s">
        <v>15</v>
      </c>
      <c r="G539" s="2" t="s">
        <v>1574</v>
      </c>
      <c r="H539" s="2" t="s">
        <v>610</v>
      </c>
      <c r="I539" s="2" t="str">
        <f>IFERROR(__xludf.DUMMYFUNCTION("GOOGLETRANSLATE(C539,""fr"",""en"")"),"Deplorable customer management!
You do not receive your invoice due to a BP cancellation, you receive the message from the Intrum Justitia recovery center directly and you are definitively terminated without a phone call or an email.")</f>
        <v>Deplorable customer management!
You do not receive your invoice due to a BP cancellation, you receive the message from the Intrum Justitia recovery center directly and you are definitively terminated without a phone call or an email.</v>
      </c>
    </row>
    <row r="540" ht="15.75" customHeight="1">
      <c r="A540" s="2">
        <v>1.0</v>
      </c>
      <c r="B540" s="2" t="s">
        <v>1575</v>
      </c>
      <c r="C540" s="2" t="s">
        <v>1576</v>
      </c>
      <c r="D540" s="2" t="s">
        <v>67</v>
      </c>
      <c r="E540" s="2" t="s">
        <v>21</v>
      </c>
      <c r="F540" s="2" t="s">
        <v>15</v>
      </c>
      <c r="G540" s="2" t="s">
        <v>1577</v>
      </c>
      <c r="H540" s="2" t="s">
        <v>110</v>
      </c>
      <c r="I540" s="2" t="str">
        <f>IFERROR(__xludf.DUMMYFUNCTION("GOOGLETRANSLATE(C540,""fr"",""en"")"),"Customer for years, then dragged in mud by insolent fools on the phone following an accident. Litigation, threats that ultimately led to leaving me, after several years without too much worries.")</f>
        <v>Customer for years, then dragged in mud by insolent fools on the phone following an accident. Litigation, threats that ultimately led to leaving me, after several years without too much worries.</v>
      </c>
    </row>
    <row r="541" ht="15.75" customHeight="1">
      <c r="A541" s="2">
        <v>4.0</v>
      </c>
      <c r="B541" s="2" t="s">
        <v>1578</v>
      </c>
      <c r="C541" s="2" t="s">
        <v>1579</v>
      </c>
      <c r="D541" s="2" t="s">
        <v>41</v>
      </c>
      <c r="E541" s="2" t="s">
        <v>21</v>
      </c>
      <c r="F541" s="2" t="s">
        <v>15</v>
      </c>
      <c r="G541" s="2" t="s">
        <v>1580</v>
      </c>
      <c r="H541" s="2" t="s">
        <v>42</v>
      </c>
      <c r="I541" s="2" t="str">
        <f>IFERROR(__xludf.DUMMYFUNCTION("GOOGLETRANSLATE(C541,""fr"",""en"")"),"The price is correct compared to the competition (still a little expensive)
The process of the quote to the subscription is very simple and fast.
I am very satisfied")</f>
        <v>The price is correct compared to the competition (still a little expensive)
The process of the quote to the subscription is very simple and fast.
I am very satisfied</v>
      </c>
    </row>
    <row r="542" ht="15.75" customHeight="1">
      <c r="A542" s="2">
        <v>4.0</v>
      </c>
      <c r="B542" s="2" t="s">
        <v>1581</v>
      </c>
      <c r="C542" s="2" t="s">
        <v>1582</v>
      </c>
      <c r="D542" s="2" t="s">
        <v>20</v>
      </c>
      <c r="E542" s="2" t="s">
        <v>21</v>
      </c>
      <c r="F542" s="2" t="s">
        <v>15</v>
      </c>
      <c r="G542" s="2" t="s">
        <v>105</v>
      </c>
      <c r="H542" s="2" t="s">
        <v>74</v>
      </c>
      <c r="I542" s="2" t="str">
        <f>IFERROR(__xludf.DUMMYFUNCTION("GOOGLETRANSLATE(C542,""fr"",""en"")"),"Quick management, I pay half price compared to my old insurance! I highly recommend. The ferrets helped me choose the best insurance")</f>
        <v>Quick management, I pay half price compared to my old insurance! I highly recommend. The ferrets helped me choose the best insurance</v>
      </c>
    </row>
    <row r="543" ht="15.75" customHeight="1">
      <c r="A543" s="2">
        <v>2.0</v>
      </c>
      <c r="B543" s="2" t="s">
        <v>1583</v>
      </c>
      <c r="C543" s="2" t="s">
        <v>1584</v>
      </c>
      <c r="D543" s="2" t="s">
        <v>605</v>
      </c>
      <c r="E543" s="2" t="s">
        <v>14</v>
      </c>
      <c r="F543" s="2" t="s">
        <v>15</v>
      </c>
      <c r="G543" s="2" t="s">
        <v>1585</v>
      </c>
      <c r="H543" s="2" t="s">
        <v>292</v>
      </c>
      <c r="I543" s="2" t="str">
        <f>IFERROR(__xludf.DUMMYFUNCTION("GOOGLETRANSLATE(C543,""fr"",""en"")"),"Regulation of very long services at least 3 weeks, emails that do not come despite good email address, very limited telephonic reception, complicated to have the right interlocutor etc .....
Health contract to flee if you can, when it is not a mandatory "&amp;"mutual ......")</f>
        <v>Regulation of very long services at least 3 weeks, emails that do not come despite good email address, very limited telephonic reception, complicated to have the right interlocutor etc .....
Health contract to flee if you can, when it is not a mandatory mutual ......</v>
      </c>
    </row>
    <row r="544" ht="15.75" customHeight="1">
      <c r="A544" s="2">
        <v>4.0</v>
      </c>
      <c r="B544" s="2" t="s">
        <v>1586</v>
      </c>
      <c r="C544" s="2" t="s">
        <v>1587</v>
      </c>
      <c r="D544" s="2" t="s">
        <v>41</v>
      </c>
      <c r="E544" s="2" t="s">
        <v>21</v>
      </c>
      <c r="F544" s="2" t="s">
        <v>15</v>
      </c>
      <c r="G544" s="2" t="s">
        <v>1160</v>
      </c>
      <c r="H544" s="2" t="s">
        <v>42</v>
      </c>
      <c r="I544" s="2" t="str">
        <f>IFERROR(__xludf.DUMMYFUNCTION("GOOGLETRANSLATE(C544,""fr"",""en"")"),"Satisfied with the Competitive Price Service Good Personal Reactivity Listening and Competent Easy to reach you the whole family is insured in your company")</f>
        <v>Satisfied with the Competitive Price Service Good Personal Reactivity Listening and Competent Easy to reach you the whole family is insured in your company</v>
      </c>
    </row>
    <row r="545" ht="15.75" customHeight="1">
      <c r="A545" s="2">
        <v>1.0</v>
      </c>
      <c r="B545" s="2" t="s">
        <v>1588</v>
      </c>
      <c r="C545" s="2" t="s">
        <v>1589</v>
      </c>
      <c r="D545" s="2" t="s">
        <v>41</v>
      </c>
      <c r="E545" s="2" t="s">
        <v>21</v>
      </c>
      <c r="F545" s="2" t="s">
        <v>15</v>
      </c>
      <c r="G545" s="2" t="s">
        <v>244</v>
      </c>
      <c r="H545" s="2" t="s">
        <v>23</v>
      </c>
      <c r="I545" s="2" t="str">
        <f>IFERROR(__xludf.DUMMYFUNCTION("GOOGLETRANSLATE(C545,""fr"",""en"")"),"Not satisfied because my car insurance n ° 958194815 has just been increased by 10%, without any prior explanation, while my other insurance has increased by 0.1%. What is the justification? Unable to reach the phone!")</f>
        <v>Not satisfied because my car insurance n ° 958194815 has just been increased by 10%, without any prior explanation, while my other insurance has increased by 0.1%. What is the justification? Unable to reach the phone!</v>
      </c>
    </row>
    <row r="546" ht="15.75" customHeight="1">
      <c r="A546" s="2">
        <v>4.0</v>
      </c>
      <c r="B546" s="2" t="s">
        <v>1590</v>
      </c>
      <c r="C546" s="2" t="s">
        <v>1591</v>
      </c>
      <c r="D546" s="2" t="s">
        <v>41</v>
      </c>
      <c r="E546" s="2" t="s">
        <v>21</v>
      </c>
      <c r="F546" s="2" t="s">
        <v>15</v>
      </c>
      <c r="G546" s="2" t="s">
        <v>1580</v>
      </c>
      <c r="H546" s="2" t="s">
        <v>42</v>
      </c>
      <c r="I546" s="2" t="str">
        <f>IFERROR(__xludf.DUMMYFUNCTION("GOOGLETRANSLATE(C546,""fr"",""en"")"),"I am satisfied with the service as well as the contact with regard to customers (thank you Yannis because for once it was at the top).
The prices correspond to me, hoping to have a great year with Direct Insurance!")</f>
        <v>I am satisfied with the service as well as the contact with regard to customers (thank you Yannis because for once it was at the top).
The prices correspond to me, hoping to have a great year with Direct Insurance!</v>
      </c>
    </row>
    <row r="547" ht="15.75" customHeight="1">
      <c r="A547" s="2">
        <v>2.0</v>
      </c>
      <c r="B547" s="2" t="s">
        <v>1592</v>
      </c>
      <c r="C547" s="2" t="s">
        <v>1593</v>
      </c>
      <c r="D547" s="2" t="s">
        <v>41</v>
      </c>
      <c r="E547" s="2" t="s">
        <v>21</v>
      </c>
      <c r="F547" s="2" t="s">
        <v>15</v>
      </c>
      <c r="G547" s="2" t="s">
        <v>147</v>
      </c>
      <c r="H547" s="2" t="s">
        <v>51</v>
      </c>
      <c r="I547" s="2" t="str">
        <f>IFERROR(__xludf.DUMMYFUNCTION("GOOGLETRANSLATE(C547,""fr"",""en"")"),"The price is attractive, however I remain vigilant for the future. Indeed I already have an insured vehicle and in 2 years the price has increased by 40 € !!!
Also a shame not to benefit from a reduction due to having 2 insured vehicles.")</f>
        <v>The price is attractive, however I remain vigilant for the future. Indeed I already have an insured vehicle and in 2 years the price has increased by 40 € !!!
Also a shame not to benefit from a reduction due to having 2 insured vehicles.</v>
      </c>
    </row>
    <row r="548" ht="15.75" customHeight="1">
      <c r="A548" s="2">
        <v>5.0</v>
      </c>
      <c r="B548" s="2" t="s">
        <v>1594</v>
      </c>
      <c r="C548" s="2" t="s">
        <v>1595</v>
      </c>
      <c r="D548" s="2" t="s">
        <v>41</v>
      </c>
      <c r="E548" s="2" t="s">
        <v>21</v>
      </c>
      <c r="F548" s="2" t="s">
        <v>15</v>
      </c>
      <c r="G548" s="2" t="s">
        <v>1423</v>
      </c>
      <c r="H548" s="2" t="s">
        <v>134</v>
      </c>
      <c r="I548" s="2" t="str">
        <f>IFERROR(__xludf.DUMMYFUNCTION("GOOGLETRANSLATE(C548,""fr"",""en"")"),"I am very satisfied with direct insurance very fast and simple I hope to have my green sticker as soon as possible thank you very much cordially. Mebarek Bachiri")</f>
        <v>I am very satisfied with direct insurance very fast and simple I hope to have my green sticker as soon as possible thank you very much cordially. Mebarek Bachiri</v>
      </c>
    </row>
    <row r="549" ht="15.75" customHeight="1">
      <c r="A549" s="2">
        <v>1.0</v>
      </c>
      <c r="B549" s="2" t="s">
        <v>1596</v>
      </c>
      <c r="C549" s="2" t="s">
        <v>1597</v>
      </c>
      <c r="D549" s="2" t="s">
        <v>20</v>
      </c>
      <c r="E549" s="2" t="s">
        <v>21</v>
      </c>
      <c r="F549" s="2" t="s">
        <v>15</v>
      </c>
      <c r="G549" s="2" t="s">
        <v>1598</v>
      </c>
      <c r="H549" s="2" t="s">
        <v>660</v>
      </c>
      <c r="I549" s="2" t="str">
        <f>IFERROR(__xludf.DUMMYFUNCTION("GOOGLETRANSLATE(C549,""fr"",""en"")"),"My car stolen in October, still not reimbursed and continuous insurance samples every month until now a hassle to have a manager at such a avore as insurance is only valid for valid my opinion if I could Put less I would do it I think that all that will e"&amp;"nd up with Julien Courbet it will make them a little ad so they will see how he treats their insured")</f>
        <v>My car stolen in October, still not reimbursed and continuous insurance samples every month until now a hassle to have a manager at such a avore as insurance is only valid for valid my opinion if I could Put less I would do it I think that all that will end up with Julien Courbet it will make them a little ad so they will see how he treats their insured</v>
      </c>
    </row>
    <row r="550" ht="15.75" customHeight="1">
      <c r="A550" s="2">
        <v>2.0</v>
      </c>
      <c r="B550" s="2" t="s">
        <v>1599</v>
      </c>
      <c r="C550" s="2" t="s">
        <v>1600</v>
      </c>
      <c r="D550" s="2" t="s">
        <v>206</v>
      </c>
      <c r="E550" s="2" t="s">
        <v>207</v>
      </c>
      <c r="F550" s="2" t="s">
        <v>15</v>
      </c>
      <c r="G550" s="2" t="s">
        <v>1601</v>
      </c>
      <c r="H550" s="2" t="s">
        <v>38</v>
      </c>
      <c r="I550" s="2" t="str">
        <f>IFERROR(__xludf.DUMMYFUNCTION("GOOGLETRANSLATE(C550,""fr"",""en"")"),"hello, 
I take the time to leave an opinion to improve other insured people are aware of the more than doubtful practices of this insurer.
After being harassment on the phone for 3 weeks, I subscribed to accident insurance for my new land. Lack of c"&amp;"hance my new land had an accident and the Galere began in addition to my dog ​​who required 2 operations, insurance has made me live an unnamed gallery for 3 months.
They do not respond to requests for reimbursement, promises to recall to keep up to da"&amp;"te with the advance of the file without ever recalling, I am also at the 3 certificate of my veterinarian, there is constantly lacking new documents.
For my part, today I have my legal protection to defend myself.")</f>
        <v>hello, 
I take the time to leave an opinion to improve other insured people are aware of the more than doubtful practices of this insurer.
After being harassment on the phone for 3 weeks, I subscribed to accident insurance for my new land. Lack of chance my new land had an accident and the Galere began in addition to my dog ​​who required 2 operations, insurance has made me live an unnamed gallery for 3 months.
They do not respond to requests for reimbursement, promises to recall to keep up to date with the advance of the file without ever recalling, I am also at the 3 certificate of my veterinarian, there is constantly lacking new documents.
For my part, today I have my legal protection to defend myself.</v>
      </c>
    </row>
    <row r="551" ht="15.75" customHeight="1">
      <c r="A551" s="2">
        <v>5.0</v>
      </c>
      <c r="B551" s="2" t="s">
        <v>1602</v>
      </c>
      <c r="C551" s="2" t="s">
        <v>1603</v>
      </c>
      <c r="D551" s="2" t="s">
        <v>172</v>
      </c>
      <c r="E551" s="2" t="s">
        <v>14</v>
      </c>
      <c r="F551" s="2" t="s">
        <v>15</v>
      </c>
      <c r="G551" s="2" t="s">
        <v>1604</v>
      </c>
      <c r="H551" s="2" t="s">
        <v>134</v>
      </c>
      <c r="I551" s="2" t="str">
        <f>IFERROR(__xludf.DUMMYFUNCTION("GOOGLETRANSLATE(C551,""fr"",""en"")"),"I wish to join the MGP mutual, with regard to the competence, seriousness and availability of their services. I was transferred to the CPAM to my outcome.")</f>
        <v>I wish to join the MGP mutual, with regard to the competence, seriousness and availability of their services. I was transferred to the CPAM to my outcome.</v>
      </c>
    </row>
    <row r="552" ht="15.75" customHeight="1">
      <c r="A552" s="2">
        <v>3.0</v>
      </c>
      <c r="B552" s="2" t="s">
        <v>1605</v>
      </c>
      <c r="C552" s="2" t="s">
        <v>1606</v>
      </c>
      <c r="D552" s="2" t="s">
        <v>678</v>
      </c>
      <c r="E552" s="2" t="s">
        <v>21</v>
      </c>
      <c r="F552" s="2" t="s">
        <v>15</v>
      </c>
      <c r="G552" s="2" t="s">
        <v>92</v>
      </c>
      <c r="H552" s="2" t="s">
        <v>93</v>
      </c>
      <c r="I552" s="2" t="str">
        <f>IFERROR(__xludf.DUMMYFUNCTION("GOOGLETRANSLATE(C552,""fr"",""en"")"),"Complicated when you have a request. They take more than a week to answer you while I have called three times, provided an attachment. If you need to lend your vehicle without waiting for their response, they keep you without leaving you the space to expl"&amp;"ain to you.")</f>
        <v>Complicated when you have a request. They take more than a week to answer you while I have called three times, provided an attachment. If you need to lend your vehicle without waiting for their response, they keep you without leaving you the space to explain to you.</v>
      </c>
    </row>
    <row r="553" ht="15.75" customHeight="1">
      <c r="A553" s="2">
        <v>5.0</v>
      </c>
      <c r="B553" s="2" t="s">
        <v>1607</v>
      </c>
      <c r="C553" s="2" t="s">
        <v>1608</v>
      </c>
      <c r="D553" s="2" t="s">
        <v>20</v>
      </c>
      <c r="E553" s="2" t="s">
        <v>21</v>
      </c>
      <c r="F553" s="2" t="s">
        <v>15</v>
      </c>
      <c r="G553" s="2" t="s">
        <v>51</v>
      </c>
      <c r="H553" s="2" t="s">
        <v>51</v>
      </c>
      <c r="I553" s="2" t="str">
        <f>IFERROR(__xludf.DUMMYFUNCTION("GOOGLETRANSLATE(C553,""fr"",""en"")"),"Service
Affordable price
It suits me perfectly to have chosen the insurance olive tree.
I would necessarily recommend to Mo 'entourage. Thanks")</f>
        <v>Service
Affordable price
It suits me perfectly to have chosen the insurance olive tree.
I would necessarily recommend to Mo 'entourage. Thanks</v>
      </c>
    </row>
    <row r="554" ht="15.75" customHeight="1">
      <c r="A554" s="2">
        <v>2.0</v>
      </c>
      <c r="B554" s="2" t="s">
        <v>1609</v>
      </c>
      <c r="C554" s="2" t="s">
        <v>1610</v>
      </c>
      <c r="D554" s="2" t="s">
        <v>41</v>
      </c>
      <c r="E554" s="2" t="s">
        <v>21</v>
      </c>
      <c r="F554" s="2" t="s">
        <v>15</v>
      </c>
      <c r="G554" s="2" t="s">
        <v>1611</v>
      </c>
      <c r="H554" s="2" t="s">
        <v>407</v>
      </c>
      <c r="I554" s="2" t="str">
        <f>IFERROR(__xludf.DUMMYFUNCTION("GOOGLETRANSLATE(C554,""fr"",""en"")"),"Sinister in progress - all risk + serenity pack - (ah ah ah). 50%manager. 3 weeks that my disaster was declared and still no repair order. No loan car for 3 weeks. And damaged car on the mechanic's park where it was delivered by the Depanneur! (disaster t"&amp;"o be managed in addition between insurance). No follow -up information: I must call regularly (past expert? We no longer know where the car is. Never again direct insurance")</f>
        <v>Sinister in progress - all risk + serenity pack - (ah ah ah). 50%manager. 3 weeks that my disaster was declared and still no repair order. No loan car for 3 weeks. And damaged car on the mechanic's park where it was delivered by the Depanneur! (disaster to be managed in addition between insurance). No follow -up information: I must call regularly (past expert? We no longer know where the car is. Never again direct insurance</v>
      </c>
    </row>
    <row r="555" ht="15.75" customHeight="1">
      <c r="A555" s="2">
        <v>1.0</v>
      </c>
      <c r="B555" s="2" t="s">
        <v>1612</v>
      </c>
      <c r="C555" s="2" t="s">
        <v>1613</v>
      </c>
      <c r="D555" s="2" t="s">
        <v>395</v>
      </c>
      <c r="E555" s="2" t="s">
        <v>21</v>
      </c>
      <c r="F555" s="2" t="s">
        <v>15</v>
      </c>
      <c r="G555" s="2" t="s">
        <v>1614</v>
      </c>
      <c r="H555" s="2" t="s">
        <v>412</v>
      </c>
      <c r="I555" s="2" t="str">
        <f>IFERROR(__xludf.DUMMYFUNCTION("GOOGLETRANSLATE(C555,""fr"",""en"")"),"Not recommended for termination of auto contracts despite registered letter and several tenth calls they are too slow and after they ask you to set the recovery costs they are liar and not professional axa siege does not react either the agencies do what "&amp;"they want to advise against")</f>
        <v>Not recommended for termination of auto contracts despite registered letter and several tenth calls they are too slow and after they ask you to set the recovery costs they are liar and not professional axa siege does not react either the agencies do what they want to advise against</v>
      </c>
    </row>
    <row r="556" ht="15.75" customHeight="1">
      <c r="A556" s="2">
        <v>1.0</v>
      </c>
      <c r="B556" s="2" t="s">
        <v>1615</v>
      </c>
      <c r="C556" s="2" t="s">
        <v>1616</v>
      </c>
      <c r="D556" s="2" t="s">
        <v>63</v>
      </c>
      <c r="E556" s="2" t="s">
        <v>14</v>
      </c>
      <c r="F556" s="2" t="s">
        <v>15</v>
      </c>
      <c r="G556" s="2" t="s">
        <v>282</v>
      </c>
      <c r="H556" s="2" t="s">
        <v>282</v>
      </c>
      <c r="I556" s="2" t="str">
        <f>IFERROR(__xludf.DUMMYFUNCTION("GOOGLETRANSLATE(C556,""fr"",""en"")"),"Unreachable, site walks once in two. I have called 0155213500 we put me in touch but I was warned that it was very very long and that the site did not work
I have been waiting for a refund for almost 2 months of 2500th Mercer reimbursed me that 900th sup"&amp;"posedly that the invoice was not detailed. qelqu a want to take down. I will not take a day off to be able to join them. There is no manager in this company or he's a file.
It's a shame.
")</f>
        <v>Unreachable, site walks once in two. I have called 0155213500 we put me in touch but I was warned that it was very very long and that the site did not work
I have been waiting for a refund for almost 2 months of 2500th Mercer reimbursed me that 900th supposedly that the invoice was not detailed. qelqu a want to take down. I will not take a day off to be able to join them. There is no manager in this company or he's a file.
It's a shame.
</v>
      </c>
    </row>
    <row r="557" ht="15.75" customHeight="1">
      <c r="A557" s="2">
        <v>1.0</v>
      </c>
      <c r="B557" s="2" t="s">
        <v>1617</v>
      </c>
      <c r="C557" s="2" t="s">
        <v>1618</v>
      </c>
      <c r="D557" s="2" t="s">
        <v>395</v>
      </c>
      <c r="E557" s="2" t="s">
        <v>58</v>
      </c>
      <c r="F557" s="2" t="s">
        <v>15</v>
      </c>
      <c r="G557" s="2" t="s">
        <v>1619</v>
      </c>
      <c r="H557" s="2" t="s">
        <v>560</v>
      </c>
      <c r="I557" s="2" t="str">
        <f>IFERROR(__xludf.DUMMYFUNCTION("GOOGLETRANSLATE(C557,""fr"",""en"")"),"Following an out of use pipe I still expect a response from the AXA platform for a quote of € 1754 after a month of waiting! Today my agency let me know that there was more unhappy than me right now !! Is this an amendment to my contract?")</f>
        <v>Following an out of use pipe I still expect a response from the AXA platform for a quote of € 1754 after a month of waiting! Today my agency let me know that there was more unhappy than me right now !! Is this an amendment to my contract?</v>
      </c>
    </row>
    <row r="558" ht="15.75" customHeight="1">
      <c r="A558" s="2">
        <v>3.0</v>
      </c>
      <c r="B558" s="2" t="s">
        <v>1620</v>
      </c>
      <c r="C558" s="2" t="s">
        <v>1621</v>
      </c>
      <c r="D558" s="2" t="s">
        <v>41</v>
      </c>
      <c r="E558" s="2" t="s">
        <v>21</v>
      </c>
      <c r="F558" s="2" t="s">
        <v>15</v>
      </c>
      <c r="G558" s="2" t="s">
        <v>537</v>
      </c>
      <c r="H558" s="2" t="s">
        <v>42</v>
      </c>
      <c r="I558" s="2" t="str">
        <f>IFERROR(__xludf.DUMMYFUNCTION("GOOGLETRANSLATE(C558,""fr"",""en"")"),"Simple and practical correct and attractive price
For the moment not needed services we will see if this is the case for the telephone service not always very friendly")</f>
        <v>Simple and practical correct and attractive price
For the moment not needed services we will see if this is the case for the telephone service not always very friendly</v>
      </c>
    </row>
    <row r="559" ht="15.75" customHeight="1">
      <c r="A559" s="2">
        <v>4.0</v>
      </c>
      <c r="B559" s="2" t="s">
        <v>1622</v>
      </c>
      <c r="C559" s="2" t="s">
        <v>1623</v>
      </c>
      <c r="D559" s="2" t="s">
        <v>20</v>
      </c>
      <c r="E559" s="2" t="s">
        <v>21</v>
      </c>
      <c r="F559" s="2" t="s">
        <v>15</v>
      </c>
      <c r="G559" s="2" t="s">
        <v>432</v>
      </c>
      <c r="H559" s="2" t="s">
        <v>28</v>
      </c>
      <c r="I559" s="2" t="str">
        <f>IFERROR(__xludf.DUMMYFUNCTION("GOOGLETRANSLATE(C559,""fr"",""en"")"),"The prices are very affordable especially as a young license. Very easy to use car registration form. facilitate to sign documents")</f>
        <v>The prices are very affordable especially as a young license. Very easy to use car registration form. facilitate to sign documents</v>
      </c>
    </row>
    <row r="560" ht="15.75" customHeight="1">
      <c r="A560" s="2">
        <v>4.0</v>
      </c>
      <c r="B560" s="2" t="s">
        <v>1624</v>
      </c>
      <c r="C560" s="2" t="s">
        <v>1625</v>
      </c>
      <c r="D560" s="2" t="s">
        <v>41</v>
      </c>
      <c r="E560" s="2" t="s">
        <v>21</v>
      </c>
      <c r="F560" s="2" t="s">
        <v>15</v>
      </c>
      <c r="G560" s="2" t="s">
        <v>1626</v>
      </c>
      <c r="H560" s="2" t="s">
        <v>51</v>
      </c>
      <c r="I560" s="2" t="str">
        <f>IFERROR(__xludf.DUMMYFUNCTION("GOOGLETRANSLATE(C560,""fr"",""en"")"),"The price suits me but this is the first time I have been insured at home I cannot give other opinions. Sincerely Alain Velasquez. …………….")</f>
        <v>The price suits me but this is the first time I have been insured at home I cannot give other opinions. Sincerely Alain Velasquez. …………….</v>
      </c>
    </row>
    <row r="561" ht="15.75" customHeight="1">
      <c r="A561" s="2">
        <v>3.0</v>
      </c>
      <c r="B561" s="2" t="s">
        <v>1627</v>
      </c>
      <c r="C561" s="2" t="s">
        <v>1628</v>
      </c>
      <c r="D561" s="2" t="s">
        <v>395</v>
      </c>
      <c r="E561" s="2" t="s">
        <v>21</v>
      </c>
      <c r="F561" s="2" t="s">
        <v>15</v>
      </c>
      <c r="G561" s="2" t="s">
        <v>1629</v>
      </c>
      <c r="H561" s="2" t="s">
        <v>913</v>
      </c>
      <c r="I561" s="2" t="str">
        <f>IFERROR(__xludf.DUMMYFUNCTION("GOOGLETRANSLATE(C561,""fr"",""en"")"),"Not very happy with the AXA service after giving 2 banking ribs they are not able to take an automatic sampling. And above all no response to my email on Wednesday (I have never encountered this type of problem with former insurers) I have returned to my "&amp;"old insurer this hard problem for 2 years")</f>
        <v>Not very happy with the AXA service after giving 2 banking ribs they are not able to take an automatic sampling. And above all no response to my email on Wednesday (I have never encountered this type of problem with former insurers) I have returned to my old insurer this hard problem for 2 years</v>
      </c>
    </row>
    <row r="562" ht="15.75" customHeight="1">
      <c r="A562" s="2">
        <v>1.0</v>
      </c>
      <c r="B562" s="2" t="s">
        <v>1630</v>
      </c>
      <c r="C562" s="2" t="s">
        <v>1631</v>
      </c>
      <c r="D562" s="2" t="s">
        <v>605</v>
      </c>
      <c r="E562" s="2" t="s">
        <v>14</v>
      </c>
      <c r="F562" s="2" t="s">
        <v>15</v>
      </c>
      <c r="G562" s="2" t="s">
        <v>1632</v>
      </c>
      <c r="H562" s="2" t="s">
        <v>309</v>
      </c>
      <c r="I562" s="2" t="str">
        <f>IFERROR(__xludf.DUMMYFUNCTION("GOOGLETRANSLATE(C562,""fr"",""en"")"),"I call this morning for a refund that had to be made for a long time, the person I had on the phone is very very unpleasant not at all kind it looks like she was annoyed to answer she had one desire it is to hang up !!!!, she asks me for an acquitted invo"&amp;"ice knowing that I was reimbursed by social security !!! She announces to me that I must settle a sum because I had care because I was more affiliated knowing that this period he sent me my paid third party card and I never received any letter from their "&amp;"As soon as I was more affiliated with them, error made from them and that it was also going to deduct the sum of my reimbursement to reimburse the care.")</f>
        <v>I call this morning for a refund that had to be made for a long time, the person I had on the phone is very very unpleasant not at all kind it looks like she was annoyed to answer she had one desire it is to hang up !!!!, she asks me for an acquitted invoice knowing that I was reimbursed by social security !!! She announces to me that I must settle a sum because I had care because I was more affiliated knowing that this period he sent me my paid third party card and I never received any letter from their As soon as I was more affiliated with them, error made from them and that it was also going to deduct the sum of my reimbursement to reimburse the care.</v>
      </c>
    </row>
    <row r="563" ht="15.75" customHeight="1">
      <c r="A563" s="2">
        <v>3.0</v>
      </c>
      <c r="B563" s="2" t="s">
        <v>1633</v>
      </c>
      <c r="C563" s="2" t="s">
        <v>1634</v>
      </c>
      <c r="D563" s="2" t="s">
        <v>20</v>
      </c>
      <c r="E563" s="2" t="s">
        <v>21</v>
      </c>
      <c r="F563" s="2" t="s">
        <v>15</v>
      </c>
      <c r="G563" s="2" t="s">
        <v>543</v>
      </c>
      <c r="H563" s="2" t="s">
        <v>74</v>
      </c>
      <c r="I563" s="2" t="str">
        <f>IFERROR(__xludf.DUMMYFUNCTION("GOOGLETRANSLATE(C563,""fr"",""en"")"),"Could not take advantage of the sponsorship while my son is a customer and had a code. Code which was refused because my son did not subscribe by phone. We hadn't warned her")</f>
        <v>Could not take advantage of the sponsorship while my son is a customer and had a code. Code which was refused because my son did not subscribe by phone. We hadn't warned her</v>
      </c>
    </row>
    <row r="564" ht="15.75" customHeight="1">
      <c r="A564" s="2">
        <v>2.0</v>
      </c>
      <c r="B564" s="2" t="s">
        <v>1635</v>
      </c>
      <c r="C564" s="2" t="s">
        <v>1636</v>
      </c>
      <c r="D564" s="2" t="s">
        <v>41</v>
      </c>
      <c r="E564" s="2" t="s">
        <v>21</v>
      </c>
      <c r="F564" s="2" t="s">
        <v>15</v>
      </c>
      <c r="G564" s="2" t="s">
        <v>23</v>
      </c>
      <c r="H564" s="2" t="s">
        <v>23</v>
      </c>
      <c r="I564" s="2" t="str">
        <f>IFERROR(__xludf.DUMMYFUNCTION("GOOGLETRANSLATE(C564,""fr"",""en"")"),"Difficult to reach an advisor, the site does not allow me to generate a certificate directly, I must go through an advisor ... The prices are not more interesting than elsewhere and yet no agency, no advice to adapt the contract to The value of the vehicl"&amp;"e, no bonus to loyalty while I have been ensured for years at Direct Insurance")</f>
        <v>Difficult to reach an advisor, the site does not allow me to generate a certificate directly, I must go through an advisor ... The prices are not more interesting than elsewhere and yet no agency, no advice to adapt the contract to The value of the vehicle, no bonus to loyalty while I have been ensured for years at Direct Insurance</v>
      </c>
    </row>
    <row r="565" ht="15.75" customHeight="1">
      <c r="A565" s="2">
        <v>2.0</v>
      </c>
      <c r="B565" s="2" t="s">
        <v>1637</v>
      </c>
      <c r="C565" s="2" t="s">
        <v>1638</v>
      </c>
      <c r="D565" s="2" t="s">
        <v>41</v>
      </c>
      <c r="E565" s="2" t="s">
        <v>21</v>
      </c>
      <c r="F565" s="2" t="s">
        <v>15</v>
      </c>
      <c r="G565" s="2" t="s">
        <v>1639</v>
      </c>
      <c r="H565" s="2" t="s">
        <v>134</v>
      </c>
      <c r="I565" s="2" t="str">
        <f>IFERROR(__xludf.DUMMYFUNCTION("GOOGLETRANSLATE(C565,""fr"",""en"")"),"I am service but the prices are very high. Indeed following the pandemic, we move very little but despite this as well as my seniority and my good conduct the price of my insurance increased for no reason. And yet I am supposed to have bonuses")</f>
        <v>I am service but the prices are very high. Indeed following the pandemic, we move very little but despite this as well as my seniority and my good conduct the price of my insurance increased for no reason. And yet I am supposed to have bonuses</v>
      </c>
    </row>
    <row r="566" ht="15.75" customHeight="1">
      <c r="A566" s="2">
        <v>1.0</v>
      </c>
      <c r="B566" s="2" t="s">
        <v>1640</v>
      </c>
      <c r="C566" s="2" t="s">
        <v>1641</v>
      </c>
      <c r="D566" s="2" t="s">
        <v>67</v>
      </c>
      <c r="E566" s="2" t="s">
        <v>58</v>
      </c>
      <c r="F566" s="2" t="s">
        <v>15</v>
      </c>
      <c r="G566" s="2" t="s">
        <v>1048</v>
      </c>
      <c r="H566" s="2" t="s">
        <v>93</v>
      </c>
      <c r="I566" s="2" t="str">
        <f>IFERROR(__xludf.DUMMYFUNCTION("GOOGLETRANSLATE(C566,""fr"",""en"")"),"Inadmissible! After 28 years of subscription and without worries (housing, auto, school ...), the MAAF warns me that I am struck off from my home insurance for a small water leak in my previous accommodation 3 years ago (400 € of compensation), and 1 vand"&amp;"alism in my current accommodation a year ago (€ 900 in compensation). Do not adhere to the MAAF they only ensure customers who have zero problem and draft others at the slightest little problem arguing ""multiple claims"" (2 in 28 years concerning me). Th"&amp;"is is not what I call an insurance company ... In addition, having been radiated forbidden to take another mutual insurance, thank you the MAAF!")</f>
        <v>Inadmissible! After 28 years of subscription and without worries (housing, auto, school ...), the MAAF warns me that I am struck off from my home insurance for a small water leak in my previous accommodation 3 years ago (400 € of compensation), and 1 vandalism in my current accommodation a year ago (€ 900 in compensation). Do not adhere to the MAAF they only ensure customers who have zero problem and draft others at the slightest little problem arguing "multiple claims" (2 in 28 years concerning me). This is not what I call an insurance company ... In addition, having been radiated forbidden to take another mutual insurance, thank you the MAAF!</v>
      </c>
    </row>
    <row r="567" ht="15.75" customHeight="1">
      <c r="A567" s="2">
        <v>5.0</v>
      </c>
      <c r="B567" s="2" t="s">
        <v>1642</v>
      </c>
      <c r="C567" s="2" t="s">
        <v>1643</v>
      </c>
      <c r="D567" s="2" t="s">
        <v>13</v>
      </c>
      <c r="E567" s="2" t="s">
        <v>14</v>
      </c>
      <c r="F567" s="2" t="s">
        <v>15</v>
      </c>
      <c r="G567" s="2" t="s">
        <v>247</v>
      </c>
      <c r="H567" s="2" t="s">
        <v>47</v>
      </c>
      <c r="I567" s="2" t="str">
        <f>IFERROR(__xludf.DUMMYFUNCTION("GOOGLETRANSLATE(C567,""fr"",""en"")"),"Mr Adolfo was very nice with me professional and he made the proposal Generali with a discount and until now I am so satisfied")</f>
        <v>Mr Adolfo was very nice with me professional and he made the proposal Generali with a discount and until now I am so satisfied</v>
      </c>
    </row>
    <row r="568" ht="15.75" customHeight="1">
      <c r="A568" s="2">
        <v>5.0</v>
      </c>
      <c r="B568" s="2" t="s">
        <v>1644</v>
      </c>
      <c r="C568" s="2" t="s">
        <v>1645</v>
      </c>
      <c r="D568" s="2" t="s">
        <v>20</v>
      </c>
      <c r="E568" s="2" t="s">
        <v>21</v>
      </c>
      <c r="F568" s="2" t="s">
        <v>15</v>
      </c>
      <c r="G568" s="2" t="s">
        <v>487</v>
      </c>
      <c r="H568" s="2" t="s">
        <v>28</v>
      </c>
      <c r="I568" s="2" t="str">
        <f>IFERROR(__xludf.DUMMYFUNCTION("GOOGLETRANSLATE(C568,""fr"",""en"")"),"Professional and compete in their field.
Insurance that offers a real price.
Satisfied with their work continue to persevere in this path.
")</f>
        <v>Professional and compete in their field.
Insurance that offers a real price.
Satisfied with their work continue to persevere in this path.
</v>
      </c>
    </row>
    <row r="569" ht="15.75" customHeight="1">
      <c r="A569" s="2">
        <v>4.0</v>
      </c>
      <c r="B569" s="2" t="s">
        <v>1646</v>
      </c>
      <c r="C569" s="2" t="s">
        <v>1647</v>
      </c>
      <c r="D569" s="2" t="s">
        <v>72</v>
      </c>
      <c r="E569" s="2" t="s">
        <v>21</v>
      </c>
      <c r="F569" s="2" t="s">
        <v>15</v>
      </c>
      <c r="G569" s="2" t="s">
        <v>1648</v>
      </c>
      <c r="H569" s="2" t="s">
        <v>74</v>
      </c>
      <c r="I569" s="2" t="str">
        <f>IFERROR(__xludf.DUMMYFUNCTION("GOOGLETRANSLATE(C569,""fr"",""en"")"),"I am satisfied with the service provided by the GMF advisor each time I request your services, whether for l. habitation or for the car")</f>
        <v>I am satisfied with the service provided by the GMF advisor each time I request your services, whether for l. habitation or for the car</v>
      </c>
    </row>
    <row r="570" ht="15.75" customHeight="1">
      <c r="A570" s="2">
        <v>1.0</v>
      </c>
      <c r="B570" s="2" t="s">
        <v>1649</v>
      </c>
      <c r="C570" s="2" t="s">
        <v>1650</v>
      </c>
      <c r="D570" s="2" t="s">
        <v>63</v>
      </c>
      <c r="E570" s="2" t="s">
        <v>14</v>
      </c>
      <c r="F570" s="2" t="s">
        <v>15</v>
      </c>
      <c r="G570" s="2" t="s">
        <v>1651</v>
      </c>
      <c r="H570" s="2" t="s">
        <v>407</v>
      </c>
      <c r="I570" s="2" t="str">
        <f>IFERROR(__xludf.DUMMYFUNCTION("GOOGLETRANSLATE(C570,""fr"",""en"")"),"Mercer, world leader and expert, a joke!")</f>
        <v>Mercer, world leader and expert, a joke!</v>
      </c>
    </row>
    <row r="571" ht="15.75" customHeight="1">
      <c r="A571" s="2">
        <v>5.0</v>
      </c>
      <c r="B571" s="2" t="s">
        <v>1652</v>
      </c>
      <c r="C571" s="2" t="s">
        <v>1653</v>
      </c>
      <c r="D571" s="2" t="s">
        <v>668</v>
      </c>
      <c r="E571" s="2" t="s">
        <v>104</v>
      </c>
      <c r="F571" s="2" t="s">
        <v>15</v>
      </c>
      <c r="G571" s="2" t="s">
        <v>323</v>
      </c>
      <c r="H571" s="2" t="s">
        <v>100</v>
      </c>
      <c r="I571" s="2" t="str">
        <f>IFERROR(__xludf.DUMMYFUNCTION("GOOGLETRANSLATE(C571,""fr"",""en"")"),"Excellent work I am very happy I recommend Magnolia without any problem.
I thank Magnolia and especially my counselor Céline B for her professionalism and her kindness.")</f>
        <v>Excellent work I am very happy I recommend Magnolia without any problem.
I thank Magnolia and especially my counselor Céline B for her professionalism and her kindness.</v>
      </c>
    </row>
    <row r="572" ht="15.75" customHeight="1">
      <c r="A572" s="2">
        <v>5.0</v>
      </c>
      <c r="B572" s="2" t="s">
        <v>1654</v>
      </c>
      <c r="C572" s="2" t="s">
        <v>1655</v>
      </c>
      <c r="D572" s="2" t="s">
        <v>20</v>
      </c>
      <c r="E572" s="2" t="s">
        <v>21</v>
      </c>
      <c r="F572" s="2" t="s">
        <v>15</v>
      </c>
      <c r="G572" s="2" t="s">
        <v>1656</v>
      </c>
      <c r="H572" s="2" t="s">
        <v>465</v>
      </c>
      <c r="I572" s="2" t="str">
        <f>IFERROR(__xludf.DUMMYFUNCTION("GOOGLETRANSLATE(C572,""fr"",""en"")"),"Customer service speed is incomparable to others, response in 5 days maximum for my part 3.
Final green card received by mail barely a week after signing the contract.
Commercial service when subscribing to our needs")</f>
        <v>Customer service speed is incomparable to others, response in 5 days maximum for my part 3.
Final green card received by mail barely a week after signing the contract.
Commercial service when subscribing to our needs</v>
      </c>
    </row>
    <row r="573" ht="15.75" customHeight="1">
      <c r="A573" s="2">
        <v>4.0</v>
      </c>
      <c r="B573" s="2" t="s">
        <v>1657</v>
      </c>
      <c r="C573" s="2" t="s">
        <v>1658</v>
      </c>
      <c r="D573" s="2" t="s">
        <v>150</v>
      </c>
      <c r="E573" s="2" t="s">
        <v>122</v>
      </c>
      <c r="F573" s="2" t="s">
        <v>15</v>
      </c>
      <c r="G573" s="2" t="s">
        <v>836</v>
      </c>
      <c r="H573" s="2" t="s">
        <v>42</v>
      </c>
      <c r="I573" s="2" t="str">
        <f>IFERROR(__xludf.DUMMYFUNCTION("GOOGLETRANSLATE(C573,""fr"",""en"")"),"Very practical online registration.
It is curious to request an opinion when the final contract is not issued.
So I'm waiting for everything to be regularized but for the moment everything is going well.")</f>
        <v>Very practical online registration.
It is curious to request an opinion when the final contract is not issued.
So I'm waiting for everything to be regularized but for the moment everything is going well.</v>
      </c>
    </row>
    <row r="574" ht="15.75" customHeight="1">
      <c r="A574" s="2">
        <v>2.0</v>
      </c>
      <c r="B574" s="2" t="s">
        <v>1659</v>
      </c>
      <c r="C574" s="2" t="s">
        <v>1660</v>
      </c>
      <c r="D574" s="2" t="s">
        <v>592</v>
      </c>
      <c r="E574" s="2" t="s">
        <v>14</v>
      </c>
      <c r="F574" s="2" t="s">
        <v>15</v>
      </c>
      <c r="G574" s="2" t="s">
        <v>1661</v>
      </c>
      <c r="H574" s="2" t="s">
        <v>144</v>
      </c>
      <c r="I574" s="2" t="str">
        <f>IFERROR(__xludf.DUMMYFUNCTION("GOOGLETRANSLATE(C574,""fr"",""en"")"),"My business has just changed mutual. My 8 -year -old son is still not attached to my mutual. Despite at least 5 internet reminders (obviously no direct email address ..) and they are impossible to join. I tried to call at least 20 times Between December 2"&amp;"0 and January 5: all our advice are taken later.
I find it quite unacceptable.")</f>
        <v>My business has just changed mutual. My 8 -year -old son is still not attached to my mutual. Despite at least 5 internet reminders (obviously no direct email address ..) and they are impossible to join. I tried to call at least 20 times Between December 20 and January 5: all our advice are taken later.
I find it quite unacceptable.</v>
      </c>
    </row>
    <row r="575" ht="15.75" customHeight="1">
      <c r="A575" s="2">
        <v>3.0</v>
      </c>
      <c r="B575" s="2" t="s">
        <v>1662</v>
      </c>
      <c r="C575" s="2" t="s">
        <v>1663</v>
      </c>
      <c r="D575" s="2" t="s">
        <v>31</v>
      </c>
      <c r="E575" s="2" t="s">
        <v>58</v>
      </c>
      <c r="F575" s="2" t="s">
        <v>15</v>
      </c>
      <c r="G575" s="2" t="s">
        <v>1664</v>
      </c>
      <c r="H575" s="2" t="s">
        <v>265</v>
      </c>
      <c r="I575" s="2" t="str">
        <f>IFERROR(__xludf.DUMMYFUNCTION("GOOGLETRANSLATE(C575,""fr"",""en"")"),"I am assured for water damage .. when the problem invites you to you ... the Macif turns your back ... not sending any expert ... The platform hangs me up ... telling me more From 240 € of damage it is up to my lessor to pay ... I am assured of the waters"&amp;" then there is no one left to answer you and advance the file .. Total abandonment ... I do not recommend at all This insurance ...")</f>
        <v>I am assured for water damage .. when the problem invites you to you ... the Macif turns your back ... not sending any expert ... The platform hangs me up ... telling me more From 240 € of damage it is up to my lessor to pay ... I am assured of the waters then there is no one left to answer you and advance the file .. Total abandonment ... I do not recommend at all This insurance ...</v>
      </c>
    </row>
    <row r="576" ht="15.75" customHeight="1">
      <c r="A576" s="2">
        <v>1.0</v>
      </c>
      <c r="B576" s="2" t="s">
        <v>1665</v>
      </c>
      <c r="C576" s="2" t="s">
        <v>1666</v>
      </c>
      <c r="D576" s="2" t="s">
        <v>216</v>
      </c>
      <c r="E576" s="2" t="s">
        <v>195</v>
      </c>
      <c r="F576" s="2" t="s">
        <v>15</v>
      </c>
      <c r="G576" s="2" t="s">
        <v>1667</v>
      </c>
      <c r="H576" s="2" t="s">
        <v>60</v>
      </c>
      <c r="I576" s="2" t="str">
        <f>IFERROR(__xludf.DUMMYFUNCTION("GOOGLETRANSLATE(C576,""fr"",""en"")"),"Company that has been going on by boat for 2 months
A blow they lose the file then we tell you yes your file is incomplete, send them an email with the person on the phone who certifies you to have received it and that the file will be processed the next"&amp;" day, remind you the next day we tell you no sir no email received no trace
And for 2 months we have been carried out by boat, on the other hand for you to take it he does not forget
To flee")</f>
        <v>Company that has been going on by boat for 2 months
A blow they lose the file then we tell you yes your file is incomplete, send them an email with the person on the phone who certifies you to have received it and that the file will be processed the next day, remind you the next day we tell you no sir no email received no trace
And for 2 months we have been carried out by boat, on the other hand for you to take it he does not forget
To flee</v>
      </c>
    </row>
    <row r="577" ht="15.75" customHeight="1">
      <c r="A577" s="2">
        <v>2.0</v>
      </c>
      <c r="B577" s="2" t="s">
        <v>1668</v>
      </c>
      <c r="C577" s="2" t="s">
        <v>1669</v>
      </c>
      <c r="D577" s="2" t="s">
        <v>67</v>
      </c>
      <c r="E577" s="2" t="s">
        <v>58</v>
      </c>
      <c r="F577" s="2" t="s">
        <v>15</v>
      </c>
      <c r="G577" s="2" t="s">
        <v>1670</v>
      </c>
      <c r="H577" s="2" t="s">
        <v>693</v>
      </c>
      <c r="I577" s="2" t="str">
        <f>IFERROR(__xludf.DUMMYFUNCTION("GOOGLETRANSLATE(C577,""fr"",""en"")"),"The maaf for me is equal to extorter.
So I present myself to take out home insurance. Until all is well.
When signing there is of course the sheets on the desk and at the end of the wire an additional contract not requested (family tranquility insurance"&amp;"). So I ask for the advisor, what is! She replies that it is civil liability. She tells me you will need it, if you have children because they are going to ask you! Well I trust him and I sign. Having a nursery child, I need it. When I get home, I check w"&amp;"hat this insurance is and in the end nothing. So the lies advisers, the background of the forced and false sale. In short, in a year, see the maaf and I would not advertise, quite the contrary. Along the all, it may be the Maaf policy to keep their custom"&amp;"ers just a year by taxing them as much as possible!
Clearly completely avoided this insurance.
Apart from if you like liars;)")</f>
        <v>The maaf for me is equal to extorter.
So I present myself to take out home insurance. Until all is well.
When signing there is of course the sheets on the desk and at the end of the wire an additional contract not requested (family tranquility insurance). So I ask for the advisor, what is! She replies that it is civil liability. She tells me you will need it, if you have children because they are going to ask you! Well I trust him and I sign. Having a nursery child, I need it. When I get home, I check what this insurance is and in the end nothing. So the lies advisers, the background of the forced and false sale. In short, in a year, see the maaf and I would not advertise, quite the contrary. Along the all, it may be the Maaf policy to keep their customers just a year by taxing them as much as possible!
Clearly completely avoided this insurance.
Apart from if you like liars;)</v>
      </c>
    </row>
    <row r="578" ht="15.75" customHeight="1">
      <c r="A578" s="2">
        <v>1.0</v>
      </c>
      <c r="B578" s="2" t="s">
        <v>1671</v>
      </c>
      <c r="C578" s="2" t="s">
        <v>1672</v>
      </c>
      <c r="D578" s="2" t="s">
        <v>67</v>
      </c>
      <c r="E578" s="2" t="s">
        <v>21</v>
      </c>
      <c r="F578" s="2" t="s">
        <v>15</v>
      </c>
      <c r="G578" s="2" t="s">
        <v>711</v>
      </c>
      <c r="H578" s="2" t="s">
        <v>118</v>
      </c>
      <c r="I578" s="2" t="str">
        <f>IFERROR(__xludf.DUMMYFUNCTION("GOOGLETRANSLATE(C578,""fr"",""en"")"),"MAAF customer for more than 20 years, I change my vehicle from a Megane IV 130 CV Diesel to a 308 130 CV diesel, I request an estimate (agency appointment), the price offered with equivalent guarantees is 880 euros Contte 630 Currently. No responsible cla"&amp;"ims, Maaf life bonus etc ... This would represent an increase of more than 38 % !!!
Without negotiating and with the same level of guarantees, the Matmute offers a contract at 680 euros and even a cheaper housing contract.
Flee the maaf !!!
A loyal and"&amp;" disappointed customer
I will pass you the divergences of information between telephone customer service and the agency about the documents to be provided for a loan request ...")</f>
        <v>MAAF customer for more than 20 years, I change my vehicle from a Megane IV 130 CV Diesel to a 308 130 CV diesel, I request an estimate (agency appointment), the price offered with equivalent guarantees is 880 euros Contte 630 Currently. No responsible claims, Maaf life bonus etc ... This would represent an increase of more than 38 % !!!
Without negotiating and with the same level of guarantees, the Matmute offers a contract at 680 euros and even a cheaper housing contract.
Flee the maaf !!!
A loyal and disappointed customer
I will pass you the divergences of information between telephone customer service and the agency about the documents to be provided for a loan request ...</v>
      </c>
    </row>
    <row r="579" ht="15.75" customHeight="1">
      <c r="A579" s="2">
        <v>1.0</v>
      </c>
      <c r="B579" s="2" t="s">
        <v>1673</v>
      </c>
      <c r="C579" s="2" t="s">
        <v>1674</v>
      </c>
      <c r="D579" s="2" t="s">
        <v>121</v>
      </c>
      <c r="E579" s="2" t="s">
        <v>122</v>
      </c>
      <c r="F579" s="2" t="s">
        <v>15</v>
      </c>
      <c r="G579" s="2" t="s">
        <v>860</v>
      </c>
      <c r="H579" s="2" t="s">
        <v>51</v>
      </c>
      <c r="I579" s="2" t="str">
        <f>IFERROR(__xludf.DUMMYFUNCTION("GOOGLETRANSLATE(C579,""fr"",""en"")"),"I went from 304 (+283) because I was wrong on the coefficient which by default is 0.5 on your site while by default a new insured is at a head of 1. Party on leave. Many letters and email inform me that I must send the document justifying my chief of 0.5 "&amp;"to finalize the green card ... not existing this document has never reached. Time passes I am on leave abroad, I mean at your sales department. In short, yesterday my insurance is terminated. Today I am made to understand that I have to redo everything fo"&amp;"r an annual sum of € 706 /year, an insert of more than 100 € .... It is expensive for a badly checked box. I am not an insurer. I redid all the registration with a person on the phone 13 min of surcharged communication ... I dare to hope that this time, a"&amp;"t the price that I pay 706 € plus the communication of 13 min surcharged, I will have all the documents without Reminder without recall ...")</f>
        <v>I went from 304 (+283) because I was wrong on the coefficient which by default is 0.5 on your site while by default a new insured is at a head of 1. Party on leave. Many letters and email inform me that I must send the document justifying my chief of 0.5 to finalize the green card ... not existing this document has never reached. Time passes I am on leave abroad, I mean at your sales department. In short, yesterday my insurance is terminated. Today I am made to understand that I have to redo everything for an annual sum of € 706 /year, an insert of more than 100 € .... It is expensive for a badly checked box. I am not an insurer. I redid all the registration with a person on the phone 13 min of surcharged communication ... I dare to hope that this time, at the price that I pay 706 € plus the communication of 13 min surcharged, I will have all the documents without Reminder without recall ...</v>
      </c>
    </row>
    <row r="580" ht="15.75" customHeight="1">
      <c r="A580" s="2">
        <v>3.0</v>
      </c>
      <c r="B580" s="2" t="s">
        <v>1675</v>
      </c>
      <c r="C580" s="2" t="s">
        <v>1676</v>
      </c>
      <c r="D580" s="2" t="s">
        <v>41</v>
      </c>
      <c r="E580" s="2" t="s">
        <v>21</v>
      </c>
      <c r="F580" s="2" t="s">
        <v>15</v>
      </c>
      <c r="G580" s="2" t="s">
        <v>1648</v>
      </c>
      <c r="H580" s="2" t="s">
        <v>74</v>
      </c>
      <c r="I580" s="2" t="str">
        <f>IFERROR(__xludf.DUMMYFUNCTION("GOOGLETRANSLATE(C580,""fr"",""en"")"),"Correct price. Hoping that there is no increase next year, as I have already seen previously.
The subscription is simple and practical.")</f>
        <v>Correct price. Hoping that there is no increase next year, as I have already seen previously.
The subscription is simple and practical.</v>
      </c>
    </row>
    <row r="581" ht="15.75" customHeight="1">
      <c r="A581" s="2">
        <v>4.0</v>
      </c>
      <c r="B581" s="2" t="s">
        <v>1677</v>
      </c>
      <c r="C581" s="2" t="s">
        <v>1678</v>
      </c>
      <c r="D581" s="2" t="s">
        <v>72</v>
      </c>
      <c r="E581" s="2" t="s">
        <v>21</v>
      </c>
      <c r="F581" s="2" t="s">
        <v>15</v>
      </c>
      <c r="G581" s="2" t="s">
        <v>1679</v>
      </c>
      <c r="H581" s="2" t="s">
        <v>134</v>
      </c>
      <c r="I581" s="2" t="str">
        <f>IFERROR(__xludf.DUMMYFUNCTION("GOOGLETRANSLATE(C581,""fr"",""en"")"),"I am very satisfied with the service rendered. All of my exchanges have been satisfactory. I have always had answers to my questions and my solutions are always found.")</f>
        <v>I am very satisfied with the service rendered. All of my exchanges have been satisfactory. I have always had answers to my questions and my solutions are always found.</v>
      </c>
    </row>
    <row r="582" ht="15.75" customHeight="1">
      <c r="A582" s="2">
        <v>1.0</v>
      </c>
      <c r="B582" s="2" t="s">
        <v>1680</v>
      </c>
      <c r="C582" s="2" t="s">
        <v>1681</v>
      </c>
      <c r="D582" s="2" t="s">
        <v>67</v>
      </c>
      <c r="E582" s="2" t="s">
        <v>21</v>
      </c>
      <c r="F582" s="2" t="s">
        <v>15</v>
      </c>
      <c r="G582" s="2" t="s">
        <v>1682</v>
      </c>
      <c r="H582" s="2" t="s">
        <v>93</v>
      </c>
      <c r="I582" s="2" t="str">
        <f>IFERROR(__xludf.DUMMYFUNCTION("GOOGLETRANSLATE(C582,""fr"",""en"")"),"Disgusted, disgusted. Insured at home for 12 years, 2 cars, bonus 0.64. And there they have terminated me for a loss frequency for a car except that I only had one in 3 years and for behavior reasons on my second car or I had no sinister. Suddenly, no one"&amp;" understands the behavior reason the insurers that I am currently approaching have never seen this reason. In short, it’s really abuse to get fired like that. I went to my agency and my advisor told me I know they sort this year ...")</f>
        <v>Disgusted, disgusted. Insured at home for 12 years, 2 cars, bonus 0.64. And there they have terminated me for a loss frequency for a car except that I only had one in 3 years and for behavior reasons on my second car or I had no sinister. Suddenly, no one understands the behavior reason the insurers that I am currently approaching have never seen this reason. In short, it’s really abuse to get fired like that. I went to my agency and my advisor told me I know they sort this year ...</v>
      </c>
    </row>
    <row r="583" ht="15.75" customHeight="1">
      <c r="A583" s="2">
        <v>2.0</v>
      </c>
      <c r="B583" s="2" t="s">
        <v>1683</v>
      </c>
      <c r="C583" s="2" t="s">
        <v>1684</v>
      </c>
      <c r="D583" s="2" t="s">
        <v>91</v>
      </c>
      <c r="E583" s="2" t="s">
        <v>14</v>
      </c>
      <c r="F583" s="2" t="s">
        <v>15</v>
      </c>
      <c r="G583" s="2" t="s">
        <v>1585</v>
      </c>
      <c r="H583" s="2" t="s">
        <v>292</v>
      </c>
      <c r="I583" s="2" t="str">
        <f>IFERROR(__xludf.DUMMYFUNCTION("GOOGLETRANSLATE(C583,""fr"",""en"")"),"5% increase in the contract, two months after signature.")</f>
        <v>5% increase in the contract, two months after signature.</v>
      </c>
    </row>
    <row r="584" ht="15.75" customHeight="1">
      <c r="A584" s="2">
        <v>1.0</v>
      </c>
      <c r="B584" s="2" t="s">
        <v>1685</v>
      </c>
      <c r="C584" s="2" t="s">
        <v>1686</v>
      </c>
      <c r="D584" s="2" t="s">
        <v>20</v>
      </c>
      <c r="E584" s="2" t="s">
        <v>21</v>
      </c>
      <c r="F584" s="2" t="s">
        <v>15</v>
      </c>
      <c r="G584" s="2" t="s">
        <v>1687</v>
      </c>
      <c r="H584" s="2" t="s">
        <v>227</v>
      </c>
      <c r="I584" s="2" t="str">
        <f>IFERROR(__xludf.DUMMYFUNCTION("GOOGLETRANSLATE(C584,""fr"",""en"")"),"TO FLEE
1: IRSA not signed therefore in the event of an accident with one thing belonging to another person they will not want to pay even if not responsible
2: advisers are parrots that contradict each other according to the days
3: Too much too s"&amp;"low in file management (more than 90 days that I am waiting for their inaction)
4: more than doubtful contractual clauses and there is a lot of flaws in their contract (according to a lawyer that I have seen)
5: You will necessarily have a dispute w"&amp;"ith them sooner or later so avoid them")</f>
        <v>TO FLEE
1: IRSA not signed therefore in the event of an accident with one thing belonging to another person they will not want to pay even if not responsible
2: advisers are parrots that contradict each other according to the days
3: Too much too slow in file management (more than 90 days that I am waiting for their inaction)
4: more than doubtful contractual clauses and there is a lot of flaws in their contract (according to a lawyer that I have seen)
5: You will necessarily have a dispute with them sooner or later so avoid them</v>
      </c>
    </row>
    <row r="585" ht="15.75" customHeight="1">
      <c r="A585" s="2">
        <v>4.0</v>
      </c>
      <c r="B585" s="2" t="s">
        <v>1688</v>
      </c>
      <c r="C585" s="2" t="s">
        <v>1689</v>
      </c>
      <c r="D585" s="2" t="s">
        <v>41</v>
      </c>
      <c r="E585" s="2" t="s">
        <v>21</v>
      </c>
      <c r="F585" s="2" t="s">
        <v>15</v>
      </c>
      <c r="G585" s="2" t="s">
        <v>1690</v>
      </c>
      <c r="H585" s="2" t="s">
        <v>51</v>
      </c>
      <c r="I585" s="2" t="str">
        <f>IFERROR(__xludf.DUMMYFUNCTION("GOOGLETRANSLATE(C585,""fr"",""en"")"),"If everything goes well until the end, it will be very good!
And if in the event of a possible disaster, everything is going well, it will be impeccable ;-)
Yours")</f>
        <v>If everything goes well until the end, it will be very good!
And if in the event of a possible disaster, everything is going well, it will be impeccable ;-)
Yours</v>
      </c>
    </row>
    <row r="586" ht="15.75" customHeight="1">
      <c r="A586" s="2">
        <v>4.0</v>
      </c>
      <c r="B586" s="2" t="s">
        <v>1691</v>
      </c>
      <c r="C586" s="2" t="s">
        <v>1692</v>
      </c>
      <c r="D586" s="2" t="s">
        <v>20</v>
      </c>
      <c r="E586" s="2" t="s">
        <v>21</v>
      </c>
      <c r="F586" s="2" t="s">
        <v>15</v>
      </c>
      <c r="G586" s="2" t="s">
        <v>55</v>
      </c>
      <c r="H586" s="2" t="s">
        <v>55</v>
      </c>
      <c r="I586" s="2" t="str">
        <f>IFERROR(__xludf.DUMMYFUNCTION("GOOGLETRANSLATE(C586,""fr"",""en"")"),"Prices A bit higher than I paid for at home 2 years ago for a car with 9CV instead of 6CV
Maybe the covid effect .. otherwise nothing to complain about")</f>
        <v>Prices A bit higher than I paid for at home 2 years ago for a car with 9CV instead of 6CV
Maybe the covid effect .. otherwise nothing to complain about</v>
      </c>
    </row>
    <row r="587" ht="15.75" customHeight="1">
      <c r="A587" s="2">
        <v>3.0</v>
      </c>
      <c r="B587" s="2" t="s">
        <v>1693</v>
      </c>
      <c r="C587" s="2" t="s">
        <v>1694</v>
      </c>
      <c r="D587" s="2" t="s">
        <v>41</v>
      </c>
      <c r="E587" s="2" t="s">
        <v>21</v>
      </c>
      <c r="F587" s="2" t="s">
        <v>15</v>
      </c>
      <c r="G587" s="2" t="s">
        <v>1695</v>
      </c>
      <c r="H587" s="2" t="s">
        <v>231</v>
      </c>
      <c r="I587" s="2" t="str">
        <f>IFERROR(__xludf.DUMMYFUNCTION("GOOGLETRANSLATE(C587,""fr"",""en"")"),"I have been a customer at home for several years and all my cars that I owned have been insured at home, even those of my family and my loved ones.")</f>
        <v>I have been a customer at home for several years and all my cars that I owned have been insured at home, even those of my family and my loved ones.</v>
      </c>
    </row>
    <row r="588" ht="15.75" customHeight="1">
      <c r="A588" s="2">
        <v>1.0</v>
      </c>
      <c r="B588" s="2" t="s">
        <v>1696</v>
      </c>
      <c r="C588" s="2" t="s">
        <v>1697</v>
      </c>
      <c r="D588" s="2" t="s">
        <v>216</v>
      </c>
      <c r="E588" s="2" t="s">
        <v>195</v>
      </c>
      <c r="F588" s="2" t="s">
        <v>15</v>
      </c>
      <c r="G588" s="2" t="s">
        <v>1698</v>
      </c>
      <c r="H588" s="2" t="s">
        <v>251</v>
      </c>
      <c r="I588" s="2" t="str">
        <f>IFERROR(__xludf.DUMMYFUNCTION("GOOGLETRANSLATE(C588,""fr"",""en"")"),"I left a good sum 15 days at the CNP: it amputated it by 4%. Removed after that, it took me 1 month for a refund! Well done, that's service!")</f>
        <v>I left a good sum 15 days at the CNP: it amputated it by 4%. Removed after that, it took me 1 month for a refund! Well done, that's service!</v>
      </c>
    </row>
    <row r="589" ht="15.75" customHeight="1">
      <c r="A589" s="2">
        <v>5.0</v>
      </c>
      <c r="B589" s="2" t="s">
        <v>1699</v>
      </c>
      <c r="C589" s="2" t="s">
        <v>1700</v>
      </c>
      <c r="D589" s="2" t="s">
        <v>20</v>
      </c>
      <c r="E589" s="2" t="s">
        <v>21</v>
      </c>
      <c r="F589" s="2" t="s">
        <v>15</v>
      </c>
      <c r="G589" s="2" t="s">
        <v>825</v>
      </c>
      <c r="H589" s="2" t="s">
        <v>55</v>
      </c>
      <c r="I589" s="2" t="str">
        <f>IFERROR(__xludf.DUMMYFUNCTION("GOOGLETRANSLATE(C589,""fr"",""en"")"),"Not bad at all top service quick without worrying to advise strongly.
Car insurance for me
Good value for money...................    ........")</f>
        <v>Not bad at all top service quick without worrying to advise strongly.
Car insurance for me
Good value for money...................    ........</v>
      </c>
    </row>
    <row r="590" ht="15.75" customHeight="1">
      <c r="A590" s="2">
        <v>4.0</v>
      </c>
      <c r="B590" s="2" t="s">
        <v>1701</v>
      </c>
      <c r="C590" s="2" t="s">
        <v>1702</v>
      </c>
      <c r="D590" s="2" t="s">
        <v>41</v>
      </c>
      <c r="E590" s="2" t="s">
        <v>21</v>
      </c>
      <c r="F590" s="2" t="s">
        <v>15</v>
      </c>
      <c r="G590" s="2" t="s">
        <v>157</v>
      </c>
      <c r="H590" s="2" t="s">
        <v>28</v>
      </c>
      <c r="I590" s="2" t="str">
        <f>IFERROR(__xludf.DUMMYFUNCTION("GOOGLETRANSLATE(C590,""fr"",""en"")"),"Membership is simple and quick
The guaranteed/price ratio is positive
The app (which has evolved a lot) is well done and easy to use
It remains to be created there is a sinister to manage if the management of the file is so easy ... I have confidence")</f>
        <v>Membership is simple and quick
The guaranteed/price ratio is positive
The app (which has evolved a lot) is well done and easy to use
It remains to be created there is a sinister to manage if the management of the file is so easy ... I have confidence</v>
      </c>
    </row>
    <row r="591" ht="15.75" customHeight="1">
      <c r="A591" s="2">
        <v>1.0</v>
      </c>
      <c r="B591" s="2" t="s">
        <v>1703</v>
      </c>
      <c r="C591" s="2" t="s">
        <v>1704</v>
      </c>
      <c r="D591" s="2" t="s">
        <v>395</v>
      </c>
      <c r="E591" s="2" t="s">
        <v>21</v>
      </c>
      <c r="F591" s="2" t="s">
        <v>15</v>
      </c>
      <c r="G591" s="2" t="s">
        <v>1705</v>
      </c>
      <c r="H591" s="2" t="s">
        <v>790</v>
      </c>
      <c r="I591" s="2" t="str">
        <f>IFERROR(__xludf.DUMMYFUNCTION("GOOGLETRANSLATE(C591,""fr"",""en"")"),"Good to take money, beautiful speakers with easy but speech promises. For several months I have been waiting for the reimbursement of two monthly payments offered at the signing, despite my reminders I only receive recommended words and letters because to"&amp;" claim the money are very strong but to make it ... there there is No one, we have the right to be silent and pay and if we do not do it is the bailiff ....")</f>
        <v>Good to take money, beautiful speakers with easy but speech promises. For several months I have been waiting for the reimbursement of two monthly payments offered at the signing, despite my reminders I only receive recommended words and letters because to claim the money are very strong but to make it ... there there is No one, we have the right to be silent and pay and if we do not do it is the bailiff ....</v>
      </c>
    </row>
    <row r="592" ht="15.75" customHeight="1">
      <c r="A592" s="2">
        <v>1.0</v>
      </c>
      <c r="B592" s="2" t="s">
        <v>1706</v>
      </c>
      <c r="C592" s="2" t="s">
        <v>1707</v>
      </c>
      <c r="D592" s="2" t="s">
        <v>678</v>
      </c>
      <c r="E592" s="2" t="s">
        <v>21</v>
      </c>
      <c r="F592" s="2" t="s">
        <v>15</v>
      </c>
      <c r="G592" s="2" t="s">
        <v>1708</v>
      </c>
      <c r="H592" s="2" t="s">
        <v>60</v>
      </c>
      <c r="I592" s="2" t="str">
        <f>IFERROR(__xludf.DUMMYFUNCTION("GOOGLETRANSLATE(C592,""fr"",""en"")"),"Deplorable attitude !!
I subscribed to a contract in this company 1 month before the end of my contract with my preceding insurer interested in the attractive price I let myself be tempted and pay a provision of 100 euros.
Shortly (17 days) after enteri"&amp;"ng it into force of this new contract I contact them to modify my workplace (20km more) and hop (+ 15%) and advise it that I have at the end of the wire m 'Learn that I am not covered in the event of a breakdown and that Eurofil does not make a contract u"&amp;"pgrade that it is like that and not otherwise by yelling on it !! (I was forced to ask him to calm down) and limits me by treating me with fraudster trying to steal.
Unacceptable attitude to you to judge")</f>
        <v>Deplorable attitude !!
I subscribed to a contract in this company 1 month before the end of my contract with my preceding insurer interested in the attractive price I let myself be tempted and pay a provision of 100 euros.
Shortly (17 days) after entering it into force of this new contract I contact them to modify my workplace (20km more) and hop (+ 15%) and advise it that I have at the end of the wire m 'Learn that I am not covered in the event of a breakdown and that Eurofil does not make a contract upgrade that it is like that and not otherwise by yelling on it !! (I was forced to ask him to calm down) and limits me by treating me with fraudster trying to steal.
Unacceptable attitude to you to judge</v>
      </c>
    </row>
    <row r="593" ht="15.75" customHeight="1">
      <c r="A593" s="2">
        <v>1.0</v>
      </c>
      <c r="B593" s="2" t="s">
        <v>1709</v>
      </c>
      <c r="C593" s="2" t="s">
        <v>1710</v>
      </c>
      <c r="D593" s="2" t="s">
        <v>172</v>
      </c>
      <c r="E593" s="2" t="s">
        <v>14</v>
      </c>
      <c r="F593" s="2" t="s">
        <v>15</v>
      </c>
      <c r="G593" s="2" t="s">
        <v>1711</v>
      </c>
      <c r="H593" s="2" t="s">
        <v>282</v>
      </c>
      <c r="I593" s="2" t="str">
        <f>IFERROR(__xludf.DUMMYFUNCTION("GOOGLETRANSLATE(C593,""fr"",""en"")"),"The MGP has lost its mutualist mind. Refunds are reduced to a minimum. Member with all my family for 40 years, we are really disappointed with the incompetence of the staff. Shuttle between us and the MGP, while a telephone call would have been enough to "&amp;"settle the small pb, often a simple checked box and finally of account after a ""certain time"" I received the uncomed agreement. I specify each shuttle lasts a month.")</f>
        <v>The MGP has lost its mutualist mind. Refunds are reduced to a minimum. Member with all my family for 40 years, we are really disappointed with the incompetence of the staff. Shuttle between us and the MGP, while a telephone call would have been enough to settle the small pb, often a simple checked box and finally of account after a "certain time" I received the uncomed agreement. I specify each shuttle lasts a month.</v>
      </c>
    </row>
    <row r="594" ht="15.75" customHeight="1">
      <c r="A594" s="2">
        <v>1.0</v>
      </c>
      <c r="B594" s="2" t="s">
        <v>1712</v>
      </c>
      <c r="C594" s="2" t="s">
        <v>1713</v>
      </c>
      <c r="D594" s="2" t="s">
        <v>212</v>
      </c>
      <c r="E594" s="2" t="s">
        <v>58</v>
      </c>
      <c r="F594" s="2" t="s">
        <v>15</v>
      </c>
      <c r="G594" s="2" t="s">
        <v>1714</v>
      </c>
      <c r="H594" s="2" t="s">
        <v>203</v>
      </c>
      <c r="I594" s="2" t="str">
        <f>IFERROR(__xludf.DUMMYFUNCTION("GOOGLETRANSLATE(C594,""fr"",""en"")")," Allianz, the company that can do nothing for you.
 I have been trying for several weeks to access my customer account on the Internet to have access to my file following the Irma cyclone which has passed on Saint-Martin. Neither the broker, nor the clai"&amp;"ms compensation service in Reunion, nor the office of Noumea where I live, nor even the number I call in France were able to put myself in touch with a person competent.
 It is to tear my hair, I am in a dead end.
 I hope that by reading this message so"&amp;"meone from Allianz will finally contact me, but I doubt it, because I see that whenever ALLIANZ marked there is no answer on this site.")</f>
        <v> Allianz, the company that can do nothing for you.
 I have been trying for several weeks to access my customer account on the Internet to have access to my file following the Irma cyclone which has passed on Saint-Martin. Neither the broker, nor the claims compensation service in Reunion, nor the office of Noumea where I live, nor even the number I call in France were able to put myself in touch with a person competent.
 It is to tear my hair, I am in a dead end.
 I hope that by reading this message someone from Allianz will finally contact me, but I doubt it, because I see that whenever ALLIANZ marked there is no answer on this site.</v>
      </c>
    </row>
    <row r="595" ht="15.75" customHeight="1">
      <c r="A595" s="2">
        <v>5.0</v>
      </c>
      <c r="B595" s="2" t="s">
        <v>1715</v>
      </c>
      <c r="C595" s="2" t="s">
        <v>1716</v>
      </c>
      <c r="D595" s="2" t="s">
        <v>41</v>
      </c>
      <c r="E595" s="2" t="s">
        <v>21</v>
      </c>
      <c r="F595" s="2" t="s">
        <v>15</v>
      </c>
      <c r="G595" s="2" t="s">
        <v>182</v>
      </c>
      <c r="H595" s="2" t="s">
        <v>51</v>
      </c>
      <c r="I595" s="2" t="str">
        <f>IFERROR(__xludf.DUMMYFUNCTION("GOOGLETRANSLATE(C595,""fr"",""en"")"),"I did not find cheaper the very correct price in addition I benefit from 100 euros offered for the first year remains to be seen if there is a problem there")</f>
        <v>I did not find cheaper the very correct price in addition I benefit from 100 euros offered for the first year remains to be seen if there is a problem there</v>
      </c>
    </row>
    <row r="596" ht="15.75" customHeight="1">
      <c r="A596" s="2">
        <v>2.0</v>
      </c>
      <c r="B596" s="2" t="s">
        <v>1717</v>
      </c>
      <c r="C596" s="2" t="s">
        <v>1718</v>
      </c>
      <c r="D596" s="2" t="s">
        <v>395</v>
      </c>
      <c r="E596" s="2" t="s">
        <v>58</v>
      </c>
      <c r="F596" s="2" t="s">
        <v>15</v>
      </c>
      <c r="G596" s="2" t="s">
        <v>1112</v>
      </c>
      <c r="H596" s="2" t="s">
        <v>118</v>
      </c>
      <c r="I596" s="2" t="str">
        <f>IFERROR(__xludf.DUMMYFUNCTION("GOOGLETRANSLATE(C596,""fr"",""en"")"),"Deplorable insurance! Draft the files, incompetent sinister service. Offers insurance with franchise and when the insured refuses to pay his part of a franchise to the victim, Axa responds that it is not his problem because he paid for his share. And the "&amp;"victim ends up with 160 euros not reimbursed! A shame !!!!")</f>
        <v>Deplorable insurance! Draft the files, incompetent sinister service. Offers insurance with franchise and when the insured refuses to pay his part of a franchise to the victim, Axa responds that it is not his problem because he paid for his share. And the victim ends up with 160 euros not reimbursed! A shame !!!!</v>
      </c>
    </row>
    <row r="597" ht="15.75" customHeight="1">
      <c r="A597" s="2">
        <v>5.0</v>
      </c>
      <c r="B597" s="2" t="s">
        <v>1719</v>
      </c>
      <c r="C597" s="2" t="s">
        <v>1720</v>
      </c>
      <c r="D597" s="2" t="s">
        <v>20</v>
      </c>
      <c r="E597" s="2" t="s">
        <v>21</v>
      </c>
      <c r="F597" s="2" t="s">
        <v>15</v>
      </c>
      <c r="G597" s="2" t="s">
        <v>543</v>
      </c>
      <c r="H597" s="2" t="s">
        <v>74</v>
      </c>
      <c r="I597" s="2" t="str">
        <f>IFERROR(__xludf.DUMMYFUNCTION("GOOGLETRANSLATE(C597,""fr"",""en"")"),"I am very satisfied with the services offered by Olivier insurance, the prices are very affordable, I would recommend Olivier insurance to everyone around me")</f>
        <v>I am very satisfied with the services offered by Olivier insurance, the prices are very affordable, I would recommend Olivier insurance to everyone around me</v>
      </c>
    </row>
    <row r="598" ht="15.75" customHeight="1">
      <c r="A598" s="2">
        <v>4.0</v>
      </c>
      <c r="B598" s="2" t="s">
        <v>1721</v>
      </c>
      <c r="C598" s="2" t="s">
        <v>1722</v>
      </c>
      <c r="D598" s="2" t="s">
        <v>172</v>
      </c>
      <c r="E598" s="2" t="s">
        <v>14</v>
      </c>
      <c r="F598" s="2" t="s">
        <v>15</v>
      </c>
      <c r="G598" s="2" t="s">
        <v>1476</v>
      </c>
      <c r="H598" s="2" t="s">
        <v>660</v>
      </c>
      <c r="I598" s="2" t="str">
        <f>IFERROR(__xludf.DUMMYFUNCTION("GOOGLETRANSLATE(C598,""fr"",""en"")"),"The MGP is a very good mutual for civil servants. I always get the information I ask and fairly quickly. The phone advisers are always pleasant and professional.")</f>
        <v>The MGP is a very good mutual for civil servants. I always get the information I ask and fairly quickly. The phone advisers are always pleasant and professional.</v>
      </c>
    </row>
    <row r="599" ht="15.75" customHeight="1">
      <c r="A599" s="2">
        <v>4.0</v>
      </c>
      <c r="B599" s="2" t="s">
        <v>1723</v>
      </c>
      <c r="C599" s="2" t="s">
        <v>1724</v>
      </c>
      <c r="D599" s="2" t="s">
        <v>41</v>
      </c>
      <c r="E599" s="2" t="s">
        <v>21</v>
      </c>
      <c r="F599" s="2" t="s">
        <v>15</v>
      </c>
      <c r="G599" s="2" t="s">
        <v>1365</v>
      </c>
      <c r="H599" s="2" t="s">
        <v>74</v>
      </c>
      <c r="I599" s="2" t="str">
        <f>IFERROR(__xludf.DUMMYFUNCTION("GOOGLETRANSLATE(C599,""fr"",""en"")"),"I am satisfied with the speed with which the contract is carried out.
Also for deadlines. Processing to send the necessary documents")</f>
        <v>I am satisfied with the speed with which the contract is carried out.
Also for deadlines. Processing to send the necessary documents</v>
      </c>
    </row>
    <row r="600" ht="15.75" customHeight="1">
      <c r="A600" s="2">
        <v>4.0</v>
      </c>
      <c r="B600" s="2" t="s">
        <v>1725</v>
      </c>
      <c r="C600" s="2" t="s">
        <v>1726</v>
      </c>
      <c r="D600" s="2" t="s">
        <v>41</v>
      </c>
      <c r="E600" s="2" t="s">
        <v>21</v>
      </c>
      <c r="F600" s="2" t="s">
        <v>15</v>
      </c>
      <c r="G600" s="2" t="s">
        <v>1027</v>
      </c>
      <c r="H600" s="2" t="s">
        <v>74</v>
      </c>
      <c r="I600" s="2" t="str">
        <f>IFERROR(__xludf.DUMMYFUNCTION("GOOGLETRANSLATE(C600,""fr"",""en"")"),"Nickel see you soon on the roads of France, in retired boarder mode thanks to my insurance.; Hopefully the Pouet Pouet still works thirty years")</f>
        <v>Nickel see you soon on the roads of France, in retired boarder mode thanks to my insurance.; Hopefully the Pouet Pouet still works thirty years</v>
      </c>
    </row>
    <row r="601" ht="15.75" customHeight="1">
      <c r="A601" s="2">
        <v>1.0</v>
      </c>
      <c r="B601" s="2" t="s">
        <v>1727</v>
      </c>
      <c r="C601" s="2" t="s">
        <v>1728</v>
      </c>
      <c r="D601" s="2" t="s">
        <v>651</v>
      </c>
      <c r="E601" s="2" t="s">
        <v>14</v>
      </c>
      <c r="F601" s="2" t="s">
        <v>15</v>
      </c>
      <c r="G601" s="2" t="s">
        <v>1067</v>
      </c>
      <c r="H601" s="2" t="s">
        <v>1068</v>
      </c>
      <c r="I601" s="2" t="str">
        <f>IFERROR(__xludf.DUMMYFUNCTION("GOOGLETRANSLATE(C601,""fr"",""en"")"),"New customer at home for 15 days (family of 5 people), I want to connect to my personal space but, during my very first connection, it is necessary to indicate his email address to receive the email containing this famous password, either. So I enter my e"&amp;"mail address then, ""I am not a robot"" but no email in return, I renew the operation 10/15/30 times, still nothing (undesirable/spam including); I contact customer service by phone who replies that the IT service is looking at the concern, that is. 5 day"&amp;"s later, still no change, email or return, nothing !!! My customer experience begins very badly !!!")</f>
        <v>New customer at home for 15 days (family of 5 people), I want to connect to my personal space but, during my very first connection, it is necessary to indicate his email address to receive the email containing this famous password, either. So I enter my email address then, "I am not a robot" but no email in return, I renew the operation 10/15/30 times, still nothing (undesirable/spam including); I contact customer service by phone who replies that the IT service is looking at the concern, that is. 5 days later, still no change, email or return, nothing !!! My customer experience begins very badly !!!</v>
      </c>
    </row>
    <row r="602" ht="15.75" customHeight="1">
      <c r="A602" s="2">
        <v>4.0</v>
      </c>
      <c r="B602" s="2" t="s">
        <v>1729</v>
      </c>
      <c r="C602" s="2" t="s">
        <v>1730</v>
      </c>
      <c r="D602" s="2" t="s">
        <v>20</v>
      </c>
      <c r="E602" s="2" t="s">
        <v>21</v>
      </c>
      <c r="F602" s="2" t="s">
        <v>15</v>
      </c>
      <c r="G602" s="2" t="s">
        <v>1731</v>
      </c>
      <c r="H602" s="2" t="s">
        <v>1068</v>
      </c>
      <c r="I602" s="2" t="str">
        <f>IFERROR(__xludf.DUMMYFUNCTION("GOOGLETRANSLATE(C602,""fr"",""en"")"),"Very well, but not to sign with a smatphone, compulsory computer version. I am not a computer or printer so I had to put the computer version on Google to be able to sign virtually. Android version not yet operational")</f>
        <v>Very well, but not to sign with a smatphone, compulsory computer version. I am not a computer or printer so I had to put the computer version on Google to be able to sign virtually. Android version not yet operational</v>
      </c>
    </row>
    <row r="603" ht="15.75" customHeight="1">
      <c r="A603" s="2">
        <v>2.0</v>
      </c>
      <c r="B603" s="2" t="s">
        <v>1732</v>
      </c>
      <c r="C603" s="2" t="s">
        <v>1733</v>
      </c>
      <c r="D603" s="2" t="s">
        <v>773</v>
      </c>
      <c r="E603" s="2" t="s">
        <v>58</v>
      </c>
      <c r="F603" s="2" t="s">
        <v>15</v>
      </c>
      <c r="G603" s="2" t="s">
        <v>593</v>
      </c>
      <c r="H603" s="2" t="s">
        <v>560</v>
      </c>
      <c r="I603" s="2" t="str">
        <f>IFERROR(__xludf.DUMMYFUNCTION("GOOGLETRANSLATE(C603,""fr"",""en"")"),"I terminated with the worst difficulties. The Groupama agency did not want to do .. we do not take care of the termination here")</f>
        <v>I terminated with the worst difficulties. The Groupama agency did not want to do .. we do not take care of the termination here</v>
      </c>
    </row>
    <row r="604" ht="15.75" customHeight="1">
      <c r="A604" s="2">
        <v>1.0</v>
      </c>
      <c r="B604" s="2" t="s">
        <v>1734</v>
      </c>
      <c r="C604" s="2" t="s">
        <v>1735</v>
      </c>
      <c r="D604" s="2" t="s">
        <v>212</v>
      </c>
      <c r="E604" s="2" t="s">
        <v>21</v>
      </c>
      <c r="F604" s="2" t="s">
        <v>15</v>
      </c>
      <c r="G604" s="2" t="s">
        <v>1736</v>
      </c>
      <c r="H604" s="2" t="s">
        <v>576</v>
      </c>
      <c r="I604" s="2" t="str">
        <f>IFERROR(__xludf.DUMMYFUNCTION("GOOGLETRANSLATE(C604,""fr"",""en"")"),"I had a very simple demand, change vehicles but it seems insurmountable. Maybe it will be necessary to invest in your computer system because it is a bit of anything ...
By the way, I add that the interlocutors I had online there are nothing to do with"&amp;" it and we were very courteous.")</f>
        <v>I had a very simple demand, change vehicles but it seems insurmountable. Maybe it will be necessary to invest in your computer system because it is a bit of anything ...
By the way, I add that the interlocutors I had online there are nothing to do with it and we were very courteous.</v>
      </c>
    </row>
    <row r="605" ht="15.75" customHeight="1">
      <c r="A605" s="2">
        <v>1.0</v>
      </c>
      <c r="B605" s="2" t="s">
        <v>1737</v>
      </c>
      <c r="C605" s="2" t="s">
        <v>1738</v>
      </c>
      <c r="D605" s="2" t="s">
        <v>41</v>
      </c>
      <c r="E605" s="2" t="s">
        <v>21</v>
      </c>
      <c r="F605" s="2" t="s">
        <v>15</v>
      </c>
      <c r="G605" s="2" t="s">
        <v>1739</v>
      </c>
      <c r="H605" s="2" t="s">
        <v>42</v>
      </c>
      <c r="I605" s="2" t="str">
        <f>IFERROR(__xludf.DUMMYFUNCTION("GOOGLETRANSLATE(C605,""fr"",""en"")"),"Absolutely deplorable quality of service, March 2020 email remained unanswered. I reiterate my request this year by recalling the non-response of 2020 but I am invited again to come back later in order to ""study my request"": but where are we ?? Who is t"&amp;"he customer? I ask for a simple change of fractionation! Not to mention the form: the fact that in the answer email I am called by my first name ... In short absolutely all false.")</f>
        <v>Absolutely deplorable quality of service, March 2020 email remained unanswered. I reiterate my request this year by recalling the non-response of 2020 but I am invited again to come back later in order to "study my request": but where are we ?? Who is the customer? I ask for a simple change of fractionation! Not to mention the form: the fact that in the answer email I am called by my first name ... In short absolutely all false.</v>
      </c>
    </row>
    <row r="606" ht="15.75" customHeight="1">
      <c r="A606" s="2">
        <v>2.0</v>
      </c>
      <c r="B606" s="2" t="s">
        <v>1740</v>
      </c>
      <c r="C606" s="2" t="s">
        <v>1741</v>
      </c>
      <c r="D606" s="2" t="s">
        <v>31</v>
      </c>
      <c r="E606" s="2" t="s">
        <v>922</v>
      </c>
      <c r="F606" s="2" t="s">
        <v>15</v>
      </c>
      <c r="G606" s="2" t="s">
        <v>1445</v>
      </c>
      <c r="H606" s="2" t="s">
        <v>42</v>
      </c>
      <c r="I606" s="2" t="str">
        <f>IFERROR(__xludf.DUMMYFUNCTION("GOOGLETRANSLATE(C606,""fr"",""en"")"),"My stepfather was the holder of two Mutavie life insurance, on January 26, 2021 we sent to the Macif the certificate of notoriety provided by the notary in charge of the succession. To date, March 04, 2021, still no email or mail from the Macif. By way of"&amp;" comparison another company - BNP. Cardiff has already settled capital.")</f>
        <v>My stepfather was the holder of two Mutavie life insurance, on January 26, 2021 we sent to the Macif the certificate of notoriety provided by the notary in charge of the succession. To date, March 04, 2021, still no email or mail from the Macif. By way of comparison another company - BNP. Cardiff has already settled capital.</v>
      </c>
    </row>
    <row r="607" ht="15.75" customHeight="1">
      <c r="A607" s="2">
        <v>4.0</v>
      </c>
      <c r="B607" s="2" t="s">
        <v>1742</v>
      </c>
      <c r="C607" s="2" t="s">
        <v>1743</v>
      </c>
      <c r="D607" s="2" t="s">
        <v>20</v>
      </c>
      <c r="E607" s="2" t="s">
        <v>21</v>
      </c>
      <c r="F607" s="2" t="s">
        <v>15</v>
      </c>
      <c r="G607" s="2" t="s">
        <v>738</v>
      </c>
      <c r="H607" s="2" t="s">
        <v>55</v>
      </c>
      <c r="I607" s="2" t="str">
        <f>IFERROR(__xludf.DUMMYFUNCTION("GOOGLETRANSLATE(C607,""fr"",""en"")"),"Just subscribed, easy to use Application also very intuitive Rapid. Waiting to see over time and especially how the after -sales service is")</f>
        <v>Just subscribed, easy to use Application also very intuitive Rapid. Waiting to see over time and especially how the after -sales service is</v>
      </c>
    </row>
    <row r="608" ht="15.75" customHeight="1">
      <c r="A608" s="2">
        <v>5.0</v>
      </c>
      <c r="B608" s="2" t="s">
        <v>1744</v>
      </c>
      <c r="C608" s="2" t="s">
        <v>1745</v>
      </c>
      <c r="D608" s="2" t="s">
        <v>20</v>
      </c>
      <c r="E608" s="2" t="s">
        <v>21</v>
      </c>
      <c r="F608" s="2" t="s">
        <v>15</v>
      </c>
      <c r="G608" s="2" t="s">
        <v>1354</v>
      </c>
      <c r="H608" s="2" t="s">
        <v>134</v>
      </c>
      <c r="I608" s="2" t="str">
        <f>IFERROR(__xludf.DUMMYFUNCTION("GOOGLETRANSLATE(C608,""fr"",""en"")"),"Very good support and management by the sales department. Now remains the termination of my current contract. I am waiting for a reminder")</f>
        <v>Very good support and management by the sales department. Now remains the termination of my current contract. I am waiting for a reminder</v>
      </c>
    </row>
    <row r="609" ht="15.75" customHeight="1">
      <c r="A609" s="2">
        <v>3.0</v>
      </c>
      <c r="B609" s="2" t="s">
        <v>1746</v>
      </c>
      <c r="C609" s="2" t="s">
        <v>1747</v>
      </c>
      <c r="D609" s="2" t="s">
        <v>91</v>
      </c>
      <c r="E609" s="2" t="s">
        <v>14</v>
      </c>
      <c r="F609" s="2" t="s">
        <v>15</v>
      </c>
      <c r="G609" s="2" t="s">
        <v>1748</v>
      </c>
      <c r="H609" s="2" t="s">
        <v>209</v>
      </c>
      <c r="I609" s="2" t="str">
        <f>IFERROR(__xludf.DUMMYFUNCTION("GOOGLETRANSLATE(C609,""fr"",""en"")"),"I salute the kindness and professionalism of Alicia, a very beautiful courteous and competent person. Largely deserves 5 stars.")</f>
        <v>I salute the kindness and professionalism of Alicia, a very beautiful courteous and competent person. Largely deserves 5 stars.</v>
      </c>
    </row>
    <row r="610" ht="15.75" customHeight="1">
      <c r="A610" s="2">
        <v>3.0</v>
      </c>
      <c r="B610" s="2" t="s">
        <v>1749</v>
      </c>
      <c r="C610" s="2" t="s">
        <v>1750</v>
      </c>
      <c r="D610" s="2" t="s">
        <v>67</v>
      </c>
      <c r="E610" s="2" t="s">
        <v>58</v>
      </c>
      <c r="F610" s="2" t="s">
        <v>15</v>
      </c>
      <c r="G610" s="2" t="s">
        <v>1751</v>
      </c>
      <c r="H610" s="2" t="s">
        <v>436</v>
      </c>
      <c r="I610" s="2" t="str">
        <f>IFERROR(__xludf.DUMMYFUNCTION("GOOGLETRANSLATE(C610,""fr"",""en"")"),"I have been a customer at Maaf Insurance for over 14 years without the slightest claim. Lately my neighbor has carried out undeclared work that damaged my ceiling and the walls. The MAAF only reacted after more than a month the first call being supposedly"&amp;" ""not recorded therefore without trace"" ..... after 8 months no compensation and an ironic and arrogant advisor. I do not recommend the maaf which considers you that when all is well ...")</f>
        <v>I have been a customer at Maaf Insurance for over 14 years without the slightest claim. Lately my neighbor has carried out undeclared work that damaged my ceiling and the walls. The MAAF only reacted after more than a month the first call being supposedly "not recorded therefore without trace" ..... after 8 months no compensation and an ironic and arrogant advisor. I do not recommend the maaf which considers you that when all is well ...</v>
      </c>
    </row>
    <row r="611" ht="15.75" customHeight="1">
      <c r="A611" s="2">
        <v>2.0</v>
      </c>
      <c r="B611" s="2" t="s">
        <v>1752</v>
      </c>
      <c r="C611" s="2" t="s">
        <v>1753</v>
      </c>
      <c r="D611" s="2" t="s">
        <v>678</v>
      </c>
      <c r="E611" s="2" t="s">
        <v>21</v>
      </c>
      <c r="F611" s="2" t="s">
        <v>15</v>
      </c>
      <c r="G611" s="2" t="s">
        <v>1754</v>
      </c>
      <c r="H611" s="2" t="s">
        <v>93</v>
      </c>
      <c r="I611" s="2" t="str">
        <f>IFERROR(__xludf.DUMMYFUNCTION("GOOGLETRANSLATE(C611,""fr"",""en"")"),"Distance insurance, I do not recommend. Home and deplorable kindness. No client recognition. We were unable to test the quality of the guarantees. I strongly advise against and recommend the agency with accessible office and frank contact.")</f>
        <v>Distance insurance, I do not recommend. Home and deplorable kindness. No client recognition. We were unable to test the quality of the guarantees. I strongly advise against and recommend the agency with accessible office and frank contact.</v>
      </c>
    </row>
    <row r="612" ht="15.75" customHeight="1">
      <c r="A612" s="2">
        <v>1.0</v>
      </c>
      <c r="B612" s="2" t="s">
        <v>1755</v>
      </c>
      <c r="C612" s="2" t="s">
        <v>1756</v>
      </c>
      <c r="D612" s="2" t="s">
        <v>263</v>
      </c>
      <c r="E612" s="2" t="s">
        <v>104</v>
      </c>
      <c r="F612" s="2" t="s">
        <v>15</v>
      </c>
      <c r="G612" s="2" t="s">
        <v>308</v>
      </c>
      <c r="H612" s="2" t="s">
        <v>309</v>
      </c>
      <c r="I612" s="2" t="str">
        <f>IFERROR(__xludf.DUMMYFUNCTION("GOOGLETRANSLATE(C612,""fr"",""en"")"),"hello
I have stopped since 27.10.2018 I have deposited at your organization a file in early March for the care of reimbursements of my funding to date still nothing and the Cetelem organization threatens to put me at the Banque de France !!! Please do th"&amp;"e necessary
Regards ,
Mr HOUARD")</f>
        <v>hello
I have stopped since 27.10.2018 I have deposited at your organization a file in early March for the care of reimbursements of my funding to date still nothing and the Cetelem organization threatens to put me at the Banque de France !!! Please do the necessary
Regards ,
Mr HOUARD</v>
      </c>
    </row>
    <row r="613" ht="15.75" customHeight="1">
      <c r="A613" s="2">
        <v>2.0</v>
      </c>
      <c r="B613" s="2" t="s">
        <v>1757</v>
      </c>
      <c r="C613" s="2" t="s">
        <v>1758</v>
      </c>
      <c r="D613" s="2" t="s">
        <v>121</v>
      </c>
      <c r="E613" s="2" t="s">
        <v>122</v>
      </c>
      <c r="F613" s="2" t="s">
        <v>15</v>
      </c>
      <c r="G613" s="2" t="s">
        <v>1759</v>
      </c>
      <c r="H613" s="2" t="s">
        <v>576</v>
      </c>
      <c r="I613" s="2" t="str">
        <f>IFERROR(__xludf.DUMMYFUNCTION("GOOGLETRANSLATE(C613,""fr"",""en"")"),"Too bad it is not possible to put negative stars!
I have known 3 vehicle insurers with non -responsible disaster and AMV is the worst! To flee !!!
")</f>
        <v>Too bad it is not possible to put negative stars!
I have known 3 vehicle insurers with non -responsible disaster and AMV is the worst! To flee !!!
</v>
      </c>
    </row>
    <row r="614" ht="15.75" customHeight="1">
      <c r="A614" s="2">
        <v>1.0</v>
      </c>
      <c r="B614" s="2" t="s">
        <v>1760</v>
      </c>
      <c r="C614" s="2" t="s">
        <v>1761</v>
      </c>
      <c r="D614" s="2" t="s">
        <v>41</v>
      </c>
      <c r="E614" s="2" t="s">
        <v>21</v>
      </c>
      <c r="F614" s="2" t="s">
        <v>15</v>
      </c>
      <c r="G614" s="2" t="s">
        <v>963</v>
      </c>
      <c r="H614" s="2" t="s">
        <v>23</v>
      </c>
      <c r="I614" s="2" t="str">
        <f>IFERROR(__xludf.DUMMYFUNCTION("GOOGLETRANSLATE(C614,""fr"",""en"")"),"I am not satisfied with the Direct Insurance services. The auto insurance rate is equivalent to competitors for equivalent coverage. The damage caused to the headlights by a pebble is not covered which seems aberrate in the eyes of my mechanic. In additio"&amp;"n I broke down once and I had to pay part of the troubleshooting of my pocket.")</f>
        <v>I am not satisfied with the Direct Insurance services. The auto insurance rate is equivalent to competitors for equivalent coverage. The damage caused to the headlights by a pebble is not covered which seems aberrate in the eyes of my mechanic. In addition I broke down once and I had to pay part of the troubleshooting of my pocket.</v>
      </c>
    </row>
    <row r="615" ht="15.75" customHeight="1">
      <c r="A615" s="2">
        <v>5.0</v>
      </c>
      <c r="B615" s="2" t="s">
        <v>1762</v>
      </c>
      <c r="C615" s="2" t="s">
        <v>1763</v>
      </c>
      <c r="D615" s="2" t="s">
        <v>41</v>
      </c>
      <c r="E615" s="2" t="s">
        <v>21</v>
      </c>
      <c r="F615" s="2" t="s">
        <v>15</v>
      </c>
      <c r="G615" s="2" t="s">
        <v>1764</v>
      </c>
      <c r="H615" s="2" t="s">
        <v>231</v>
      </c>
      <c r="I615" s="2" t="str">
        <f>IFERROR(__xludf.DUMMYFUNCTION("GOOGLETRANSLATE(C615,""fr"",""en"")"),"I am satisfied with the price quote and the quality of your offer, the estimate was very fast and intuitive in order to be able to select for me what suits me")</f>
        <v>I am satisfied with the price quote and the quality of your offer, the estimate was very fast and intuitive in order to be able to select for me what suits me</v>
      </c>
    </row>
    <row r="616" ht="15.75" customHeight="1">
      <c r="A616" s="2">
        <v>3.0</v>
      </c>
      <c r="B616" s="2" t="s">
        <v>1765</v>
      </c>
      <c r="C616" s="2" t="s">
        <v>1766</v>
      </c>
      <c r="D616" s="2" t="s">
        <v>41</v>
      </c>
      <c r="E616" s="2" t="s">
        <v>21</v>
      </c>
      <c r="F616" s="2" t="s">
        <v>15</v>
      </c>
      <c r="G616" s="2" t="s">
        <v>1767</v>
      </c>
      <c r="H616" s="2" t="s">
        <v>28</v>
      </c>
      <c r="I616" s="2" t="str">
        <f>IFERROR(__xludf.DUMMYFUNCTION("GOOGLETRANSLATE(C616,""fr"",""en"")"),"I am satisfied with the services. Good value for money.
But website to be reviewed absolutely: very complicated to find email exchanges with your advisor. Complicated, not fluid sections. Thanks !")</f>
        <v>I am satisfied with the services. Good value for money.
But website to be reviewed absolutely: very complicated to find email exchanges with your advisor. Complicated, not fluid sections. Thanks !</v>
      </c>
    </row>
    <row r="617" ht="15.75" customHeight="1">
      <c r="A617" s="2">
        <v>1.0</v>
      </c>
      <c r="B617" s="2" t="s">
        <v>1768</v>
      </c>
      <c r="C617" s="2" t="s">
        <v>1769</v>
      </c>
      <c r="D617" s="2" t="s">
        <v>298</v>
      </c>
      <c r="E617" s="2" t="s">
        <v>195</v>
      </c>
      <c r="F617" s="2" t="s">
        <v>15</v>
      </c>
      <c r="G617" s="2" t="s">
        <v>1770</v>
      </c>
      <c r="H617" s="2" t="s">
        <v>576</v>
      </c>
      <c r="I617" s="2" t="str">
        <f>IFERROR(__xludf.DUMMYFUNCTION("GOOGLETRANSLATE(C617,""fr"",""en"")"),"I have subscribed to a 6 -month daily allowance insurance, I stopped work for 8 months and Swisslife only compensated me for 3 months under a pretext not appearing under the general conditions and more refused to answer the mediator of Insurance while the"&amp;" file has been deposed on 03/24/2016 and that they have contractually 2 months to answer, I will therefore have to put the file before the court")</f>
        <v>I have subscribed to a 6 -month daily allowance insurance, I stopped work for 8 months and Swisslife only compensated me for 3 months under a pretext not appearing under the general conditions and more refused to answer the mediator of Insurance while the file has been deposed on 03/24/2016 and that they have contractually 2 months to answer, I will therefore have to put the file before the court</v>
      </c>
    </row>
    <row r="618" ht="15.75" customHeight="1">
      <c r="A618" s="2">
        <v>3.0</v>
      </c>
      <c r="B618" s="2" t="s">
        <v>1771</v>
      </c>
      <c r="C618" s="2" t="s">
        <v>1772</v>
      </c>
      <c r="D618" s="2" t="s">
        <v>41</v>
      </c>
      <c r="E618" s="2" t="s">
        <v>21</v>
      </c>
      <c r="F618" s="2" t="s">
        <v>15</v>
      </c>
      <c r="G618" s="2" t="s">
        <v>389</v>
      </c>
      <c r="H618" s="2" t="s">
        <v>74</v>
      </c>
      <c r="I618" s="2" t="str">
        <f>IFERROR(__xludf.DUMMYFUNCTION("GOOGLETRANSLATE(C618,""fr"",""en"")"),"Fast and efficient to take out automotive insurance. To see later if there is no price increase the following year, as I already had the case.")</f>
        <v>Fast and efficient to take out automotive insurance. To see later if there is no price increase the following year, as I already had the case.</v>
      </c>
    </row>
    <row r="619" ht="15.75" customHeight="1">
      <c r="A619" s="2">
        <v>1.0</v>
      </c>
      <c r="B619" s="2" t="s">
        <v>1773</v>
      </c>
      <c r="C619" s="2" t="s">
        <v>1774</v>
      </c>
      <c r="D619" s="2" t="s">
        <v>41</v>
      </c>
      <c r="E619" s="2" t="s">
        <v>21</v>
      </c>
      <c r="F619" s="2" t="s">
        <v>15</v>
      </c>
      <c r="G619" s="2" t="s">
        <v>1775</v>
      </c>
      <c r="H619" s="2" t="s">
        <v>786</v>
      </c>
      <c r="I619" s="2" t="str">
        <f>IFERROR(__xludf.DUMMYFUNCTION("GOOGLETRANSLATE(C619,""fr"",""en"")"),"I assured my car at Direct Insurance for 2 years and I have never had a claim.
It is a car that comes out once a month, it runs a maximum of 5,000 km per year. And every year my insurance increases.
And with each renewal they tell me a story.
Really ve"&amp;"ry amateur")</f>
        <v>I assured my car at Direct Insurance for 2 years and I have never had a claim.
It is a car that comes out once a month, it runs a maximum of 5,000 km per year. And every year my insurance increases.
And with each renewal they tell me a story.
Really very amateur</v>
      </c>
    </row>
    <row r="620" ht="15.75" customHeight="1">
      <c r="A620" s="2">
        <v>1.0</v>
      </c>
      <c r="B620" s="2" t="s">
        <v>1776</v>
      </c>
      <c r="C620" s="2" t="s">
        <v>1777</v>
      </c>
      <c r="D620" s="2" t="s">
        <v>1778</v>
      </c>
      <c r="E620" s="2" t="s">
        <v>207</v>
      </c>
      <c r="F620" s="2" t="s">
        <v>15</v>
      </c>
      <c r="G620" s="2" t="s">
        <v>1779</v>
      </c>
      <c r="H620" s="2" t="s">
        <v>610</v>
      </c>
      <c r="I620" s="2" t="str">
        <f>IFERROR(__xludf.DUMMYFUNCTION("GOOGLETRANSLATE(C620,""fr"",""en"")"),"To flee!!!!!!!! Call for a gathering of people injured by the duty of obligation and the obligation of information from HealthVet !!!!
Subscription to the contract under promises of sterilization of my ferret and after grievances, no refund playing on "&amp;"the words !!!! Here are the facts, I had just acquired my ferrette and being young, I knew that it should be sterilized from its first heat, that is why I got closer to insurance, I called HealthEvet in order to ask for the Sterilization and after being r"&amp;"eassured, I subscribed to them after the call of their advisor and his duty of advice.
Arrived January 2018, 4 months after my subscription, my ferrette is sterilized and I receive a healthcare document telling me that ""sterilization costs"" are exclu"&amp;"ded because they are ""prevention costs"" !!!! Shocked, I send them back my signed contract where he indicated ""chemical castration reimbursed up to 50%"" and that by contract law, I want them to run their obligation. And I am surprised to receive an ema"&amp;"il telling me this:
Good day Mrs,
We come back to you concerning your complaint regarding the management of sterilization when subscribing to the Lily Health Contract.
In order to ensure the conformity of the speech of our sales service and to foll"&amp;"ow up on your request, we have listened to this conversation.
 Also, we are pleased to confirm that the formula, pricing as well as the deadline for deficiency communicated are in accordance with your request and the contract created.
In addition, w"&amp;"e inform you that a second call was made to our services from your daughter, dated 11/09/17; To know the methods of taking charge of sterilization.
 In accordance with our general subscription provisions (chap 2: the guarantees common to all species, p"&amp;"aragraph C: what is excluded) and specific provisions of the NAC formulas, which we participate in the chemical expense costs up to 50% and Competition of € 50.00 per period of 24 months, from 2 years of contract (see section of the contract ""Guarantees "&amp;"and services subscribed for the animal"").
Your customer relations service remains at your disposal at 04 78 17 38 00 or by email at the address reception@santevet.com for any further information.
The whole health team thanks you for your confidence"&amp;".
Cordially
You Advisor")</f>
        <v>To flee!!!!!!!! Call for a gathering of people injured by the duty of obligation and the obligation of information from HealthVet !!!!
Subscription to the contract under promises of sterilization of my ferret and after grievances, no refund playing on the words !!!! Here are the facts, I had just acquired my ferrette and being young, I knew that it should be sterilized from its first heat, that is why I got closer to insurance, I called HealthEvet in order to ask for the Sterilization and after being reassured, I subscribed to them after the call of their advisor and his duty of advice.
Arrived January 2018, 4 months after my subscription, my ferrette is sterilized and I receive a healthcare document telling me that "sterilization costs" are excluded because they are "prevention costs" !!!! Shocked, I send them back my signed contract where he indicated "chemical castration reimbursed up to 50%" and that by contract law, I want them to run their obligation. And I am surprised to receive an email telling me this:
Good day Mrs,
We come back to you concerning your complaint regarding the management of sterilization when subscribing to the Lily Health Contract.
In order to ensure the conformity of the speech of our sales service and to follow up on your request, we have listened to this conversation.
 Also, we are pleased to confirm that the formula, pricing as well as the deadline for deficiency communicated are in accordance with your request and the contract created.
In addition, we inform you that a second call was made to our services from your daughter, dated 11/09/17; To know the methods of taking charge of sterilization.
 In accordance with our general subscription provisions (chap 2: the guarantees common to all species, paragraph C: what is excluded) and specific provisions of the NAC formulas, which we participate in the chemical expense costs up to 50% and Competition of € 50.00 per period of 24 months, from 2 years of contract (see section of the contract "Guarantees and services subscribed for the animal").
Your customer relations service remains at your disposal at 04 78 17 38 00 or by email at the address reception@santevet.com for any further information.
The whole health team thanks you for your confidence.
Cordially
You Advisor</v>
      </c>
    </row>
    <row r="621" ht="15.75" customHeight="1">
      <c r="A621" s="2">
        <v>5.0</v>
      </c>
      <c r="B621" s="2" t="s">
        <v>1780</v>
      </c>
      <c r="C621" s="2" t="s">
        <v>1781</v>
      </c>
      <c r="D621" s="2" t="s">
        <v>72</v>
      </c>
      <c r="E621" s="2" t="s">
        <v>21</v>
      </c>
      <c r="F621" s="2" t="s">
        <v>15</v>
      </c>
      <c r="G621" s="2" t="s">
        <v>332</v>
      </c>
      <c r="H621" s="2" t="s">
        <v>28</v>
      </c>
      <c r="I621" s="2" t="str">
        <f>IFERROR(__xludf.DUMMYFUNCTION("GOOGLETRANSLATE(C621,""fr"",""en"")"),"I am fully satisfied.
Fast and efficient, as for the unbeatable price,
The advisor to validate my request in 10 minutes Bravo!
I fully recommend GMF!
VG.")</f>
        <v>I am fully satisfied.
Fast and efficient, as for the unbeatable price,
The advisor to validate my request in 10 minutes Bravo!
I fully recommend GMF!
VG.</v>
      </c>
    </row>
    <row r="622" ht="15.75" customHeight="1">
      <c r="A622" s="2">
        <v>5.0</v>
      </c>
      <c r="B622" s="2" t="s">
        <v>1782</v>
      </c>
      <c r="C622" s="2" t="s">
        <v>1783</v>
      </c>
      <c r="D622" s="2" t="s">
        <v>20</v>
      </c>
      <c r="E622" s="2" t="s">
        <v>21</v>
      </c>
      <c r="F622" s="2" t="s">
        <v>15</v>
      </c>
      <c r="G622" s="2" t="s">
        <v>534</v>
      </c>
      <c r="H622" s="2" t="s">
        <v>51</v>
      </c>
      <c r="I622" s="2" t="str">
        <f>IFERROR(__xludf.DUMMYFUNCTION("GOOGLETRANSLATE(C622,""fr"",""en"")"),"Hello,
Fast and efficient, I highly recommend.
Very secure and intuitive site.
All the formulas are clear, free choice of options too.
")</f>
        <v>Hello,
Fast and efficient, I highly recommend.
Very secure and intuitive site.
All the formulas are clear, free choice of options too.
</v>
      </c>
    </row>
    <row r="623" ht="15.75" customHeight="1">
      <c r="A623" s="2">
        <v>1.0</v>
      </c>
      <c r="B623" s="2" t="s">
        <v>1784</v>
      </c>
      <c r="C623" s="2" t="s">
        <v>1785</v>
      </c>
      <c r="D623" s="2" t="s">
        <v>41</v>
      </c>
      <c r="E623" s="2" t="s">
        <v>21</v>
      </c>
      <c r="F623" s="2" t="s">
        <v>15</v>
      </c>
      <c r="G623" s="2" t="s">
        <v>464</v>
      </c>
      <c r="H623" s="2" t="s">
        <v>465</v>
      </c>
      <c r="I623" s="2" t="str">
        <f>IFERROR(__xludf.DUMMYFUNCTION("GOOGLETRANSLATE(C623,""fr"",""en"")"),"Scandalous practices. They attract new contractors with lower prices, but they increase all their prices from year to year and without informing you explicitly by hiding behind the famous ""maturity notice"" which is worth everything! And tell you after y"&amp;"ou haven't been careful! They get you out of the 2018 indicators when we talk about 2021 ... In short, 3 years after the signing, I pay more than the first, while I have a better bonus and the loss rates decrease. They also change the special conditions ("&amp;"eg amount of franchises) without informing you. I terminate my contract and that of my wife.")</f>
        <v>Scandalous practices. They attract new contractors with lower prices, but they increase all their prices from year to year and without informing you explicitly by hiding behind the famous "maturity notice" which is worth everything! And tell you after you haven't been careful! They get you out of the 2018 indicators when we talk about 2021 ... In short, 3 years after the signing, I pay more than the first, while I have a better bonus and the loss rates decrease. They also change the special conditions (eg amount of franchises) without informing you. I terminate my contract and that of my wife.</v>
      </c>
    </row>
    <row r="624" ht="15.75" customHeight="1">
      <c r="A624" s="2">
        <v>5.0</v>
      </c>
      <c r="B624" s="2" t="s">
        <v>1786</v>
      </c>
      <c r="C624" s="2" t="s">
        <v>1787</v>
      </c>
      <c r="D624" s="2" t="s">
        <v>20</v>
      </c>
      <c r="E624" s="2" t="s">
        <v>21</v>
      </c>
      <c r="F624" s="2" t="s">
        <v>15</v>
      </c>
      <c r="G624" s="2" t="s">
        <v>1417</v>
      </c>
      <c r="H624" s="2" t="s">
        <v>134</v>
      </c>
      <c r="I624" s="2" t="str">
        <f>IFERROR(__xludf.DUMMYFUNCTION("GOOGLETRANSLATE(C624,""fr"",""en"")"),"Very satisfied with services, listening staff who solve the problems. It offers many offers that could suit many. Thanks")</f>
        <v>Very satisfied with services, listening staff who solve the problems. It offers many offers that could suit many. Thanks</v>
      </c>
    </row>
    <row r="625" ht="15.75" customHeight="1">
      <c r="A625" s="2">
        <v>1.0</v>
      </c>
      <c r="B625" s="2" t="s">
        <v>1788</v>
      </c>
      <c r="C625" s="2" t="s">
        <v>1789</v>
      </c>
      <c r="D625" s="2" t="s">
        <v>13</v>
      </c>
      <c r="E625" s="2" t="s">
        <v>14</v>
      </c>
      <c r="F625" s="2" t="s">
        <v>15</v>
      </c>
      <c r="G625" s="2" t="s">
        <v>537</v>
      </c>
      <c r="H625" s="2" t="s">
        <v>42</v>
      </c>
      <c r="I625" s="2" t="str">
        <f>IFERROR(__xludf.DUMMYFUNCTION("GOOGLETRANSLATE(C625,""fr"",""en"")"),"After changing mutual insurance for January 1, 2021, I am very disappointed with Neoliane Sante.
Indeed, my emails remained unanswered, I contacted Neoliane Nice who asked me for their envoy all my file and this dated 2/03/2021 response of 8/03/2021 whic"&amp;"h informs me of their Sending documents to the management center in order to draw them. To date, I have still not been reimbursed for acts carried out in January and early February.
I am today discovering at the bank cause of non -reimbursements?
I thin"&amp;"k that if this situation does not improve I will leave this mutual which does not respect its customers.
")</f>
        <v>After changing mutual insurance for January 1, 2021, I am very disappointed with Neoliane Sante.
Indeed, my emails remained unanswered, I contacted Neoliane Nice who asked me for their envoy all my file and this dated 2/03/2021 response of 8/03/2021 which informs me of their Sending documents to the management center in order to draw them. To date, I have still not been reimbursed for acts carried out in January and early February.
I am today discovering at the bank cause of non -reimbursements?
I think that if this situation does not improve I will leave this mutual which does not respect its customers.
</v>
      </c>
    </row>
    <row r="626" ht="15.75" customHeight="1">
      <c r="A626" s="2">
        <v>1.0</v>
      </c>
      <c r="B626" s="2" t="s">
        <v>1790</v>
      </c>
      <c r="C626" s="2" t="s">
        <v>1791</v>
      </c>
      <c r="D626" s="2" t="s">
        <v>1249</v>
      </c>
      <c r="E626" s="2" t="s">
        <v>922</v>
      </c>
      <c r="F626" s="2" t="s">
        <v>15</v>
      </c>
      <c r="G626" s="2" t="s">
        <v>1564</v>
      </c>
      <c r="H626" s="2" t="s">
        <v>241</v>
      </c>
      <c r="I626" s="2" t="str">
        <f>IFERROR(__xludf.DUMMYFUNCTION("GOOGLETRANSLATE(C626,""fr"",""en"")"),"To be fled as soon as possible !!!!
My father died in August 2018 and to date 13/11/2020 more than 2 years later, still no refund on my mother's account. This company is detestable in its way of processing files.
Never a response to my emails!
What can"&amp;" I say about the broker who after taking his committee, kicked up in touch during the refund request.
 ")</f>
        <v>To be fled as soon as possible !!!!
My father died in August 2018 and to date 13/11/2020 more than 2 years later, still no refund on my mother's account. This company is detestable in its way of processing files.
Never a response to my emails!
What can I say about the broker who after taking his committee, kicked up in touch during the refund request.
 </v>
      </c>
    </row>
    <row r="627" ht="15.75" customHeight="1">
      <c r="A627" s="2">
        <v>1.0</v>
      </c>
      <c r="B627" s="2" t="s">
        <v>1792</v>
      </c>
      <c r="C627" s="2" t="s">
        <v>1793</v>
      </c>
      <c r="D627" s="2" t="s">
        <v>41</v>
      </c>
      <c r="E627" s="2" t="s">
        <v>21</v>
      </c>
      <c r="F627" s="2" t="s">
        <v>15</v>
      </c>
      <c r="G627" s="2" t="s">
        <v>1794</v>
      </c>
      <c r="H627" s="2" t="s">
        <v>465</v>
      </c>
      <c r="I627" s="2" t="str">
        <f>IFERROR(__xludf.DUMMYFUNCTION("GOOGLETRANSLATE(C627,""fr"",""en"")"),"My subscription has increased by 120 euros in 2 years, they offer the lowest rate to attract and then under the pretext of gripping claims in our department, they increase.")</f>
        <v>My subscription has increased by 120 euros in 2 years, they offer the lowest rate to attract and then under the pretext of gripping claims in our department, they increase.</v>
      </c>
    </row>
    <row r="628" ht="15.75" customHeight="1">
      <c r="A628" s="2">
        <v>4.0</v>
      </c>
      <c r="B628" s="2" t="s">
        <v>1795</v>
      </c>
      <c r="C628" s="2" t="s">
        <v>1796</v>
      </c>
      <c r="D628" s="2" t="s">
        <v>41</v>
      </c>
      <c r="E628" s="2" t="s">
        <v>21</v>
      </c>
      <c r="F628" s="2" t="s">
        <v>15</v>
      </c>
      <c r="G628" s="2" t="s">
        <v>47</v>
      </c>
      <c r="H628" s="2" t="s">
        <v>47</v>
      </c>
      <c r="I628" s="2" t="str">
        <f>IFERROR(__xludf.DUMMYFUNCTION("GOOGLETRANSLATE(C628,""fr"",""en"")"),"Fast, effective for young drivers with YouDrive. I recommend to be able to have his assurance in his name for later. The price remains high but for young drivers, not the choice.")</f>
        <v>Fast, effective for young drivers with YouDrive. I recommend to be able to have his assurance in his name for later. The price remains high but for young drivers, not the choice.</v>
      </c>
    </row>
    <row r="629" ht="15.75" customHeight="1">
      <c r="A629" s="2">
        <v>4.0</v>
      </c>
      <c r="B629" s="2" t="s">
        <v>1797</v>
      </c>
      <c r="C629" s="2" t="s">
        <v>1798</v>
      </c>
      <c r="D629" s="2" t="s">
        <v>20</v>
      </c>
      <c r="E629" s="2" t="s">
        <v>21</v>
      </c>
      <c r="F629" s="2" t="s">
        <v>15</v>
      </c>
      <c r="G629" s="2" t="s">
        <v>1799</v>
      </c>
      <c r="H629" s="2" t="s">
        <v>660</v>
      </c>
      <c r="I629" s="2" t="str">
        <f>IFERROR(__xludf.DUMMYFUNCTION("GOOGLETRANSLATE(C629,""fr"",""en"")")," I started by filling out a file on their website. Meeting some difficulties, I contacted their customer service by phone. I had quick contact without too much waiting with an advisor who gave me relevant answers to my questions and needs. The needs analy"&amp;"sis is complete. The prices are competitive. I have no experience in loss management.")</f>
        <v> I started by filling out a file on their website. Meeting some difficulties, I contacted their customer service by phone. I had quick contact without too much waiting with an advisor who gave me relevant answers to my questions and needs. The needs analysis is complete. The prices are competitive. I have no experience in loss management.</v>
      </c>
    </row>
    <row r="630" ht="15.75" customHeight="1">
      <c r="A630" s="2">
        <v>3.0</v>
      </c>
      <c r="B630" s="2" t="s">
        <v>1800</v>
      </c>
      <c r="C630" s="2" t="s">
        <v>1801</v>
      </c>
      <c r="D630" s="2" t="s">
        <v>41</v>
      </c>
      <c r="E630" s="2" t="s">
        <v>21</v>
      </c>
      <c r="F630" s="2" t="s">
        <v>15</v>
      </c>
      <c r="G630" s="2" t="s">
        <v>1802</v>
      </c>
      <c r="H630" s="2" t="s">
        <v>420</v>
      </c>
      <c r="I630" s="2" t="str">
        <f>IFERROR(__xludf.DUMMYFUNCTION("GOOGLETRANSLATE(C630,""fr"",""en"")"),"Obligation to provide vehicle photos via a smartphone with their application. This obligation does not appear anywhere in the contract. Abusive?")</f>
        <v>Obligation to provide vehicle photos via a smartphone with their application. This obligation does not appear anywhere in the contract. Abusive?</v>
      </c>
    </row>
    <row r="631" ht="15.75" customHeight="1">
      <c r="A631" s="2">
        <v>3.0</v>
      </c>
      <c r="B631" s="2" t="s">
        <v>1803</v>
      </c>
      <c r="C631" s="2" t="s">
        <v>1804</v>
      </c>
      <c r="D631" s="2" t="s">
        <v>41</v>
      </c>
      <c r="E631" s="2" t="s">
        <v>21</v>
      </c>
      <c r="F631" s="2" t="s">
        <v>15</v>
      </c>
      <c r="G631" s="2" t="s">
        <v>738</v>
      </c>
      <c r="H631" s="2" t="s">
        <v>55</v>
      </c>
      <c r="I631" s="2" t="str">
        <f>IFERROR(__xludf.DUMMYFUNCTION("GOOGLETRANSLATE(C631,""fr"",""en"")"),"Overall satisfied
However, regrets a frank increase in contributions for two years, which can encourage members to change insurance ...")</f>
        <v>Overall satisfied
However, regrets a frank increase in contributions for two years, which can encourage members to change insurance ...</v>
      </c>
    </row>
    <row r="632" ht="15.75" customHeight="1">
      <c r="A632" s="2">
        <v>1.0</v>
      </c>
      <c r="B632" s="2" t="s">
        <v>1805</v>
      </c>
      <c r="C632" s="2" t="s">
        <v>1806</v>
      </c>
      <c r="D632" s="2" t="s">
        <v>72</v>
      </c>
      <c r="E632" s="2" t="s">
        <v>21</v>
      </c>
      <c r="F632" s="2" t="s">
        <v>15</v>
      </c>
      <c r="G632" s="2" t="s">
        <v>1807</v>
      </c>
      <c r="H632" s="2" t="s">
        <v>203</v>
      </c>
      <c r="I632" s="2" t="str">
        <f>IFERROR(__xludf.DUMMYFUNCTION("GOOGLETRANSLATE(C632,""fr"",""en"")"),"Dissatisfied")</f>
        <v>Dissatisfied</v>
      </c>
    </row>
    <row r="633" ht="15.75" customHeight="1">
      <c r="A633" s="2">
        <v>4.0</v>
      </c>
      <c r="B633" s="2" t="s">
        <v>1808</v>
      </c>
      <c r="C633" s="2" t="s">
        <v>1809</v>
      </c>
      <c r="D633" s="2" t="s">
        <v>41</v>
      </c>
      <c r="E633" s="2" t="s">
        <v>21</v>
      </c>
      <c r="F633" s="2" t="s">
        <v>15</v>
      </c>
      <c r="G633" s="2" t="s">
        <v>1365</v>
      </c>
      <c r="H633" s="2" t="s">
        <v>74</v>
      </c>
      <c r="I633" s="2" t="str">
        <f>IFERROR(__xludf.DUMMYFUNCTION("GOOGLETRANSLATE(C633,""fr"",""en"")"),"I am sastified for the price merce I will give all my friends the site to ensure their car voila as well as the price for a very atractive house")</f>
        <v>I am sastified for the price merce I will give all my friends the site to ensure their car voila as well as the price for a very atractive house</v>
      </c>
    </row>
    <row r="634" ht="15.75" customHeight="1">
      <c r="A634" s="2">
        <v>1.0</v>
      </c>
      <c r="B634" s="2" t="s">
        <v>1810</v>
      </c>
      <c r="C634" s="2" t="s">
        <v>1811</v>
      </c>
      <c r="D634" s="2" t="s">
        <v>1079</v>
      </c>
      <c r="E634" s="2" t="s">
        <v>104</v>
      </c>
      <c r="F634" s="2" t="s">
        <v>15</v>
      </c>
      <c r="G634" s="2" t="s">
        <v>1812</v>
      </c>
      <c r="H634" s="2" t="s">
        <v>1130</v>
      </c>
      <c r="I634" s="2" t="str">
        <f>IFERROR(__xludf.DUMMYFUNCTION("GOOGLETRANSLATE(C634,""fr"",""en"")"),"Oh run away this assurance caci they are expensive. Impossible to join them. The medical service refused the care. No professionalism")</f>
        <v>Oh run away this assurance caci they are expensive. Impossible to join them. The medical service refused the care. No professionalism</v>
      </c>
    </row>
    <row r="635" ht="15.75" customHeight="1">
      <c r="A635" s="2">
        <v>1.0</v>
      </c>
      <c r="B635" s="2" t="s">
        <v>1813</v>
      </c>
      <c r="C635" s="2" t="s">
        <v>1814</v>
      </c>
      <c r="D635" s="2" t="s">
        <v>212</v>
      </c>
      <c r="E635" s="2" t="s">
        <v>58</v>
      </c>
      <c r="F635" s="2" t="s">
        <v>15</v>
      </c>
      <c r="G635" s="2" t="s">
        <v>1815</v>
      </c>
      <c r="H635" s="2" t="s">
        <v>209</v>
      </c>
      <c r="I635" s="2" t="str">
        <f>IFERROR(__xludf.DUMMYFUNCTION("GOOGLETRANSLATE(C635,""fr"",""en"")"),"Never seen. No expert report following a sinister water damage, which should have taken place, moreover, in the presence of responsible third parties. No document for compensation for compensation for submission, a total absence of advice intended to prov"&amp;"ide assistance in this file.
")</f>
        <v>Never seen. No expert report following a sinister water damage, which should have taken place, moreover, in the presence of responsible third parties. No document for compensation for compensation for submission, a total absence of advice intended to provide assistance in this file.
</v>
      </c>
    </row>
    <row r="636" ht="15.75" customHeight="1">
      <c r="A636" s="2">
        <v>5.0</v>
      </c>
      <c r="B636" s="2" t="s">
        <v>1816</v>
      </c>
      <c r="C636" s="2" t="s">
        <v>1817</v>
      </c>
      <c r="D636" s="2" t="s">
        <v>41</v>
      </c>
      <c r="E636" s="2" t="s">
        <v>21</v>
      </c>
      <c r="F636" s="2" t="s">
        <v>15</v>
      </c>
      <c r="G636" s="2" t="s">
        <v>1818</v>
      </c>
      <c r="H636" s="2" t="s">
        <v>74</v>
      </c>
      <c r="I636" s="2" t="str">
        <f>IFERROR(__xludf.DUMMYFUNCTION("GOOGLETRANSLATE(C636,""fr"",""en"")"),"Good report price compared to equal services.
Internet quote and easy subscription.
The only question is who terminated my old contract? Myself or direct insurance?")</f>
        <v>Good report price compared to equal services.
Internet quote and easy subscription.
The only question is who terminated my old contract? Myself or direct insurance?</v>
      </c>
    </row>
    <row r="637" ht="15.75" customHeight="1">
      <c r="A637" s="2">
        <v>3.0</v>
      </c>
      <c r="B637" s="2" t="s">
        <v>1819</v>
      </c>
      <c r="C637" s="2" t="s">
        <v>1820</v>
      </c>
      <c r="D637" s="2" t="s">
        <v>67</v>
      </c>
      <c r="E637" s="2" t="s">
        <v>21</v>
      </c>
      <c r="F637" s="2" t="s">
        <v>15</v>
      </c>
      <c r="G637" s="2" t="s">
        <v>154</v>
      </c>
      <c r="H637" s="2" t="s">
        <v>74</v>
      </c>
      <c r="I637" s="2" t="str">
        <f>IFERROR(__xludf.DUMMYFUNCTION("GOOGLETRANSLATE(C637,""fr"",""en"")"),"I am already insured at Maaf, the quote I have obtained with Assurland does not reflect reality I pay much more expensive and all the guarantees are not taken into account.
The price obtained and a basic price for all insurers;")</f>
        <v>I am already insured at Maaf, the quote I have obtained with Assurland does not reflect reality I pay much more expensive and all the guarantees are not taken into account.
The price obtained and a basic price for all insurers;</v>
      </c>
    </row>
    <row r="638" ht="15.75" customHeight="1">
      <c r="A638" s="2">
        <v>3.0</v>
      </c>
      <c r="B638" s="2" t="s">
        <v>1821</v>
      </c>
      <c r="C638" s="2" t="s">
        <v>1822</v>
      </c>
      <c r="D638" s="2" t="s">
        <v>36</v>
      </c>
      <c r="E638" s="2" t="s">
        <v>21</v>
      </c>
      <c r="F638" s="2" t="s">
        <v>15</v>
      </c>
      <c r="G638" s="2" t="s">
        <v>1823</v>
      </c>
      <c r="H638" s="2" t="s">
        <v>501</v>
      </c>
      <c r="I638" s="2" t="str">
        <f>IFERROR(__xludf.DUMMYFUNCTION("GOOGLETRANSLATE(C638,""fr"",""en"")"),"Hello,
I have been insured at Maif for many years: for my real estate, my two cars. In addition to this, I have subscribed to a specific legal protection contract in order to deal with all eventualities.
I buy an used vehicle in August 2016 in Saint Gen"&amp;"is Laval (AMG AUTOS that I do not recommend !!!). This vehicle presents significant drinking at acceleration after three weeks, a significant noise when the cruise control is triggered and a defect in geometry because the vehicle pulls on the right. The g"&amp;"arage, despite a vehicle warranty, does not want to support repairs.
I contact my legal protection in early November. She replies that she has only one role of ""advice"" ... It will be necessary to wait until January 20, 2017 so that she can see her err"&amp;"or and finally opens a loss file and accompanies me in my efforts.
Legal protection appoints an auto expert: CEA from South East (38). The latter tries an amicable negotiation with the garage. The latter still refuses ...
I make the expert on the reques"&amp;"t of the expert an engine diagnosis at Kia in Castres on February 23, 2017 where I am then on a business trip. EGR valve problem.
I change this EGR valve at my expense. The problem of jerk persists. I relaunch the expert. I wait at the end of April 2017 "&amp;"to finally have an answer. The expert asks me to make an appointment at Kia in Seyssinet (38) for a geometry control only because the ""legal protection"" Maif does not want to take care of an engine diagnosis ...
I contact Kia Seyssinet. They want to do"&amp;" geometry control. But not the engine diagnosis on the pretext that it was made at Kia Castres (Tarn). I have to go back to Castres (yes obvious!).
In all this, no news from my legal ""protection"" except the email of January 20.
This is where we are. t"&amp;"hat is to say anywhere. It feels like Kafka's ""Château"" novel. I think the MAIF's strategy is to play the watch, to drag things so that I can discourage and throw in the towel.
So to this day I must fight against the garage which sold me the vehicle, t"&amp;"he car expert, and finally my insurer ...
Best regards
")</f>
        <v>Hello,
I have been insured at Maif for many years: for my real estate, my two cars. In addition to this, I have subscribed to a specific legal protection contract in order to deal with all eventualities.
I buy an used vehicle in August 2016 in Saint Genis Laval (AMG AUTOS that I do not recommend !!!). This vehicle presents significant drinking at acceleration after three weeks, a significant noise when the cruise control is triggered and a defect in geometry because the vehicle pulls on the right. The garage, despite a vehicle warranty, does not want to support repairs.
I contact my legal protection in early November. She replies that she has only one role of "advice" ... It will be necessary to wait until January 20, 2017 so that she can see her error and finally opens a loss file and accompanies me in my efforts.
Legal protection appoints an auto expert: CEA from South East (38). The latter tries an amicable negotiation with the garage. The latter still refuses ...
I make the expert on the request of the expert an engine diagnosis at Kia in Castres on February 23, 2017 where I am then on a business trip. EGR valve problem.
I change this EGR valve at my expense. The problem of jerk persists. I relaunch the expert. I wait at the end of April 2017 to finally have an answer. The expert asks me to make an appointment at Kia in Seyssinet (38) for a geometry control only because the "legal protection" Maif does not want to take care of an engine diagnosis ...
I contact Kia Seyssinet. They want to do geometry control. But not the engine diagnosis on the pretext that it was made at Kia Castres (Tarn). I have to go back to Castres (yes obvious!).
In all this, no news from my legal "protection" except the email of January 20.
This is where we are. that is to say anywhere. It feels like Kafka's "Château" novel. I think the MAIF's strategy is to play the watch, to drag things so that I can discourage and throw in the towel.
So to this day I must fight against the garage which sold me the vehicle, the car expert, and finally my insurer ...
Best regards
</v>
      </c>
    </row>
    <row r="639" ht="15.75" customHeight="1">
      <c r="A639" s="2">
        <v>4.0</v>
      </c>
      <c r="B639" s="2" t="s">
        <v>1824</v>
      </c>
      <c r="C639" s="2" t="s">
        <v>1825</v>
      </c>
      <c r="D639" s="2" t="s">
        <v>315</v>
      </c>
      <c r="E639" s="2" t="s">
        <v>14</v>
      </c>
      <c r="F639" s="2" t="s">
        <v>15</v>
      </c>
      <c r="G639" s="2" t="s">
        <v>1826</v>
      </c>
      <c r="H639" s="2" t="s">
        <v>144</v>
      </c>
      <c r="I639" s="2" t="str">
        <f>IFERROR(__xludf.DUMMYFUNCTION("GOOGLETRANSLATE(C639,""fr"",""en"")"),"Seen in appointment recently on the 93, I was meeting with a real professional advisor invested smiling available I am reassured I was a little afraid of this mutual and there surprise of the work of pro I took the mutual with good protection good Mutual "&amp;"with human value.")</f>
        <v>Seen in appointment recently on the 93, I was meeting with a real professional advisor invested smiling available I am reassured I was a little afraid of this mutual and there surprise of the work of pro I took the mutual with good protection good Mutual with human value.</v>
      </c>
    </row>
    <row r="640" ht="15.75" customHeight="1">
      <c r="A640" s="2">
        <v>5.0</v>
      </c>
      <c r="B640" s="2" t="s">
        <v>1827</v>
      </c>
      <c r="C640" s="2" t="s">
        <v>1828</v>
      </c>
      <c r="D640" s="2" t="s">
        <v>20</v>
      </c>
      <c r="E640" s="2" t="s">
        <v>21</v>
      </c>
      <c r="F640" s="2" t="s">
        <v>15</v>
      </c>
      <c r="G640" s="2" t="s">
        <v>1829</v>
      </c>
      <c r="H640" s="2" t="s">
        <v>28</v>
      </c>
      <c r="I640" s="2" t="str">
        <f>IFERROR(__xludf.DUMMYFUNCTION("GOOGLETRANSLATE(C640,""fr"",""en"")"),"Super very fast and direct insurance no headache jespere not to be decreed! To read I heard that good things about this insurance")</f>
        <v>Super very fast and direct insurance no headache jespere not to be decreed! To read I heard that good things about this insurance</v>
      </c>
    </row>
    <row r="641" ht="15.75" customHeight="1">
      <c r="A641" s="2">
        <v>4.0</v>
      </c>
      <c r="B641" s="2" t="s">
        <v>1830</v>
      </c>
      <c r="C641" s="2" t="s">
        <v>1831</v>
      </c>
      <c r="D641" s="2" t="s">
        <v>41</v>
      </c>
      <c r="E641" s="2" t="s">
        <v>21</v>
      </c>
      <c r="F641" s="2" t="s">
        <v>15</v>
      </c>
      <c r="G641" s="2" t="s">
        <v>1832</v>
      </c>
      <c r="H641" s="2" t="s">
        <v>23</v>
      </c>
      <c r="I641" s="2" t="str">
        <f>IFERROR(__xludf.DUMMYFUNCTION("GOOGLETRANSLATE(C641,""fr"",""en"")"),"I am satisfied with the service
The team is very nice and listening
The very attractive price compared to the competition I hope to stay for a very long time")</f>
        <v>I am satisfied with the service
The team is very nice and listening
The very attractive price compared to the competition I hope to stay for a very long time</v>
      </c>
    </row>
    <row r="642" ht="15.75" customHeight="1">
      <c r="A642" s="2">
        <v>3.0</v>
      </c>
      <c r="B642" s="2" t="s">
        <v>1833</v>
      </c>
      <c r="C642" s="2" t="s">
        <v>1834</v>
      </c>
      <c r="D642" s="2" t="s">
        <v>41</v>
      </c>
      <c r="E642" s="2" t="s">
        <v>21</v>
      </c>
      <c r="F642" s="2" t="s">
        <v>15</v>
      </c>
      <c r="G642" s="2" t="s">
        <v>1818</v>
      </c>
      <c r="H642" s="2" t="s">
        <v>74</v>
      </c>
      <c r="I642" s="2" t="str">
        <f>IFERROR(__xludf.DUMMYFUNCTION("GOOGLETRANSLATE(C642,""fr"",""en"")"),"No possibility of taking out multi -driver insurance. What a shame. Telephone blows in perspective. Wish to ensure more than twox people and not nominally")</f>
        <v>No possibility of taking out multi -driver insurance. What a shame. Telephone blows in perspective. Wish to ensure more than twox people and not nominally</v>
      </c>
    </row>
    <row r="643" ht="15.75" customHeight="1">
      <c r="A643" s="2">
        <v>5.0</v>
      </c>
      <c r="B643" s="2" t="s">
        <v>1835</v>
      </c>
      <c r="C643" s="2" t="s">
        <v>1836</v>
      </c>
      <c r="D643" s="2" t="s">
        <v>20</v>
      </c>
      <c r="E643" s="2" t="s">
        <v>21</v>
      </c>
      <c r="F643" s="2" t="s">
        <v>15</v>
      </c>
      <c r="G643" s="2" t="s">
        <v>46</v>
      </c>
      <c r="H643" s="2" t="s">
        <v>47</v>
      </c>
      <c r="I643" s="2" t="str">
        <f>IFERROR(__xludf.DUMMYFUNCTION("GOOGLETRANSLATE(C643,""fr"",""en"")"),"Satisfied with the speed of the website. Very good value for money The prices are very attractive I advise all future and new insured")</f>
        <v>Satisfied with the speed of the website. Very good value for money The prices are very attractive I advise all future and new insured</v>
      </c>
    </row>
    <row r="644" ht="15.75" customHeight="1">
      <c r="A644" s="2">
        <v>4.0</v>
      </c>
      <c r="B644" s="2" t="s">
        <v>1837</v>
      </c>
      <c r="C644" s="2" t="s">
        <v>1838</v>
      </c>
      <c r="D644" s="2" t="s">
        <v>20</v>
      </c>
      <c r="E644" s="2" t="s">
        <v>21</v>
      </c>
      <c r="F644" s="2" t="s">
        <v>15</v>
      </c>
      <c r="G644" s="2" t="s">
        <v>1829</v>
      </c>
      <c r="H644" s="2" t="s">
        <v>28</v>
      </c>
      <c r="I644" s="2" t="str">
        <f>IFERROR(__xludf.DUMMYFUNCTION("GOOGLETRANSLATE(C644,""fr"",""en"")"),"I am satisfied with the speed of the service for the registration and clarity of the advisor by phone. On the price side, the explanations seem clear and the amount coherent.")</f>
        <v>I am satisfied with the speed of the service for the registration and clarity of the advisor by phone. On the price side, the explanations seem clear and the amount coherent.</v>
      </c>
    </row>
    <row r="645" ht="15.75" customHeight="1">
      <c r="A645" s="2">
        <v>4.0</v>
      </c>
      <c r="B645" s="2" t="s">
        <v>1839</v>
      </c>
      <c r="C645" s="2" t="s">
        <v>1840</v>
      </c>
      <c r="D645" s="2" t="s">
        <v>20</v>
      </c>
      <c r="E645" s="2" t="s">
        <v>21</v>
      </c>
      <c r="F645" s="2" t="s">
        <v>15</v>
      </c>
      <c r="G645" s="2" t="s">
        <v>1841</v>
      </c>
      <c r="H645" s="2" t="s">
        <v>51</v>
      </c>
      <c r="I645" s="2" t="str">
        <f>IFERROR(__xludf.DUMMYFUNCTION("GOOGLETRANSLATE(C645,""fr"",""en"")"),"fast no waiting transmissions efficient documents welcome good electronic signature reactive to requests nothing to say otherwise except that everything is ok")</f>
        <v>fast no waiting transmissions efficient documents welcome good electronic signature reactive to requests nothing to say otherwise except that everything is ok</v>
      </c>
    </row>
    <row r="646" ht="15.75" customHeight="1">
      <c r="A646" s="2">
        <v>5.0</v>
      </c>
      <c r="B646" s="2" t="s">
        <v>1842</v>
      </c>
      <c r="C646" s="2" t="s">
        <v>1843</v>
      </c>
      <c r="D646" s="2" t="s">
        <v>41</v>
      </c>
      <c r="E646" s="2" t="s">
        <v>21</v>
      </c>
      <c r="F646" s="2" t="s">
        <v>15</v>
      </c>
      <c r="G646" s="2" t="s">
        <v>1818</v>
      </c>
      <c r="H646" s="2" t="s">
        <v>74</v>
      </c>
      <c r="I646" s="2" t="str">
        <f>IFERROR(__xludf.DUMMYFUNCTION("GOOGLETRANSLATE(C646,""fr"",""en"")"),"Very satisfied with the service thank you. Navigation and very competitive price with a lot of facilities and simplicity to establish a quote corresponding to my expectations
          ")</f>
        <v>Very satisfied with the service thank you. Navigation and very competitive price with a lot of facilities and simplicity to establish a quote corresponding to my expectations
          </v>
      </c>
    </row>
    <row r="647" ht="15.75" customHeight="1">
      <c r="A647" s="2">
        <v>5.0</v>
      </c>
      <c r="B647" s="2" t="s">
        <v>1844</v>
      </c>
      <c r="C647" s="2" t="s">
        <v>1845</v>
      </c>
      <c r="D647" s="2" t="s">
        <v>150</v>
      </c>
      <c r="E647" s="2" t="s">
        <v>122</v>
      </c>
      <c r="F647" s="2" t="s">
        <v>15</v>
      </c>
      <c r="G647" s="2" t="s">
        <v>1846</v>
      </c>
      <c r="H647" s="2" t="s">
        <v>47</v>
      </c>
      <c r="I647" s="2" t="str">
        <f>IFERROR(__xludf.DUMMYFUNCTION("GOOGLETRANSLATE(C647,""fr"",""en"")"),"Fast and reassuring, in less than 5 minutes I have insurance on my new motorcycle in the parking lot or I bought it. Really happy with my new insurance.")</f>
        <v>Fast and reassuring, in less than 5 minutes I have insurance on my new motorcycle in the parking lot or I bought it. Really happy with my new insurance.</v>
      </c>
    </row>
    <row r="648" ht="15.75" customHeight="1">
      <c r="A648" s="2">
        <v>2.0</v>
      </c>
      <c r="B648" s="2" t="s">
        <v>1847</v>
      </c>
      <c r="C648" s="2" t="s">
        <v>1848</v>
      </c>
      <c r="D648" s="2" t="s">
        <v>678</v>
      </c>
      <c r="E648" s="2" t="s">
        <v>21</v>
      </c>
      <c r="F648" s="2" t="s">
        <v>15</v>
      </c>
      <c r="G648" s="2" t="s">
        <v>1849</v>
      </c>
      <c r="H648" s="2" t="s">
        <v>913</v>
      </c>
      <c r="I648" s="2" t="str">
        <f>IFERROR(__xludf.DUMMYFUNCTION("GOOGLETRANSLATE(C648,""fr"",""en"")"),"While I haven't had an accident for years, so none at Eurofil. The company has just noted the termination of my contract for ""risk inadequacy with regard to company policy"" !!!")</f>
        <v>While I haven't had an accident for years, so none at Eurofil. The company has just noted the termination of my contract for "risk inadequacy with regard to company policy" !!!</v>
      </c>
    </row>
    <row r="649" ht="15.75" customHeight="1">
      <c r="A649" s="2">
        <v>1.0</v>
      </c>
      <c r="B649" s="2" t="s">
        <v>1850</v>
      </c>
      <c r="C649" s="2" t="s">
        <v>1851</v>
      </c>
      <c r="D649" s="2" t="s">
        <v>658</v>
      </c>
      <c r="E649" s="2" t="s">
        <v>922</v>
      </c>
      <c r="F649" s="2" t="s">
        <v>15</v>
      </c>
      <c r="G649" s="2" t="s">
        <v>537</v>
      </c>
      <c r="H649" s="2" t="s">
        <v>42</v>
      </c>
      <c r="I649" s="2" t="str">
        <f>IFERROR(__xludf.DUMMYFUNCTION("GOOGLETRANSLATE(C649,""fr"",""en"")"),"I made a buy -back request I received an email from Generali informing me that the transfer would be made between 10 and 15 days and another indicating that the transfer had left.
To date I have not received anything and I cannot reach anyone.
I fear th"&amp;"e worst the salespeople are books to themselves and the Ste Generali is only an empty shell")</f>
        <v>I made a buy -back request I received an email from Generali informing me that the transfer would be made between 10 and 15 days and another indicating that the transfer had left.
To date I have not received anything and I cannot reach anyone.
I fear the worst the salespeople are books to themselves and the Ste Generali is only an empty shell</v>
      </c>
    </row>
    <row r="650" ht="15.75" customHeight="1">
      <c r="A650" s="2">
        <v>1.0</v>
      </c>
      <c r="B650" s="2" t="s">
        <v>1852</v>
      </c>
      <c r="C650" s="2" t="s">
        <v>1853</v>
      </c>
      <c r="D650" s="2" t="s">
        <v>36</v>
      </c>
      <c r="E650" s="2" t="s">
        <v>21</v>
      </c>
      <c r="F650" s="2" t="s">
        <v>15</v>
      </c>
      <c r="G650" s="2" t="s">
        <v>1854</v>
      </c>
      <c r="H650" s="2" t="s">
        <v>265</v>
      </c>
      <c r="I650" s="2" t="str">
        <f>IFERROR(__xludf.DUMMYFUNCTION("GOOGLETRANSLATE(C650,""fr"",""en"")"),"Insured for more than 30 years at La Maif, my son secondary driver had a minor accident (around 1100 € of repair) which made me lose my joker (50% bonus for at least 5 years) so I have Following this passed my son as a main driver, which doubled the contr"&amp;"ibution at almost € 1,000 in all risks. In January my son has new an accident, alone on a roundabout (diesel plate on wet roads) so he wrestled the front wheel on the sidewalk. Association of the car by the maif, no worries but now my son redeem a car, so"&amp;" we phone at the Maif to ensure his new car. After 30 minutes of appeal and 3 interlocutterus we are told that the maif refuses to insure it, because client unhealthy. Too bad, Maif will no longer have our insurance, to believe that they do not need money"&amp;" and that they have too many customers. Too bad after all the maif is no longer what it was, and I leave it without regret
")</f>
        <v>Insured for more than 30 years at La Maif, my son secondary driver had a minor accident (around 1100 € of repair) which made me lose my joker (50% bonus for at least 5 years) so I have Following this passed my son as a main driver, which doubled the contribution at almost € 1,000 in all risks. In January my son has new an accident, alone on a roundabout (diesel plate on wet roads) so he wrestled the front wheel on the sidewalk. Association of the car by the maif, no worries but now my son redeem a car, so we phone at the Maif to ensure his new car. After 30 minutes of appeal and 3 interlocutterus we are told that the maif refuses to insure it, because client unhealthy. Too bad, Maif will no longer have our insurance, to believe that they do not need money and that they have too many customers. Too bad after all the maif is no longer what it was, and I leave it without regret
</v>
      </c>
    </row>
    <row r="651" ht="15.75" customHeight="1">
      <c r="A651" s="2">
        <v>4.0</v>
      </c>
      <c r="B651" s="2" t="s">
        <v>1855</v>
      </c>
      <c r="C651" s="2" t="s">
        <v>1856</v>
      </c>
      <c r="D651" s="2" t="s">
        <v>172</v>
      </c>
      <c r="E651" s="2" t="s">
        <v>14</v>
      </c>
      <c r="F651" s="2" t="s">
        <v>15</v>
      </c>
      <c r="G651" s="2" t="s">
        <v>732</v>
      </c>
      <c r="H651" s="2" t="s">
        <v>320</v>
      </c>
      <c r="I651" s="2" t="str">
        <f>IFERROR(__xludf.DUMMYFUNCTION("GOOGLETRANSLATE(C651,""fr"",""en"")"),"I am very satisfied in general, the value for money, the responsiveness and the kindness of the advisers, as far as I am concerned everything is done automatically, my mutual is attached to my vital card and I have nothing send.
The services are very sat"&amp;"isfactory.")</f>
        <v>I am very satisfied in general, the value for money, the responsiveness and the kindness of the advisers, as far as I am concerned everything is done automatically, my mutual is attached to my vital card and I have nothing send.
The services are very satisfactory.</v>
      </c>
    </row>
    <row r="652" ht="15.75" customHeight="1">
      <c r="A652" s="2">
        <v>4.0</v>
      </c>
      <c r="B652" s="2" t="s">
        <v>1857</v>
      </c>
      <c r="C652" s="2" t="s">
        <v>1858</v>
      </c>
      <c r="D652" s="2" t="s">
        <v>41</v>
      </c>
      <c r="E652" s="2" t="s">
        <v>21</v>
      </c>
      <c r="F652" s="2" t="s">
        <v>15</v>
      </c>
      <c r="G652" s="2" t="s">
        <v>73</v>
      </c>
      <c r="H652" s="2" t="s">
        <v>74</v>
      </c>
      <c r="I652" s="2" t="str">
        <f>IFERROR(__xludf.DUMMYFUNCTION("GOOGLETRANSLATE(C652,""fr"",""en"")"),"Satisfied with the very simple process!
The price is quite attractive, better than on classic insurers, I am waiting to know if the service is the guarantees are good
")</f>
        <v>Satisfied with the very simple process!
The price is quite attractive, better than on classic insurers, I am waiting to know if the service is the guarantees are good
</v>
      </c>
    </row>
    <row r="653" ht="15.75" customHeight="1">
      <c r="A653" s="2">
        <v>5.0</v>
      </c>
      <c r="B653" s="2" t="s">
        <v>1859</v>
      </c>
      <c r="C653" s="2" t="s">
        <v>1860</v>
      </c>
      <c r="D653" s="2" t="s">
        <v>20</v>
      </c>
      <c r="E653" s="2" t="s">
        <v>21</v>
      </c>
      <c r="F653" s="2" t="s">
        <v>15</v>
      </c>
      <c r="G653" s="2" t="s">
        <v>1861</v>
      </c>
      <c r="H653" s="2" t="s">
        <v>55</v>
      </c>
      <c r="I653" s="2" t="str">
        <f>IFERROR(__xludf.DUMMYFUNCTION("GOOGLETRANSLATE(C653,""fr"",""en"")"),"I am very satisfied is very happy with the simplicity of the procedures of the prices offered thank you very much for your confidence in verse good evening")</f>
        <v>I am very satisfied is very happy with the simplicity of the procedures of the prices offered thank you very much for your confidence in verse good evening</v>
      </c>
    </row>
    <row r="654" ht="15.75" customHeight="1">
      <c r="A654" s="2">
        <v>2.0</v>
      </c>
      <c r="B654" s="2" t="s">
        <v>1862</v>
      </c>
      <c r="C654" s="2" t="s">
        <v>1863</v>
      </c>
      <c r="D654" s="2" t="s">
        <v>31</v>
      </c>
      <c r="E654" s="2" t="s">
        <v>21</v>
      </c>
      <c r="F654" s="2" t="s">
        <v>15</v>
      </c>
      <c r="G654" s="2" t="s">
        <v>1062</v>
      </c>
      <c r="H654" s="2" t="s">
        <v>197</v>
      </c>
      <c r="I654" s="2" t="str">
        <f>IFERROR(__xludf.DUMMYFUNCTION("GOOGLETRANSLATE(C654,""fr"",""en"")"),"Following a hanging that occurred with a courtesy vehicle, the Macif to refuse to take care of the claim while the transfer of insurance had been made.")</f>
        <v>Following a hanging that occurred with a courtesy vehicle, the Macif to refuse to take care of the claim while the transfer of insurance had been made.</v>
      </c>
    </row>
    <row r="655" ht="15.75" customHeight="1">
      <c r="A655" s="2">
        <v>4.0</v>
      </c>
      <c r="B655" s="2" t="s">
        <v>1864</v>
      </c>
      <c r="C655" s="2" t="s">
        <v>1865</v>
      </c>
      <c r="D655" s="2" t="s">
        <v>20</v>
      </c>
      <c r="E655" s="2" t="s">
        <v>21</v>
      </c>
      <c r="F655" s="2" t="s">
        <v>15</v>
      </c>
      <c r="G655" s="2" t="s">
        <v>1841</v>
      </c>
      <c r="H655" s="2" t="s">
        <v>51</v>
      </c>
      <c r="I655" s="2" t="str">
        <f>IFERROR(__xludf.DUMMYFUNCTION("GOOGLETRANSLATE(C655,""fr"",""en"")"),"Super listening advisor, price accessible to see in time how is it.")</f>
        <v>Super listening advisor, price accessible to see in time how is it.</v>
      </c>
    </row>
    <row r="656" ht="15.75" customHeight="1">
      <c r="A656" s="2">
        <v>1.0</v>
      </c>
      <c r="B656" s="2" t="s">
        <v>1866</v>
      </c>
      <c r="C656" s="2" t="s">
        <v>1867</v>
      </c>
      <c r="D656" s="2" t="s">
        <v>63</v>
      </c>
      <c r="E656" s="2" t="s">
        <v>14</v>
      </c>
      <c r="F656" s="2" t="s">
        <v>15</v>
      </c>
      <c r="G656" s="2" t="s">
        <v>1868</v>
      </c>
      <c r="H656" s="2" t="s">
        <v>241</v>
      </c>
      <c r="I656" s="2" t="str">
        <f>IFERROR(__xludf.DUMMYFUNCTION("GOOGLETRANSLATE(C656,""fr"",""en"")"),"I underwent a double sample this month of November 2020. My complaint dates from 10 days. Received an email like tea towel to tell me that they will take care of it. For nothing, an excuse, think. They don't care. I have more than 300 euros lying around. "&amp;"They totally ignore that people can have difficult months. It is simply shameful. Just read the impressive number of unhappy people to judge the nullity of this organization; Mercer behaves worse than a bank.
M.D.")</f>
        <v>I underwent a double sample this month of November 2020. My complaint dates from 10 days. Received an email like tea towel to tell me that they will take care of it. For nothing, an excuse, think. They don't care. I have more than 300 euros lying around. They totally ignore that people can have difficult months. It is simply shameful. Just read the impressive number of unhappy people to judge the nullity of this organization; Mercer behaves worse than a bank.
M.D.</v>
      </c>
    </row>
    <row r="657" ht="15.75" customHeight="1">
      <c r="A657" s="2">
        <v>4.0</v>
      </c>
      <c r="B657" s="2" t="s">
        <v>1869</v>
      </c>
      <c r="C657" s="2" t="s">
        <v>1870</v>
      </c>
      <c r="D657" s="2" t="s">
        <v>20</v>
      </c>
      <c r="E657" s="2" t="s">
        <v>21</v>
      </c>
      <c r="F657" s="2" t="s">
        <v>15</v>
      </c>
      <c r="G657" s="2" t="s">
        <v>151</v>
      </c>
      <c r="H657" s="2" t="s">
        <v>28</v>
      </c>
      <c r="I657" s="2" t="str">
        <f>IFERROR(__xludf.DUMMYFUNCTION("GOOGLETRANSLATE(C657,""fr"",""en"")"),"The prices are very attractive and the advisers are very kind.
I recommend this auto insurance, I just came to them, but I am still already delighted with their services.")</f>
        <v>The prices are very attractive and the advisers are very kind.
I recommend this auto insurance, I just came to them, but I am still already delighted with their services.</v>
      </c>
    </row>
    <row r="658" ht="15.75" customHeight="1">
      <c r="A658" s="2">
        <v>1.0</v>
      </c>
      <c r="B658" s="2" t="s">
        <v>1871</v>
      </c>
      <c r="C658" s="2" t="s">
        <v>1872</v>
      </c>
      <c r="D658" s="2" t="s">
        <v>91</v>
      </c>
      <c r="E658" s="2" t="s">
        <v>14</v>
      </c>
      <c r="F658" s="2" t="s">
        <v>15</v>
      </c>
      <c r="G658" s="2" t="s">
        <v>1873</v>
      </c>
      <c r="H658" s="2" t="s">
        <v>60</v>
      </c>
      <c r="I658" s="2" t="str">
        <f>IFERROR(__xludf.DUMMYFUNCTION("GOOGLETRANSLATE(C658,""fr"",""en"")"),"Insurance broker to flee for a request termination by recommended exceed 4J while with the health restrictions of this period (I am diabetic) so cannot expose me from public places .....! They refused me the termination of this provident contract which us"&amp;"es me for no way because made through a mutual !!! A shame for this insurance broker who pockets for profit without any qualms .... not at all flexibility
")</f>
        <v>Insurance broker to flee for a request termination by recommended exceed 4J while with the health restrictions of this period (I am diabetic) so cannot expose me from public places .....! They refused me the termination of this provident contract which uses me for no way because made through a mutual !!! A shame for this insurance broker who pockets for profit without any qualms .... not at all flexibility
</v>
      </c>
    </row>
    <row r="659" ht="15.75" customHeight="1">
      <c r="A659" s="2">
        <v>1.0</v>
      </c>
      <c r="B659" s="2" t="s">
        <v>1874</v>
      </c>
      <c r="C659" s="2" t="s">
        <v>1875</v>
      </c>
      <c r="D659" s="2" t="s">
        <v>20</v>
      </c>
      <c r="E659" s="2" t="s">
        <v>21</v>
      </c>
      <c r="F659" s="2" t="s">
        <v>15</v>
      </c>
      <c r="G659" s="2" t="s">
        <v>1876</v>
      </c>
      <c r="H659" s="2" t="s">
        <v>55</v>
      </c>
      <c r="I659" s="2" t="str">
        <f>IFERROR(__xludf.DUMMYFUNCTION("GOOGLETRANSLATE(C659,""fr"",""en"")"),"Always listening
Satisfied with the requested information.
Speed ​​of execution, kind.
Satisfactory personal offers I recommend this insurance")</f>
        <v>Always listening
Satisfied with the requested information.
Speed ​​of execution, kind.
Satisfactory personal offers I recommend this insurance</v>
      </c>
    </row>
    <row r="660" ht="15.75" customHeight="1">
      <c r="A660" s="2">
        <v>2.0</v>
      </c>
      <c r="B660" s="2" t="s">
        <v>1877</v>
      </c>
      <c r="C660" s="2" t="s">
        <v>1878</v>
      </c>
      <c r="D660" s="2" t="s">
        <v>395</v>
      </c>
      <c r="E660" s="2" t="s">
        <v>21</v>
      </c>
      <c r="F660" s="2" t="s">
        <v>15</v>
      </c>
      <c r="G660" s="2" t="s">
        <v>1879</v>
      </c>
      <c r="H660" s="2" t="s">
        <v>269</v>
      </c>
      <c r="I660" s="2" t="str">
        <f>IFERROR(__xludf.DUMMYFUNCTION("GOOGLETRANSLATE(C660,""fr"",""en"")"),"A long history that ends in court.
Accident well managed but with errors of the approved mechanic who caused a breakdown 1 year later. Very bad follow -up of the file. Bad faith. Several dozen reminders by phone and emails. 4 months of vehicle rental t"&amp;"o fill their ineffectiveness never taken care of (3000eurs !!!) expertise problems. No response to our letter of formal notice. It is very poorly considered its customers. In short, we change and we continue to court")</f>
        <v>A long history that ends in court.
Accident well managed but with errors of the approved mechanic who caused a breakdown 1 year later. Very bad follow -up of the file. Bad faith. Several dozen reminders by phone and emails. 4 months of vehicle rental to fill their ineffectiveness never taken care of (3000eurs !!!) expertise problems. No response to our letter of formal notice. It is very poorly considered its customers. In short, we change and we continue to court</v>
      </c>
    </row>
    <row r="661" ht="15.75" customHeight="1">
      <c r="A661" s="2">
        <v>5.0</v>
      </c>
      <c r="B661" s="2" t="s">
        <v>1880</v>
      </c>
      <c r="C661" s="2" t="s">
        <v>1881</v>
      </c>
      <c r="D661" s="2" t="s">
        <v>20</v>
      </c>
      <c r="E661" s="2" t="s">
        <v>21</v>
      </c>
      <c r="F661" s="2" t="s">
        <v>15</v>
      </c>
      <c r="G661" s="2" t="s">
        <v>860</v>
      </c>
      <c r="H661" s="2" t="s">
        <v>51</v>
      </c>
      <c r="I661" s="2" t="str">
        <f>IFERROR(__xludf.DUMMYFUNCTION("GOOGLETRANSLATE(C661,""fr"",""en"")"),"I am satisfied with the service
The prices are very attractive
The approach to subscribe to the contract and simple and effective")</f>
        <v>I am satisfied with the service
The prices are very attractive
The approach to subscribe to the contract and simple and effective</v>
      </c>
    </row>
    <row r="662" ht="15.75" customHeight="1">
      <c r="A662" s="2">
        <v>4.0</v>
      </c>
      <c r="B662" s="2" t="s">
        <v>1882</v>
      </c>
      <c r="C662" s="2" t="s">
        <v>1883</v>
      </c>
      <c r="D662" s="2" t="s">
        <v>41</v>
      </c>
      <c r="E662" s="2" t="s">
        <v>21</v>
      </c>
      <c r="F662" s="2" t="s">
        <v>15</v>
      </c>
      <c r="G662" s="2" t="s">
        <v>537</v>
      </c>
      <c r="H662" s="2" t="s">
        <v>42</v>
      </c>
      <c r="I662" s="2" t="str">
        <f>IFERROR(__xludf.DUMMYFUNCTION("GOOGLETRANSLATE(C662,""fr"",""en"")"),"Practical service - documents requested already in part in your possession
Good value for money -
 Your customer service cannot be reachable easily")</f>
        <v>Practical service - documents requested already in part in your possession
Good value for money -
 Your customer service cannot be reachable easily</v>
      </c>
    </row>
    <row r="663" ht="15.75" customHeight="1">
      <c r="A663" s="2">
        <v>2.0</v>
      </c>
      <c r="B663" s="2" t="s">
        <v>1884</v>
      </c>
      <c r="C663" s="2" t="s">
        <v>1885</v>
      </c>
      <c r="D663" s="2" t="s">
        <v>212</v>
      </c>
      <c r="E663" s="2" t="s">
        <v>21</v>
      </c>
      <c r="F663" s="2" t="s">
        <v>15</v>
      </c>
      <c r="G663" s="2" t="s">
        <v>1886</v>
      </c>
      <c r="H663" s="2" t="s">
        <v>320</v>
      </c>
      <c r="I663" s="2" t="str">
        <f>IFERROR(__xludf.DUMMYFUNCTION("GOOGLETRANSLATE(C663,""fr"",""en"")"),"Unreachable by phone a real catal ... We hang up after 17 minutes of waiting and when you have someone they are not able to answer, for my part I was terminated by knowing that 3 days after without any reason !!! And moreover the services can only be reac"&amp;"hed in 4 days, an amalgam is made between Allianz and Eallianz. Allianz and Eallianz lost a client with a 50% bonus without claim.")</f>
        <v>Unreachable by phone a real catal ... We hang up after 17 minutes of waiting and when you have someone they are not able to answer, for my part I was terminated by knowing that 3 days after without any reason !!! And moreover the services can only be reached in 4 days, an amalgam is made between Allianz and Eallianz. Allianz and Eallianz lost a client with a 50% bonus without claim.</v>
      </c>
    </row>
    <row r="664" ht="15.75" customHeight="1">
      <c r="A664" s="2">
        <v>1.0</v>
      </c>
      <c r="B664" s="2" t="s">
        <v>1887</v>
      </c>
      <c r="C664" s="2" t="s">
        <v>1888</v>
      </c>
      <c r="D664" s="2" t="s">
        <v>1889</v>
      </c>
      <c r="E664" s="2" t="s">
        <v>195</v>
      </c>
      <c r="F664" s="2" t="s">
        <v>15</v>
      </c>
      <c r="G664" s="2" t="s">
        <v>1101</v>
      </c>
      <c r="H664" s="2" t="s">
        <v>23</v>
      </c>
      <c r="I664" s="2" t="str">
        <f>IFERROR(__xludf.DUMMYFUNCTION("GOOGLETRANSLATE(C664,""fr"",""en"")"),"It's very serious, systematic delays.
This is not the first time that I write or phone, the last shipment dates from April 20, 2021 with recovery on 01. JUIN 2021 and still nothing to date.
The question asked: following a contractual break with unemploy"&amp;"ment, preyoyance is still running?")</f>
        <v>It's very serious, systematic delays.
This is not the first time that I write or phone, the last shipment dates from April 20, 2021 with recovery on 01. JUIN 2021 and still nothing to date.
The question asked: following a contractual break with unemployment, preyoyance is still running?</v>
      </c>
    </row>
    <row r="665" ht="15.75" customHeight="1">
      <c r="A665" s="2">
        <v>5.0</v>
      </c>
      <c r="B665" s="2" t="s">
        <v>1890</v>
      </c>
      <c r="C665" s="2" t="s">
        <v>1891</v>
      </c>
      <c r="D665" s="2" t="s">
        <v>41</v>
      </c>
      <c r="E665" s="2" t="s">
        <v>21</v>
      </c>
      <c r="F665" s="2" t="s">
        <v>15</v>
      </c>
      <c r="G665" s="2" t="s">
        <v>1170</v>
      </c>
      <c r="H665" s="2" t="s">
        <v>134</v>
      </c>
      <c r="I665" s="2" t="str">
        <f>IFERROR(__xludf.DUMMYFUNCTION("GOOGLETRANSLATE(C665,""fr"",""en"")"),"Very satisfied with the customer service and the protection contained by my contracts, house or car. I recommend this insurance for its speed and low prices as well as its protections.")</f>
        <v>Very satisfied with the customer service and the protection contained by my contracts, house or car. I recommend this insurance for its speed and low prices as well as its protections.</v>
      </c>
    </row>
    <row r="666" ht="15.75" customHeight="1">
      <c r="A666" s="2">
        <v>1.0</v>
      </c>
      <c r="B666" s="2" t="s">
        <v>1892</v>
      </c>
      <c r="C666" s="2" t="s">
        <v>1893</v>
      </c>
      <c r="D666" s="2" t="s">
        <v>108</v>
      </c>
      <c r="E666" s="2" t="s">
        <v>21</v>
      </c>
      <c r="F666" s="2" t="s">
        <v>15</v>
      </c>
      <c r="G666" s="2" t="s">
        <v>1751</v>
      </c>
      <c r="H666" s="2" t="s">
        <v>436</v>
      </c>
      <c r="I666" s="2" t="str">
        <f>IFERROR(__xludf.DUMMYFUNCTION("GOOGLETRANSLATE(C666,""fr"",""en"")"),"To flee - be careful! My quote was signed for 263.90 euros. My contract does not correspond to my quote number, to its amount or to the schedule. The tel changes after subscription and goes to a surcharged paid tel! We make you stand, 15 euros per call an"&amp;"d no regularization of file. I paid my contributions by a deposit as stipulated by my quote. I only received my green card after 2 months (not being able to use my vehicle for non -presentation of a green card in the event of control) then set by checks, "&amp;"I sold my contribution by anticipation (6 months of 'advance). While I refused the bank levy, this company takes unlawful samples without authorization to levy bank from my account generating rejection costs that it asks me to pay! In addition, she asks m"&amp;"e 48 euros otherwise she terminates my contract! Unacceptable and unacceptable ways of proceeding. I sent my file to the prudential control authority and resolution for sanction. A folder is open, bring your setbacks up your dissatisfaction and damage, ob"&amp;"viously I am not the only one concerned!")</f>
        <v>To flee - be careful! My quote was signed for 263.90 euros. My contract does not correspond to my quote number, to its amount or to the schedule. The tel changes after subscription and goes to a surcharged paid tel! We make you stand, 15 euros per call and no regularization of file. I paid my contributions by a deposit as stipulated by my quote. I only received my green card after 2 months (not being able to use my vehicle for non -presentation of a green card in the event of control) then set by checks, I sold my contribution by anticipation (6 months of 'advance). While I refused the bank levy, this company takes unlawful samples without authorization to levy bank from my account generating rejection costs that it asks me to pay! In addition, she asks me 48 euros otherwise she terminates my contract! Unacceptable and unacceptable ways of proceeding. I sent my file to the prudential control authority and resolution for sanction. A folder is open, bring your setbacks up your dissatisfaction and damage, obviously I am not the only one concerned!</v>
      </c>
    </row>
    <row r="667" ht="15.75" customHeight="1">
      <c r="A667" s="2">
        <v>4.0</v>
      </c>
      <c r="B667" s="2" t="s">
        <v>1894</v>
      </c>
      <c r="C667" s="2" t="s">
        <v>1895</v>
      </c>
      <c r="D667" s="2" t="s">
        <v>678</v>
      </c>
      <c r="E667" s="2" t="s">
        <v>21</v>
      </c>
      <c r="F667" s="2" t="s">
        <v>15</v>
      </c>
      <c r="G667" s="2" t="s">
        <v>1896</v>
      </c>
      <c r="H667" s="2" t="s">
        <v>465</v>
      </c>
      <c r="I667" s="2" t="str">
        <f>IFERROR(__xludf.DUMMYFUNCTION("GOOGLETRANSLATE(C667,""fr"",""en"")"),"I had a small bonus that was partially deleted, I don't know why ....... can't answer the reimbursement speed because I haven't had an accident for more than 10 years ........ I would have liked more recognition because for my Mercedes I pay very dear to "&amp;"be assured all risks more ........ on the occasion I will leave this insurer all the more that my house is insured with them !!!!")</f>
        <v>I had a small bonus that was partially deleted, I don't know why ....... can't answer the reimbursement speed because I haven't had an accident for more than 10 years ........ I would have liked more recognition because for my Mercedes I pay very dear to be assured all risks more ........ on the occasion I will leave this insurer all the more that my house is insured with them !!!!</v>
      </c>
    </row>
    <row r="668" ht="15.75" customHeight="1">
      <c r="A668" s="2">
        <v>3.0</v>
      </c>
      <c r="B668" s="2" t="s">
        <v>1897</v>
      </c>
      <c r="C668" s="2" t="s">
        <v>1898</v>
      </c>
      <c r="D668" s="2" t="s">
        <v>395</v>
      </c>
      <c r="E668" s="2" t="s">
        <v>922</v>
      </c>
      <c r="F668" s="2" t="s">
        <v>15</v>
      </c>
      <c r="G668" s="2" t="s">
        <v>1899</v>
      </c>
      <c r="H668" s="2" t="s">
        <v>282</v>
      </c>
      <c r="I668" s="2" t="str">
        <f>IFERROR(__xludf.DUMMYFUNCTION("GOOGLETRANSLATE(C668,""fr"",""en"")"),"hello, 
I want to make a total buyout of my 10 year life insurance
I can no longer find my contract
Axa tells me that I should break this contract and that it will last 2 years
is this legal
It can happen to lose documents so that is not normal in my"&amp;" opinion
very unhappy
 ")</f>
        <v>hello, 
I want to make a total buyout of my 10 year life insurance
I can no longer find my contract
Axa tells me that I should break this contract and that it will last 2 years
is this legal
It can happen to lose documents so that is not normal in my opinion
very unhappy
 </v>
      </c>
    </row>
    <row r="669" ht="15.75" customHeight="1">
      <c r="A669" s="2">
        <v>3.0</v>
      </c>
      <c r="B669" s="2" t="s">
        <v>1900</v>
      </c>
      <c r="C669" s="2" t="s">
        <v>1901</v>
      </c>
      <c r="D669" s="2" t="s">
        <v>41</v>
      </c>
      <c r="E669" s="2" t="s">
        <v>21</v>
      </c>
      <c r="F669" s="2" t="s">
        <v>15</v>
      </c>
      <c r="G669" s="2" t="s">
        <v>1690</v>
      </c>
      <c r="H669" s="2" t="s">
        <v>51</v>
      </c>
      <c r="I669" s="2" t="str">
        <f>IFERROR(__xludf.DUMMYFUNCTION("GOOGLETRANSLATE(C669,""fr"",""en"")"),"I am very satisfied, and hope not to have a bad surprise! Indeed it is when we have a problem ... that we see the quality of insurance!
")</f>
        <v>I am very satisfied, and hope not to have a bad surprise! Indeed it is when we have a problem ... that we see the quality of insurance!
</v>
      </c>
    </row>
    <row r="670" ht="15.75" customHeight="1">
      <c r="A670" s="2">
        <v>1.0</v>
      </c>
      <c r="B670" s="2" t="s">
        <v>1902</v>
      </c>
      <c r="C670" s="2" t="s">
        <v>1903</v>
      </c>
      <c r="D670" s="2" t="s">
        <v>36</v>
      </c>
      <c r="E670" s="2" t="s">
        <v>58</v>
      </c>
      <c r="F670" s="2" t="s">
        <v>15</v>
      </c>
      <c r="G670" s="2" t="s">
        <v>948</v>
      </c>
      <c r="H670" s="2" t="s">
        <v>913</v>
      </c>
      <c r="I670" s="2" t="str">
        <f>IFERROR(__xludf.DUMMYFUNCTION("GOOGLETRANSLATE(C670,""fr"",""en"")"),"Insured for about fifteen years at the MAIF without any disaster home, be careful when a small claim occurs: lamentable telephone reception at the limit of correction,, after 4 months always no progress in the file or the slightest start compensation. A s"&amp;"hame!")</f>
        <v>Insured for about fifteen years at the MAIF without any disaster home, be careful when a small claim occurs: lamentable telephone reception at the limit of correction,, after 4 months always no progress in the file or the slightest start compensation. A shame!</v>
      </c>
    </row>
    <row r="671" ht="15.75" customHeight="1">
      <c r="A671" s="2">
        <v>3.0</v>
      </c>
      <c r="B671" s="2" t="s">
        <v>1904</v>
      </c>
      <c r="C671" s="2" t="s">
        <v>1905</v>
      </c>
      <c r="D671" s="2" t="s">
        <v>20</v>
      </c>
      <c r="E671" s="2" t="s">
        <v>21</v>
      </c>
      <c r="F671" s="2" t="s">
        <v>15</v>
      </c>
      <c r="G671" s="2" t="s">
        <v>1329</v>
      </c>
      <c r="H671" s="2" t="s">
        <v>74</v>
      </c>
      <c r="I671" s="2" t="str">
        <f>IFERROR(__xludf.DUMMYFUNCTION("GOOGLETRANSLATE(C671,""fr"",""en"")"),"Not had 10% on my second car contract announced on the phone. Not easy to be remembered by an advisor to have details on the contract .. 3 stars for the price, because not the rmeise of 10% announced.")</f>
        <v>Not had 10% on my second car contract announced on the phone. Not easy to be remembered by an advisor to have details on the contract .. 3 stars for the price, because not the rmeise of 10% announced.</v>
      </c>
    </row>
    <row r="672" ht="15.75" customHeight="1">
      <c r="A672" s="2">
        <v>2.0</v>
      </c>
      <c r="B672" s="2" t="s">
        <v>1906</v>
      </c>
      <c r="C672" s="2" t="s">
        <v>1907</v>
      </c>
      <c r="D672" s="2" t="s">
        <v>36</v>
      </c>
      <c r="E672" s="2" t="s">
        <v>21</v>
      </c>
      <c r="F672" s="2" t="s">
        <v>15</v>
      </c>
      <c r="G672" s="2" t="s">
        <v>285</v>
      </c>
      <c r="H672" s="2" t="s">
        <v>23</v>
      </c>
      <c r="I672" s="2" t="str">
        <f>IFERROR(__xludf.DUMMYFUNCTION("GOOGLETRANSLATE(C672,""fr"",""en"")"),"Light claims on a door with a third party who was careful not to stay on site. The expert disputes my declaration and makes me completely responsible. I would have reversed with an open door. Gogol behind the wheel.
He is an expert therefore just above y"&amp;"ou and me. I confirm that he is really above, because it is he who writes and dispatched the letter of rejection. And is the maif aware or is it that encourages these experts to act in denial?
Not married to the Maif, I can go opposite.")</f>
        <v>Light claims on a door with a third party who was careful not to stay on site. The expert disputes my declaration and makes me completely responsible. I would have reversed with an open door. Gogol behind the wheel.
He is an expert therefore just above you and me. I confirm that he is really above, because it is he who writes and dispatched the letter of rejection. And is the maif aware or is it that encourages these experts to act in denial?
Not married to the Maif, I can go opposite.</v>
      </c>
    </row>
    <row r="673" ht="15.75" customHeight="1">
      <c r="A673" s="2">
        <v>3.0</v>
      </c>
      <c r="B673" s="2" t="s">
        <v>1908</v>
      </c>
      <c r="C673" s="2" t="s">
        <v>1909</v>
      </c>
      <c r="D673" s="2" t="s">
        <v>20</v>
      </c>
      <c r="E673" s="2" t="s">
        <v>21</v>
      </c>
      <c r="F673" s="2" t="s">
        <v>15</v>
      </c>
      <c r="G673" s="2" t="s">
        <v>490</v>
      </c>
      <c r="H673" s="2" t="s">
        <v>55</v>
      </c>
      <c r="I673" s="2" t="str">
        <f>IFERROR(__xludf.DUMMYFUNCTION("GOOGLETRANSLATE(C673,""fr"",""en"")"),"New customer, I received a good welcome.
The subscription was easy and assisted by a phone advisor.
The sending of documents is a little more problematic.
")</f>
        <v>New customer, I received a good welcome.
The subscription was easy and assisted by a phone advisor.
The sending of documents is a little more problematic.
</v>
      </c>
    </row>
    <row r="674" ht="15.75" customHeight="1">
      <c r="A674" s="2">
        <v>3.0</v>
      </c>
      <c r="B674" s="2" t="s">
        <v>1910</v>
      </c>
      <c r="C674" s="2" t="s">
        <v>1911</v>
      </c>
      <c r="D674" s="2" t="s">
        <v>20</v>
      </c>
      <c r="E674" s="2" t="s">
        <v>21</v>
      </c>
      <c r="F674" s="2" t="s">
        <v>15</v>
      </c>
      <c r="G674" s="2" t="s">
        <v>173</v>
      </c>
      <c r="H674" s="2" t="s">
        <v>47</v>
      </c>
      <c r="I674" s="2" t="str">
        <f>IFERROR(__xludf.DUMMYFUNCTION("GOOGLETRANSLATE(C674,""fr"",""en"")"),"The prices are correct but the deadlines are a bit long. It is a shame that you cannot directly access your green card via the customer area after having documents.")</f>
        <v>The prices are correct but the deadlines are a bit long. It is a shame that you cannot directly access your green card via the customer area after having documents.</v>
      </c>
    </row>
    <row r="675" ht="15.75" customHeight="1">
      <c r="A675" s="2">
        <v>1.0</v>
      </c>
      <c r="B675" s="2" t="s">
        <v>1912</v>
      </c>
      <c r="C675" s="2" t="s">
        <v>1913</v>
      </c>
      <c r="D675" s="2" t="s">
        <v>13</v>
      </c>
      <c r="E675" s="2" t="s">
        <v>14</v>
      </c>
      <c r="F675" s="2" t="s">
        <v>15</v>
      </c>
      <c r="G675" s="2" t="s">
        <v>1914</v>
      </c>
      <c r="H675" s="2" t="s">
        <v>28</v>
      </c>
      <c r="I675" s="2" t="str">
        <f>IFERROR(__xludf.DUMMYFUNCTION("GOOGLETRANSLATE(C675,""fr"",""en"")"),"Neoliane ... Abusive procedure - Contract signed by SMS to elderly people who are abused - and we relaunch and we relate - and we call the litigation service to scare .. and despite complaints no consideration ... Yet email in support of the right copy ta"&amp;"king of my request-
And today I am reminded to ask me to confirm my adhesion at 01.01.2022 -&gt; It's a joke
Declaration with ACPR+ DGCCRF+ Depot of current complaints
")</f>
        <v>Neoliane ... Abusive procedure - Contract signed by SMS to elderly people who are abused - and we relaunch and we relate - and we call the litigation service to scare .. and despite complaints no consideration ... Yet email in support of the right copy taking of my request-
And today I am reminded to ask me to confirm my adhesion at 01.01.2022 -&gt; It's a joke
Declaration with ACPR+ DGCCRF+ Depot of current complaints
</v>
      </c>
    </row>
    <row r="676" ht="15.75" customHeight="1">
      <c r="A676" s="2">
        <v>5.0</v>
      </c>
      <c r="B676" s="2" t="s">
        <v>1915</v>
      </c>
      <c r="C676" s="2" t="s">
        <v>1916</v>
      </c>
      <c r="D676" s="2" t="s">
        <v>103</v>
      </c>
      <c r="E676" s="2" t="s">
        <v>104</v>
      </c>
      <c r="F676" s="2" t="s">
        <v>15</v>
      </c>
      <c r="G676" s="2" t="s">
        <v>1242</v>
      </c>
      <c r="H676" s="2" t="s">
        <v>55</v>
      </c>
      <c r="I676" s="2" t="str">
        <f>IFERROR(__xludf.DUMMYFUNCTION("GOOGLETRANSLATE(C676,""fr"",""en"")"),"Fast and easy adhesion, for the moment nothing to complain about, even if I had to renegotiate with a quote from the competition to obtain better conditions")</f>
        <v>Fast and easy adhesion, for the moment nothing to complain about, even if I had to renegotiate with a quote from the competition to obtain better conditions</v>
      </c>
    </row>
    <row r="677" ht="15.75" customHeight="1">
      <c r="A677" s="2">
        <v>5.0</v>
      </c>
      <c r="B677" s="2" t="s">
        <v>1917</v>
      </c>
      <c r="C677" s="2" t="s">
        <v>1918</v>
      </c>
      <c r="D677" s="2" t="s">
        <v>31</v>
      </c>
      <c r="E677" s="2" t="s">
        <v>21</v>
      </c>
      <c r="F677" s="2" t="s">
        <v>15</v>
      </c>
      <c r="G677" s="2" t="s">
        <v>806</v>
      </c>
      <c r="H677" s="2" t="s">
        <v>23</v>
      </c>
      <c r="I677" s="2" t="str">
        <f>IFERROR(__xludf.DUMMYFUNCTION("GOOGLETRANSLATE(C677,""fr"",""en"")"),"Always effective information on the phone. Very good management and very simplely of my damage during a very strong hail. Very satisfied.")</f>
        <v>Always effective information on the phone. Very good management and very simplely of my damage during a very strong hail. Very satisfied.</v>
      </c>
    </row>
    <row r="678" ht="15.75" customHeight="1">
      <c r="A678" s="2">
        <v>5.0</v>
      </c>
      <c r="B678" s="2" t="s">
        <v>1919</v>
      </c>
      <c r="C678" s="2" t="s">
        <v>1920</v>
      </c>
      <c r="D678" s="2" t="s">
        <v>20</v>
      </c>
      <c r="E678" s="2" t="s">
        <v>21</v>
      </c>
      <c r="F678" s="2" t="s">
        <v>15</v>
      </c>
      <c r="G678" s="2" t="s">
        <v>389</v>
      </c>
      <c r="H678" s="2" t="s">
        <v>74</v>
      </c>
      <c r="I678" s="2" t="str">
        <f>IFERROR(__xludf.DUMMYFUNCTION("GOOGLETRANSLATE(C678,""fr"",""en"")"),"cheap, and communication with the representative was clear and it went well
I was looking for any risk that is not too expensive and this one is perfect")</f>
        <v>cheap, and communication with the representative was clear and it went well
I was looking for any risk that is not too expensive and this one is perfect</v>
      </c>
    </row>
    <row r="679" ht="15.75" customHeight="1">
      <c r="A679" s="2">
        <v>3.0</v>
      </c>
      <c r="B679" s="2" t="s">
        <v>1921</v>
      </c>
      <c r="C679" s="2" t="s">
        <v>1922</v>
      </c>
      <c r="D679" s="2" t="s">
        <v>91</v>
      </c>
      <c r="E679" s="2" t="s">
        <v>14</v>
      </c>
      <c r="F679" s="2" t="s">
        <v>15</v>
      </c>
      <c r="G679" s="2" t="s">
        <v>1923</v>
      </c>
      <c r="H679" s="2" t="s">
        <v>309</v>
      </c>
      <c r="I679" s="2" t="str">
        <f>IFERROR(__xludf.DUMMYFUNCTION("GOOGLETRANSLATE(C679,""fr"",""en"")"),"Contact this day with Sabrina. Listening person who takes the time to guide to carry out the online process on the site. Understanding before questions.")</f>
        <v>Contact this day with Sabrina. Listening person who takes the time to guide to carry out the online process on the site. Understanding before questions.</v>
      </c>
    </row>
    <row r="680" ht="15.75" customHeight="1">
      <c r="A680" s="2">
        <v>4.0</v>
      </c>
      <c r="B680" s="2" t="s">
        <v>1924</v>
      </c>
      <c r="C680" s="2" t="s">
        <v>1925</v>
      </c>
      <c r="D680" s="2" t="s">
        <v>172</v>
      </c>
      <c r="E680" s="2" t="s">
        <v>14</v>
      </c>
      <c r="F680" s="2" t="s">
        <v>15</v>
      </c>
      <c r="G680" s="2" t="s">
        <v>652</v>
      </c>
      <c r="H680" s="2" t="s">
        <v>134</v>
      </c>
      <c r="I680" s="2" t="str">
        <f>IFERROR(__xludf.DUMMYFUNCTION("GOOGLETRANSLATE(C680,""fr"",""en"")"),"Everything is fine with my mutual. I have been with you since I took office in the national police since 1967. If I stayed with you, it is because I am satisfied with your services. So continue like that and everything will be fine. Your employees are lis"&amp;"tening and that’s not by everything. Thanks")</f>
        <v>Everything is fine with my mutual. I have been with you since I took office in the national police since 1967. If I stayed with you, it is because I am satisfied with your services. So continue like that and everything will be fine. Your employees are listening and that’s not by everything. Thanks</v>
      </c>
    </row>
    <row r="681" ht="15.75" customHeight="1">
      <c r="A681" s="2">
        <v>1.0</v>
      </c>
      <c r="B681" s="2" t="s">
        <v>1926</v>
      </c>
      <c r="C681" s="2" t="s">
        <v>1927</v>
      </c>
      <c r="D681" s="2" t="s">
        <v>13</v>
      </c>
      <c r="E681" s="2" t="s">
        <v>14</v>
      </c>
      <c r="F681" s="2" t="s">
        <v>15</v>
      </c>
      <c r="G681" s="2" t="s">
        <v>1928</v>
      </c>
      <c r="H681" s="2" t="s">
        <v>209</v>
      </c>
      <c r="I681" s="2" t="str">
        <f>IFERROR(__xludf.DUMMYFUNCTION("GOOGLETRANSLATE(C681,""fr"",""en"")"),"Hello I am really not satisfied at all we never manage to reach them by phone I am so disappointed I will never have to adhere no answer ok")</f>
        <v>Hello I am really not satisfied at all we never manage to reach them by phone I am so disappointed I will never have to adhere no answer ok</v>
      </c>
    </row>
    <row r="682" ht="15.75" customHeight="1">
      <c r="A682" s="2">
        <v>5.0</v>
      </c>
      <c r="B682" s="2" t="s">
        <v>1929</v>
      </c>
      <c r="C682" s="2" t="s">
        <v>1930</v>
      </c>
      <c r="D682" s="2" t="s">
        <v>13</v>
      </c>
      <c r="E682" s="2" t="s">
        <v>14</v>
      </c>
      <c r="F682" s="2" t="s">
        <v>15</v>
      </c>
      <c r="G682" s="2" t="s">
        <v>1931</v>
      </c>
      <c r="H682" s="2" t="s">
        <v>203</v>
      </c>
      <c r="I682" s="2" t="str">
        <f>IFERROR(__xludf.DUMMYFUNCTION("GOOGLETRANSLATE(C682,""fr"",""en"")"),"Very happy with the service ............................................. .................................................. .................................................. .................................................. ............................"&amp;"...................... .................................................. .................................................. .................................................. .................................................. ............................"&amp;"...................... .................................................. .................................................. ......")</f>
        <v>Very happy with the service ............................................. .................................................. .................................................. .................................................. .................................................. .................................................. .................................................. .................................................. .................................................. .................................................. .................................................. .................................................. ......</v>
      </c>
    </row>
    <row r="683" ht="15.75" customHeight="1">
      <c r="A683" s="2">
        <v>5.0</v>
      </c>
      <c r="B683" s="2" t="s">
        <v>1932</v>
      </c>
      <c r="C683" s="2" t="s">
        <v>1933</v>
      </c>
      <c r="D683" s="2" t="s">
        <v>20</v>
      </c>
      <c r="E683" s="2" t="s">
        <v>21</v>
      </c>
      <c r="F683" s="2" t="s">
        <v>15</v>
      </c>
      <c r="G683" s="2" t="s">
        <v>1934</v>
      </c>
      <c r="H683" s="2" t="s">
        <v>47</v>
      </c>
      <c r="I683" s="2" t="str">
        <f>IFERROR(__xludf.DUMMYFUNCTION("GOOGLETRANSLATE(C683,""fr"",""en"")"),"I am satisfied with the insurance olive tree very happy with the service and the relational very good insurance very well served cordially")</f>
        <v>I am satisfied with the insurance olive tree very happy with the service and the relational very good insurance very well served cordially</v>
      </c>
    </row>
    <row r="684" ht="15.75" customHeight="1">
      <c r="A684" s="2">
        <v>2.0</v>
      </c>
      <c r="B684" s="2" t="s">
        <v>1935</v>
      </c>
      <c r="C684" s="2" t="s">
        <v>1936</v>
      </c>
      <c r="D684" s="2" t="s">
        <v>20</v>
      </c>
      <c r="E684" s="2" t="s">
        <v>21</v>
      </c>
      <c r="F684" s="2" t="s">
        <v>15</v>
      </c>
      <c r="G684" s="2" t="s">
        <v>685</v>
      </c>
      <c r="H684" s="2" t="s">
        <v>74</v>
      </c>
      <c r="I684" s="2" t="str">
        <f>IFERROR(__xludf.DUMMYFUNCTION("GOOGLETRANSLATE(C684,""fr"",""en"")"),"Have terminated my contract for no reason and do not even bother to call to clarify the situation. Preferable to pay more for better coverage and real respect for the insured.")</f>
        <v>Have terminated my contract for no reason and do not even bother to call to clarify the situation. Preferable to pay more for better coverage and real respect for the insured.</v>
      </c>
    </row>
    <row r="685" ht="15.75" customHeight="1">
      <c r="A685" s="2">
        <v>2.0</v>
      </c>
      <c r="B685" s="2" t="s">
        <v>1937</v>
      </c>
      <c r="C685" s="2" t="s">
        <v>1938</v>
      </c>
      <c r="D685" s="2" t="s">
        <v>605</v>
      </c>
      <c r="E685" s="2" t="s">
        <v>14</v>
      </c>
      <c r="F685" s="2" t="s">
        <v>15</v>
      </c>
      <c r="G685" s="2" t="s">
        <v>1939</v>
      </c>
      <c r="H685" s="2" t="s">
        <v>407</v>
      </c>
      <c r="I685" s="2" t="str">
        <f>IFERROR(__xludf.DUMMYFUNCTION("GOOGLETRANSLATE(C685,""fr"",""en"")"),"4 times that I send invoices to be reimbursed for my lenses. They never receive, pretext La Poste ... After multiple calls I am announced the reimbursement period 47 days, a shame, it is not you who advanced the costs. With all the other mutuals it was ma"&amp;"ximum 1 week 10 days. If you explode to ask ... recruit then it is not up to us to pay the delay.")</f>
        <v>4 times that I send invoices to be reimbursed for my lenses. They never receive, pretext La Poste ... After multiple calls I am announced the reimbursement period 47 days, a shame, it is not you who advanced the costs. With all the other mutuals it was maximum 1 week 10 days. If you explode to ask ... recruit then it is not up to us to pay the delay.</v>
      </c>
    </row>
    <row r="686" ht="15.75" customHeight="1">
      <c r="A686" s="2">
        <v>1.0</v>
      </c>
      <c r="B686" s="2" t="s">
        <v>1940</v>
      </c>
      <c r="C686" s="2" t="s">
        <v>1941</v>
      </c>
      <c r="D686" s="2" t="s">
        <v>108</v>
      </c>
      <c r="E686" s="2" t="s">
        <v>21</v>
      </c>
      <c r="F686" s="2" t="s">
        <v>15</v>
      </c>
      <c r="G686" s="2" t="s">
        <v>1942</v>
      </c>
      <c r="H686" s="2" t="s">
        <v>110</v>
      </c>
      <c r="I686" s="2" t="str">
        <f>IFERROR(__xludf.DUMMYFUNCTION("GOOGLETRANSLATE(C686,""fr"",""en"")"),"Scandalous procedures, new contract for purchase of a new vehicle result it forces me to stay 1 year in the more than doubtful company.
And in addition I discover that next month I would have an increase in my monthly payments of more than 5 euros, while"&amp;" I have a bonus of 50 */ *, when I want to join them by email there is never any Answer, I call the non -surcharged number they answer me to call their 0892 at 80 cts per minute !!! It's a shame !!
Another ten months to get out of their trap at C
I stro"&amp;"ngly advise against this insurance!")</f>
        <v>Scandalous procedures, new contract for purchase of a new vehicle result it forces me to stay 1 year in the more than doubtful company.
And in addition I discover that next month I would have an increase in my monthly payments of more than 5 euros, while I have a bonus of 50 */ *, when I want to join them by email there is never any Answer, I call the non -surcharged number they answer me to call their 0892 at 80 cts per minute !!! It's a shame !!
Another ten months to get out of their trap at C
I strongly advise against this insurance!</v>
      </c>
    </row>
    <row r="687" ht="15.75" customHeight="1">
      <c r="A687" s="2">
        <v>1.0</v>
      </c>
      <c r="B687" s="2" t="s">
        <v>1943</v>
      </c>
      <c r="C687" s="2" t="s">
        <v>1944</v>
      </c>
      <c r="D687" s="2" t="s">
        <v>45</v>
      </c>
      <c r="E687" s="2" t="s">
        <v>14</v>
      </c>
      <c r="F687" s="2" t="s">
        <v>15</v>
      </c>
      <c r="G687" s="2" t="s">
        <v>1945</v>
      </c>
      <c r="H687" s="2" t="s">
        <v>453</v>
      </c>
      <c r="I687" s="2" t="str">
        <f>IFERROR(__xludf.DUMMYFUNCTION("GOOGLETRANSLATE(C687,""fr"",""en"")"),"April is to flee, and read the very small lines of the contract that are not to your advantage.
For our elders to flee.
")</f>
        <v>April is to flee, and read the very small lines of the contract that are not to your advantage.
For our elders to flee.
</v>
      </c>
    </row>
    <row r="688" ht="15.75" customHeight="1">
      <c r="A688" s="2">
        <v>1.0</v>
      </c>
      <c r="B688" s="2" t="s">
        <v>1946</v>
      </c>
      <c r="C688" s="2" t="s">
        <v>1947</v>
      </c>
      <c r="D688" s="2" t="s">
        <v>871</v>
      </c>
      <c r="E688" s="2" t="s">
        <v>122</v>
      </c>
      <c r="F688" s="2" t="s">
        <v>15</v>
      </c>
      <c r="G688" s="2" t="s">
        <v>1948</v>
      </c>
      <c r="H688" s="2" t="s">
        <v>1949</v>
      </c>
      <c r="I688" s="2" t="str">
        <f>IFERROR(__xludf.DUMMYFUNCTION("GOOGLETRANSLATE(C688,""fr"",""en"")"),"After several years as ""customer"" and not ""member"" as they say. No contact except to request the subscription once a year. Contributions that increase from year to year, send green cards more than a month after their edition and less than a month befo"&amp;"re the anniversary of the contract (does not respect the law). Very limited telephone contacts: you are just a wallet! Again, they lose many customers with no accident (and when we see what had an accident on this site ...), deplorable ... To flee !!!")</f>
        <v>After several years as "customer" and not "member" as they say. No contact except to request the subscription once a year. Contributions that increase from year to year, send green cards more than a month after their edition and less than a month before the anniversary of the contract (does not respect the law). Very limited telephone contacts: you are just a wallet! Again, they lose many customers with no accident (and when we see what had an accident on this site ...), deplorable ... To flee !!!</v>
      </c>
    </row>
    <row r="689" ht="15.75" customHeight="1">
      <c r="A689" s="2">
        <v>3.0</v>
      </c>
      <c r="B689" s="2" t="s">
        <v>1950</v>
      </c>
      <c r="C689" s="2" t="s">
        <v>1951</v>
      </c>
      <c r="D689" s="2" t="s">
        <v>20</v>
      </c>
      <c r="E689" s="2" t="s">
        <v>21</v>
      </c>
      <c r="F689" s="2" t="s">
        <v>15</v>
      </c>
      <c r="G689" s="2" t="s">
        <v>1242</v>
      </c>
      <c r="H689" s="2" t="s">
        <v>55</v>
      </c>
      <c r="I689" s="2" t="str">
        <f>IFERROR(__xludf.DUMMYFUNCTION("GOOGLETRANSLATE(C689,""fr"",""en"")"),"Satisfied when I call information for my registration
However, I had trouble validating my registration via the Internet, a lot of waiting")</f>
        <v>Satisfied when I call information for my registration
However, I had trouble validating my registration via the Internet, a lot of waiting</v>
      </c>
    </row>
    <row r="690" ht="15.75" customHeight="1">
      <c r="A690" s="2">
        <v>1.0</v>
      </c>
      <c r="B690" s="2" t="s">
        <v>1952</v>
      </c>
      <c r="C690" s="2" t="s">
        <v>1953</v>
      </c>
      <c r="D690" s="2" t="s">
        <v>164</v>
      </c>
      <c r="E690" s="2" t="s">
        <v>58</v>
      </c>
      <c r="F690" s="2" t="s">
        <v>15</v>
      </c>
      <c r="G690" s="2" t="s">
        <v>47</v>
      </c>
      <c r="H690" s="2" t="s">
        <v>47</v>
      </c>
      <c r="I690" s="2" t="str">
        <f>IFERROR(__xludf.DUMMYFUNCTION("GOOGLETRANSLATE(C690,""fr"",""en"")"),"I find it scandalous to reject a customer opinion.
It comforts me more to terminate the contract with Pacifica.
Lack of skills and professionalism!")</f>
        <v>I find it scandalous to reject a customer opinion.
It comforts me more to terminate the contract with Pacifica.
Lack of skills and professionalism!</v>
      </c>
    </row>
    <row r="691" ht="15.75" customHeight="1">
      <c r="A691" s="2">
        <v>5.0</v>
      </c>
      <c r="B691" s="2" t="s">
        <v>1954</v>
      </c>
      <c r="C691" s="2" t="s">
        <v>1955</v>
      </c>
      <c r="D691" s="2" t="s">
        <v>103</v>
      </c>
      <c r="E691" s="2" t="s">
        <v>104</v>
      </c>
      <c r="F691" s="2" t="s">
        <v>15</v>
      </c>
      <c r="G691" s="2" t="s">
        <v>1956</v>
      </c>
      <c r="H691" s="2" t="s">
        <v>51</v>
      </c>
      <c r="I691" s="2" t="str">
        <f>IFERROR(__xludf.DUMMYFUNCTION("GOOGLETRANSLATE(C691,""fr"",""en"")"),"I am very happy with the service, advice, quick response and really very attractive price and my interlocutor is very pleasant and professional")</f>
        <v>I am very happy with the service, advice, quick response and really very attractive price and my interlocutor is very pleasant and professional</v>
      </c>
    </row>
    <row r="692" ht="15.75" customHeight="1">
      <c r="A692" s="2">
        <v>4.0</v>
      </c>
      <c r="B692" s="2" t="s">
        <v>1957</v>
      </c>
      <c r="C692" s="2" t="s">
        <v>1958</v>
      </c>
      <c r="D692" s="2" t="s">
        <v>20</v>
      </c>
      <c r="E692" s="2" t="s">
        <v>21</v>
      </c>
      <c r="F692" s="2" t="s">
        <v>15</v>
      </c>
      <c r="G692" s="2" t="s">
        <v>1959</v>
      </c>
      <c r="H692" s="2" t="s">
        <v>1068</v>
      </c>
      <c r="I692" s="2" t="str">
        <f>IFERROR(__xludf.DUMMYFUNCTION("GOOGLETRANSLATE(C692,""fr"",""en"")"),"Fast and efficient service, thank you for the ease of access to information. Fast and efficient service, thank you for the ease of access to information.")</f>
        <v>Fast and efficient service, thank you for the ease of access to information. Fast and efficient service, thank you for the ease of access to information.</v>
      </c>
    </row>
    <row r="693" ht="15.75" customHeight="1">
      <c r="A693" s="2">
        <v>1.0</v>
      </c>
      <c r="B693" s="2" t="s">
        <v>1960</v>
      </c>
      <c r="C693" s="2" t="s">
        <v>1961</v>
      </c>
      <c r="D693" s="2" t="s">
        <v>108</v>
      </c>
      <c r="E693" s="2" t="s">
        <v>21</v>
      </c>
      <c r="F693" s="2" t="s">
        <v>15</v>
      </c>
      <c r="G693" s="2" t="s">
        <v>1962</v>
      </c>
      <c r="H693" s="2" t="s">
        <v>144</v>
      </c>
      <c r="I693" s="2" t="str">
        <f>IFERROR(__xludf.DUMMYFUNCTION("GOOGLETRANSLATE(C693,""fr"",""en"")"),"In April 2016 I asked for the termination of my contract for moving (change of department therefore risks) letter that I accompanied by proof of moving. Active insurance did not answer me, no longer gave a sign of life, neither mail nor email and continue"&amp;"d to take. I sent 5 or 6 recommended letters that remained dead letter, then one day on the phone a teleconsillere told me that I received my documents but that they did not constitute a reason for termination and today after having blocked the samples I "&amp;"have news but this time they say they have not received the certificate of moves ... It is a sketch this pseudo company, liars who drive crazy !!! Run away !!! Assignment to the court for my part and I will go further if necessary, repression of seized fr"&amp;"aud, consumer associations and prudential control authority.")</f>
        <v>In April 2016 I asked for the termination of my contract for moving (change of department therefore risks) letter that I accompanied by proof of moving. Active insurance did not answer me, no longer gave a sign of life, neither mail nor email and continued to take. I sent 5 or 6 recommended letters that remained dead letter, then one day on the phone a teleconsillere told me that I received my documents but that they did not constitute a reason for termination and today after having blocked the samples I have news but this time they say they have not received the certificate of moves ... It is a sketch this pseudo company, liars who drive crazy !!! Run away !!! Assignment to the court for my part and I will go further if necessary, repression of seized fraud, consumer associations and prudential control authority.</v>
      </c>
    </row>
    <row r="694" ht="15.75" customHeight="1">
      <c r="A694" s="2">
        <v>4.0</v>
      </c>
      <c r="B694" s="2" t="s">
        <v>1963</v>
      </c>
      <c r="C694" s="2" t="s">
        <v>1964</v>
      </c>
      <c r="D694" s="2" t="s">
        <v>20</v>
      </c>
      <c r="E694" s="2" t="s">
        <v>21</v>
      </c>
      <c r="F694" s="2" t="s">
        <v>15</v>
      </c>
      <c r="G694" s="2" t="s">
        <v>1484</v>
      </c>
      <c r="H694" s="2" t="s">
        <v>134</v>
      </c>
      <c r="I694" s="2" t="str">
        <f>IFERROR(__xludf.DUMMYFUNCTION("GOOGLETRANSLATE(C694,""fr"",""en"")"),"I am satisfied with the service as well as the attractive price. Thank you to the whole Olivier team, good welcome and always listening to the customer.
Good luck to the whole team.")</f>
        <v>I am satisfied with the service as well as the attractive price. Thank you to the whole Olivier team, good welcome and always listening to the customer.
Good luck to the whole team.</v>
      </c>
    </row>
    <row r="695" ht="15.75" customHeight="1">
      <c r="A695" s="2">
        <v>1.0</v>
      </c>
      <c r="B695" s="2" t="s">
        <v>1965</v>
      </c>
      <c r="C695" s="2" t="s">
        <v>1966</v>
      </c>
      <c r="D695" s="2" t="s">
        <v>67</v>
      </c>
      <c r="E695" s="2" t="s">
        <v>21</v>
      </c>
      <c r="F695" s="2" t="s">
        <v>15</v>
      </c>
      <c r="G695" s="2" t="s">
        <v>1967</v>
      </c>
      <c r="H695" s="2" t="s">
        <v>913</v>
      </c>
      <c r="I695" s="2" t="str">
        <f>IFERROR(__xludf.DUMMYFUNCTION("GOOGLETRANSLATE(C695,""fr"",""en"")"),"Customer for more than twenty years without ever any accident, the first constantly disaster without being twisted by the maaf has proven to be trustworthy")</f>
        <v>Customer for more than twenty years without ever any accident, the first constantly disaster without being twisted by the maaf has proven to be trustworthy</v>
      </c>
    </row>
    <row r="696" ht="15.75" customHeight="1">
      <c r="A696" s="2">
        <v>1.0</v>
      </c>
      <c r="B696" s="2" t="s">
        <v>1968</v>
      </c>
      <c r="C696" s="2" t="s">
        <v>1969</v>
      </c>
      <c r="D696" s="2" t="s">
        <v>108</v>
      </c>
      <c r="E696" s="2" t="s">
        <v>21</v>
      </c>
      <c r="F696" s="2" t="s">
        <v>15</v>
      </c>
      <c r="G696" s="2" t="s">
        <v>1970</v>
      </c>
      <c r="H696" s="2" t="s">
        <v>203</v>
      </c>
      <c r="I696" s="2" t="str">
        <f>IFERROR(__xludf.DUMMYFUNCTION("GOOGLETRANSLATE(C696,""fr"",""en"")"),"incompetent!")</f>
        <v>incompetent!</v>
      </c>
    </row>
    <row r="697" ht="15.75" customHeight="1">
      <c r="A697" s="2">
        <v>5.0</v>
      </c>
      <c r="B697" s="2" t="s">
        <v>1971</v>
      </c>
      <c r="C697" s="2" t="s">
        <v>1972</v>
      </c>
      <c r="D697" s="2" t="s">
        <v>20</v>
      </c>
      <c r="E697" s="2" t="s">
        <v>21</v>
      </c>
      <c r="F697" s="2" t="s">
        <v>15</v>
      </c>
      <c r="G697" s="2" t="s">
        <v>1767</v>
      </c>
      <c r="H697" s="2" t="s">
        <v>28</v>
      </c>
      <c r="I697" s="2" t="str">
        <f>IFERROR(__xludf.DUMMYFUNCTION("GOOGLETRANSLATE(C697,""fr"",""en"")"),"I am extremely satisfied, this insurance is financially interesting, easy to access and use and offer its services quickly. Thank you Olivier Assurance!")</f>
        <v>I am extremely satisfied, this insurance is financially interesting, easy to access and use and offer its services quickly. Thank you Olivier Assurance!</v>
      </c>
    </row>
    <row r="698" ht="15.75" customHeight="1">
      <c r="A698" s="2">
        <v>5.0</v>
      </c>
      <c r="B698" s="2" t="s">
        <v>1973</v>
      </c>
      <c r="C698" s="2" t="s">
        <v>1974</v>
      </c>
      <c r="D698" s="2" t="s">
        <v>20</v>
      </c>
      <c r="E698" s="2" t="s">
        <v>21</v>
      </c>
      <c r="F698" s="2" t="s">
        <v>15</v>
      </c>
      <c r="G698" s="2" t="s">
        <v>1975</v>
      </c>
      <c r="H698" s="2" t="s">
        <v>42</v>
      </c>
      <c r="I698" s="2" t="str">
        <f>IFERROR(__xludf.DUMMYFUNCTION("GOOGLETRANSLATE(C698,""fr"",""en"")"),"Very well !
Simple note you could send the vignette door for the windshield when it is a new vehicle!
Oblivion or stingy ???
I'm waiting for the answer")</f>
        <v>Very well !
Simple note you could send the vignette door for the windshield when it is a new vehicle!
Oblivion or stingy ???
I'm waiting for the answer</v>
      </c>
    </row>
    <row r="699" ht="15.75" customHeight="1">
      <c r="A699" s="2">
        <v>3.0</v>
      </c>
      <c r="B699" s="2" t="s">
        <v>1976</v>
      </c>
      <c r="C699" s="2" t="s">
        <v>1977</v>
      </c>
      <c r="D699" s="2" t="s">
        <v>20</v>
      </c>
      <c r="E699" s="2" t="s">
        <v>21</v>
      </c>
      <c r="F699" s="2" t="s">
        <v>15</v>
      </c>
      <c r="G699" s="2" t="s">
        <v>305</v>
      </c>
      <c r="H699" s="2" t="s">
        <v>134</v>
      </c>
      <c r="I699" s="2" t="str">
        <f>IFERROR(__xludf.DUMMYFUNCTION("GOOGLETRANSLATE(C699,""fr"",""en"")"),"I am satisfied with the service, and the interface is easy to use. To see according to claims and total coverage once applied under the terms of the contract.")</f>
        <v>I am satisfied with the service, and the interface is easy to use. To see according to claims and total coverage once applied under the terms of the contract.</v>
      </c>
    </row>
    <row r="700" ht="15.75" customHeight="1">
      <c r="A700" s="2">
        <v>1.0</v>
      </c>
      <c r="B700" s="2" t="s">
        <v>1978</v>
      </c>
      <c r="C700" s="2" t="s">
        <v>1979</v>
      </c>
      <c r="D700" s="2" t="s">
        <v>315</v>
      </c>
      <c r="E700" s="2" t="s">
        <v>14</v>
      </c>
      <c r="F700" s="2" t="s">
        <v>15</v>
      </c>
      <c r="G700" s="2" t="s">
        <v>1980</v>
      </c>
      <c r="H700" s="2" t="s">
        <v>78</v>
      </c>
      <c r="I700" s="2" t="str">
        <f>IFERROR(__xludf.DUMMYFUNCTION("GOOGLETRANSLATE(C700,""fr"",""en"")"),"Three shrinks per year! Fortunately, I am not too reached!
")</f>
        <v>Three shrinks per year! Fortunately, I am not too reached!
</v>
      </c>
    </row>
    <row r="701" ht="15.75" customHeight="1">
      <c r="A701" s="2">
        <v>1.0</v>
      </c>
      <c r="B701" s="2" t="s">
        <v>1981</v>
      </c>
      <c r="C701" s="2" t="s">
        <v>1982</v>
      </c>
      <c r="D701" s="2" t="s">
        <v>20</v>
      </c>
      <c r="E701" s="2" t="s">
        <v>21</v>
      </c>
      <c r="F701" s="2" t="s">
        <v>15</v>
      </c>
      <c r="G701" s="2" t="s">
        <v>1983</v>
      </c>
      <c r="H701" s="2" t="s">
        <v>436</v>
      </c>
      <c r="I701" s="2" t="str">
        <f>IFERROR(__xludf.DUMMYFUNCTION("GOOGLETRANSLATE(C701,""fr"",""en"")"),"The worst auto insurance I have ever had. Great anything. Almost no document on the customer area I had to fight to have the general conditions and understand we contract. I was asked why I wanted it. Especially with bonus 0.50 for 6 years, 1st claim, I h"&amp;"ad to wait for my vehicle for 4 months at the garage, administrative lengths etc. The old man sends me an email (not a call nothing) telling me we do not take care of your disaster; They played the small detail to avoid paying. Ecoeurant!")</f>
        <v>The worst auto insurance I have ever had. Great anything. Almost no document on the customer area I had to fight to have the general conditions and understand we contract. I was asked why I wanted it. Especially with bonus 0.50 for 6 years, 1st claim, I had to wait for my vehicle for 4 months at the garage, administrative lengths etc. The old man sends me an email (not a call nothing) telling me we do not take care of your disaster; They played the small detail to avoid paying. Ecoeurant!</v>
      </c>
    </row>
    <row r="702" ht="15.75" customHeight="1">
      <c r="A702" s="2">
        <v>1.0</v>
      </c>
      <c r="B702" s="2" t="s">
        <v>1984</v>
      </c>
      <c r="C702" s="2" t="s">
        <v>1985</v>
      </c>
      <c r="D702" s="2" t="s">
        <v>41</v>
      </c>
      <c r="E702" s="2" t="s">
        <v>21</v>
      </c>
      <c r="F702" s="2" t="s">
        <v>15</v>
      </c>
      <c r="G702" s="2" t="s">
        <v>1986</v>
      </c>
      <c r="H702" s="2" t="s">
        <v>478</v>
      </c>
      <c r="I702" s="2" t="str">
        <f>IFERROR(__xludf.DUMMYFUNCTION("GOOGLETRANSLATE(C702,""fr"",""en"")"),"Hello, this insurance is deplorable !!! To join it is a few clicks, to leave it is the beginning of the galley. The first deadline whose price is competitive does not last, from the second year the price explodes, without any accident. The service to term"&amp;"inate is unjust, it lets you wait more than 3 quarters of an hour before responding. He tells you what you want to hear but do nothing after. I asked for the insurance situation statement, after 5/6 contacts ... still had nothing. So in summary do not tak"&amp;"e as an insurance")</f>
        <v>Hello, this insurance is deplorable !!! To join it is a few clicks, to leave it is the beginning of the galley. The first deadline whose price is competitive does not last, from the second year the price explodes, without any accident. The service to terminate is unjust, it lets you wait more than 3 quarters of an hour before responding. He tells you what you want to hear but do nothing after. I asked for the insurance situation statement, after 5/6 contacts ... still had nothing. So in summary do not take as an insurance</v>
      </c>
    </row>
    <row r="703" ht="15.75" customHeight="1">
      <c r="A703" s="2">
        <v>3.0</v>
      </c>
      <c r="B703" s="2" t="s">
        <v>1987</v>
      </c>
      <c r="C703" s="2" t="s">
        <v>1988</v>
      </c>
      <c r="D703" s="2" t="s">
        <v>41</v>
      </c>
      <c r="E703" s="2" t="s">
        <v>21</v>
      </c>
      <c r="F703" s="2" t="s">
        <v>15</v>
      </c>
      <c r="G703" s="2" t="s">
        <v>675</v>
      </c>
      <c r="H703" s="2" t="s">
        <v>51</v>
      </c>
      <c r="I703" s="2" t="str">
        <f>IFERROR(__xludf.DUMMYFUNCTION("GOOGLETRANSLATE(C703,""fr"",""en"")"),"As a loyal customer I would have liked to have the costs offered a commercial gesture of my 4 contracts with Direct Insurance, or have two months offered, I have house insurance plus 3 vehicles.")</f>
        <v>As a loyal customer I would have liked to have the costs offered a commercial gesture of my 4 contracts with Direct Insurance, or have two months offered, I have house insurance plus 3 vehicles.</v>
      </c>
    </row>
    <row r="704" ht="15.75" customHeight="1">
      <c r="A704" s="2">
        <v>1.0</v>
      </c>
      <c r="B704" s="2" t="s">
        <v>1989</v>
      </c>
      <c r="C704" s="2" t="s">
        <v>1990</v>
      </c>
      <c r="D704" s="2" t="s">
        <v>41</v>
      </c>
      <c r="E704" s="2" t="s">
        <v>21</v>
      </c>
      <c r="F704" s="2" t="s">
        <v>15</v>
      </c>
      <c r="G704" s="2" t="s">
        <v>517</v>
      </c>
      <c r="H704" s="2" t="s">
        <v>55</v>
      </c>
      <c r="I704" s="2" t="str">
        <f>IFERROR(__xludf.DUMMYFUNCTION("GOOGLETRANSLATE(C704,""fr"",""en"")"),"As indicated in the last telephone conversation I specified that if I had no call before this evening I terminated my contracts and that of my wife (2 vehicles) and I would not take out the housing contract.
The person I had at the end of this morning "&amp;"with whom I saw the vehicle prices had to remind me before 4 p.m. today…. No call and according to your colleagues there is only this person who can apply these preferential rates.
This is part of your commitments (it is registered on your site)
In ad"&amp;"dition, your insurance is increasing every year (1 contract over 3 years 30 euros)
This is to signify my great dissatisfaction.
Cordially")</f>
        <v>As indicated in the last telephone conversation I specified that if I had no call before this evening I terminated my contracts and that of my wife (2 vehicles) and I would not take out the housing contract.
The person I had at the end of this morning with whom I saw the vehicle prices had to remind me before 4 p.m. today…. No call and according to your colleagues there is only this person who can apply these preferential rates.
This is part of your commitments (it is registered on your site)
In addition, your insurance is increasing every year (1 contract over 3 years 30 euros)
This is to signify my great dissatisfaction.
Cordially</v>
      </c>
    </row>
    <row r="705" ht="15.75" customHeight="1">
      <c r="A705" s="2">
        <v>5.0</v>
      </c>
      <c r="B705" s="2" t="s">
        <v>1991</v>
      </c>
      <c r="C705" s="2" t="s">
        <v>1992</v>
      </c>
      <c r="D705" s="2" t="s">
        <v>121</v>
      </c>
      <c r="E705" s="2" t="s">
        <v>122</v>
      </c>
      <c r="F705" s="2" t="s">
        <v>15</v>
      </c>
      <c r="G705" s="2" t="s">
        <v>1993</v>
      </c>
      <c r="H705" s="2" t="s">
        <v>74</v>
      </c>
      <c r="I705" s="2" t="str">
        <f>IFERROR(__xludf.DUMMYFUNCTION("GOOGLETRANSLATE(C705,""fr"",""en"")"),"I am satisfied with all the information and the service as well as the price is very competitive for a first Dassurance subscription to you
")</f>
        <v>I am satisfied with all the information and the service as well as the price is very competitive for a first Dassurance subscription to you
</v>
      </c>
    </row>
    <row r="706" ht="15.75" customHeight="1">
      <c r="A706" s="2">
        <v>4.0</v>
      </c>
      <c r="B706" s="2" t="s">
        <v>1994</v>
      </c>
      <c r="C706" s="2" t="s">
        <v>1995</v>
      </c>
      <c r="D706" s="2" t="s">
        <v>41</v>
      </c>
      <c r="E706" s="2" t="s">
        <v>21</v>
      </c>
      <c r="F706" s="2" t="s">
        <v>15</v>
      </c>
      <c r="G706" s="2" t="s">
        <v>1996</v>
      </c>
      <c r="H706" s="2" t="s">
        <v>28</v>
      </c>
      <c r="I706" s="2" t="str">
        <f>IFERROR(__xludf.DUMMYFUNCTION("GOOGLETRANSLATE(C706,""fr"",""en"")"),"I am satisfied with the services, just a shame there is more insurance for childminders. Otherwise I will have taken the home insurance and maternal assistant. Because attractive price")</f>
        <v>I am satisfied with the services, just a shame there is more insurance for childminders. Otherwise I will have taken the home insurance and maternal assistant. Because attractive price</v>
      </c>
    </row>
    <row r="707" ht="15.75" customHeight="1">
      <c r="A707" s="2">
        <v>5.0</v>
      </c>
      <c r="B707" s="2" t="s">
        <v>1997</v>
      </c>
      <c r="C707" s="2" t="s">
        <v>1998</v>
      </c>
      <c r="D707" s="2" t="s">
        <v>150</v>
      </c>
      <c r="E707" s="2" t="s">
        <v>122</v>
      </c>
      <c r="F707" s="2" t="s">
        <v>15</v>
      </c>
      <c r="G707" s="2" t="s">
        <v>1417</v>
      </c>
      <c r="H707" s="2" t="s">
        <v>134</v>
      </c>
      <c r="I707" s="2" t="str">
        <f>IFERROR(__xludf.DUMMYFUNCTION("GOOGLETRANSLATE(C707,""fr"",""en"")"),"The subscription is easy, the benefit/price ratio very correct, a well -made site, more attractive guarantee than other two -wheel insurance leader")</f>
        <v>The subscription is easy, the benefit/price ratio very correct, a well -made site, more attractive guarantee than other two -wheel insurance leader</v>
      </c>
    </row>
    <row r="708" ht="15.75" customHeight="1">
      <c r="A708" s="2">
        <v>1.0</v>
      </c>
      <c r="B708" s="2" t="s">
        <v>1999</v>
      </c>
      <c r="C708" s="2" t="s">
        <v>2000</v>
      </c>
      <c r="D708" s="2" t="s">
        <v>678</v>
      </c>
      <c r="E708" s="2" t="s">
        <v>21</v>
      </c>
      <c r="F708" s="2" t="s">
        <v>15</v>
      </c>
      <c r="G708" s="2" t="s">
        <v>2001</v>
      </c>
      <c r="H708" s="2" t="s">
        <v>23</v>
      </c>
      <c r="I708" s="2" t="str">
        <f>IFERROR(__xludf.DUMMYFUNCTION("GOOGLETRANSLATE(C708,""fr"",""en"")"),"This day, I call for an auto quote at Eurofil, a very unpleasant and pretentious interlocutor, he allows himself to judge me on my car trips.
Too bad it has always been my default insurance, that will no longer be the case.
To flee ...")</f>
        <v>This day, I call for an auto quote at Eurofil, a very unpleasant and pretentious interlocutor, he allows himself to judge me on my car trips.
Too bad it has always been my default insurance, that will no longer be the case.
To flee ...</v>
      </c>
    </row>
    <row r="709" ht="15.75" customHeight="1">
      <c r="A709" s="2">
        <v>1.0</v>
      </c>
      <c r="B709" s="2" t="s">
        <v>2002</v>
      </c>
      <c r="C709" s="2" t="s">
        <v>2003</v>
      </c>
      <c r="D709" s="2" t="s">
        <v>658</v>
      </c>
      <c r="E709" s="2" t="s">
        <v>195</v>
      </c>
      <c r="F709" s="2" t="s">
        <v>15</v>
      </c>
      <c r="G709" s="2" t="s">
        <v>257</v>
      </c>
      <c r="H709" s="2" t="s">
        <v>47</v>
      </c>
      <c r="I709" s="2" t="str">
        <f>IFERROR(__xludf.DUMMYFUNCTION("GOOGLETRANSLATE(C709,""fr"",""en"")"),"It is impossible to have a relationship either telephone or by internet with this insurer who glorifies to respond within 48 hours to these customers.
Sending a quote before operation never response.
Infinite time for reimbursements,
never answers to a"&amp;"ny requests")</f>
        <v>It is impossible to have a relationship either telephone or by internet with this insurer who glorifies to respond within 48 hours to these customers.
Sending a quote before operation never response.
Infinite time for reimbursements,
never answers to any requests</v>
      </c>
    </row>
    <row r="710" ht="15.75" customHeight="1">
      <c r="A710" s="2">
        <v>5.0</v>
      </c>
      <c r="B710" s="2" t="s">
        <v>2004</v>
      </c>
      <c r="C710" s="2" t="s">
        <v>2005</v>
      </c>
      <c r="D710" s="2" t="s">
        <v>41</v>
      </c>
      <c r="E710" s="2" t="s">
        <v>21</v>
      </c>
      <c r="F710" s="2" t="s">
        <v>15</v>
      </c>
      <c r="G710" s="2" t="s">
        <v>1395</v>
      </c>
      <c r="H710" s="2" t="s">
        <v>74</v>
      </c>
      <c r="I710" s="2" t="str">
        <f>IFERROR(__xludf.DUMMYFUNCTION("GOOGLETRANSLATE(C710,""fr"",""en"")"),"I am satisfied with your service, thank you very much for your service and your insurance, I am satisfied with your service, I am satisfied with your service")</f>
        <v>I am satisfied with your service, thank you very much for your service and your insurance, I am satisfied with your service, I am satisfied with your service</v>
      </c>
    </row>
    <row r="711" ht="15.75" customHeight="1">
      <c r="A711" s="2">
        <v>1.0</v>
      </c>
      <c r="B711" s="2" t="s">
        <v>2006</v>
      </c>
      <c r="C711" s="2" t="s">
        <v>2007</v>
      </c>
      <c r="D711" s="2" t="s">
        <v>36</v>
      </c>
      <c r="E711" s="2" t="s">
        <v>21</v>
      </c>
      <c r="F711" s="2" t="s">
        <v>15</v>
      </c>
      <c r="G711" s="2" t="s">
        <v>2008</v>
      </c>
      <c r="H711" s="2" t="s">
        <v>797</v>
      </c>
      <c r="I711" s="2" t="str">
        <f>IFERROR(__xludf.DUMMYFUNCTION("GOOGLETRANSLATE(C711,""fr"",""en"")"),"Insured for 20 years, fired overnight without warning and without reason. No sinister except a hailless cloud 2 years ago")</f>
        <v>Insured for 20 years, fired overnight without warning and without reason. No sinister except a hailless cloud 2 years ago</v>
      </c>
    </row>
    <row r="712" ht="15.75" customHeight="1">
      <c r="A712" s="2">
        <v>1.0</v>
      </c>
      <c r="B712" s="2" t="s">
        <v>2009</v>
      </c>
      <c r="C712" s="2" t="s">
        <v>2010</v>
      </c>
      <c r="D712" s="2" t="s">
        <v>2011</v>
      </c>
      <c r="E712" s="2" t="s">
        <v>122</v>
      </c>
      <c r="F712" s="2" t="s">
        <v>15</v>
      </c>
      <c r="G712" s="2" t="s">
        <v>2012</v>
      </c>
      <c r="H712" s="2" t="s">
        <v>560</v>
      </c>
      <c r="I712" s="2" t="str">
        <f>IFERROR(__xludf.DUMMYFUNCTION("GOOGLETRANSLATE(C712,""fr"",""en"")"),"Ditto that the other testimonies, price announced not respected, term of the not clear contract, argument to take the assistance 0 km by saying that a scooter is only done to drive in town, I give my new address 3 times I receive my Contract with the old "&amp;"address ... An advisor the first was cordial, the other two advisers are really limited.Bref I was insured at home 2014 and well changed in 4 years. To flee!!!")</f>
        <v>Ditto that the other testimonies, price announced not respected, term of the not clear contract, argument to take the assistance 0 km by saying that a scooter is only done to drive in town, I give my new address 3 times I receive my Contract with the old address ... An advisor the first was cordial, the other two advisers are really limited.Bref I was insured at home 2014 and well changed in 4 years. To flee!!!</v>
      </c>
    </row>
    <row r="713" ht="15.75" customHeight="1">
      <c r="A713" s="2">
        <v>4.0</v>
      </c>
      <c r="B713" s="2" t="s">
        <v>2013</v>
      </c>
      <c r="C713" s="2" t="s">
        <v>2014</v>
      </c>
      <c r="D713" s="2" t="s">
        <v>20</v>
      </c>
      <c r="E713" s="2" t="s">
        <v>21</v>
      </c>
      <c r="F713" s="2" t="s">
        <v>15</v>
      </c>
      <c r="G713" s="2" t="s">
        <v>866</v>
      </c>
      <c r="H713" s="2" t="s">
        <v>134</v>
      </c>
      <c r="I713" s="2" t="str">
        <f>IFERROR(__xludf.DUMMYFUNCTION("GOOGLETRANSLATE(C713,""fr"",""en"")"),"Simple and efficient telephone appointment, good staff attentive and understanding. Attractive price. To see during my first year if everything goes as planned")</f>
        <v>Simple and efficient telephone appointment, good staff attentive and understanding. Attractive price. To see during my first year if everything goes as planned</v>
      </c>
    </row>
    <row r="714" ht="15.75" customHeight="1">
      <c r="A714" s="2">
        <v>1.0</v>
      </c>
      <c r="B714" s="2" t="s">
        <v>2015</v>
      </c>
      <c r="C714" s="2" t="s">
        <v>2016</v>
      </c>
      <c r="D714" s="2" t="s">
        <v>13</v>
      </c>
      <c r="E714" s="2" t="s">
        <v>14</v>
      </c>
      <c r="F714" s="2" t="s">
        <v>15</v>
      </c>
      <c r="G714" s="2" t="s">
        <v>2017</v>
      </c>
      <c r="H714" s="2" t="s">
        <v>55</v>
      </c>
      <c r="I714" s="2" t="str">
        <f>IFERROR(__xludf.DUMMYFUNCTION("GOOGLETRANSLATE(C714,""fr"",""en"")"),"Neoliane Health broker, Santian. To be recommended. To establish a contract no problem. You resilled everything stops: except cancellation of the remote transmission with the social security center. Telle 106 days that I send them emails, call Telph, noth"&amp;"ing helps. Answer: we take care of it, we transmit to the service concerned, nothing done to date, bad faith, incompetence, a lack of seriousness .... I do not recommend its organization which is there, only to make the 'Money because each year the prices"&amp;" increases work very well! Finally, an efficient service at home .....")</f>
        <v>Neoliane Health broker, Santian. To be recommended. To establish a contract no problem. You resilled everything stops: except cancellation of the remote transmission with the social security center. Telle 106 days that I send them emails, call Telph, nothing helps. Answer: we take care of it, we transmit to the service concerned, nothing done to date, bad faith, incompetence, a lack of seriousness .... I do not recommend its organization which is there, only to make the 'Money because each year the prices increases work very well! Finally, an efficient service at home .....</v>
      </c>
    </row>
    <row r="715" ht="15.75" customHeight="1">
      <c r="A715" s="2">
        <v>1.0</v>
      </c>
      <c r="B715" s="2" t="s">
        <v>2018</v>
      </c>
      <c r="C715" s="2" t="s">
        <v>2019</v>
      </c>
      <c r="D715" s="2" t="s">
        <v>1778</v>
      </c>
      <c r="E715" s="2" t="s">
        <v>207</v>
      </c>
      <c r="F715" s="2" t="s">
        <v>15</v>
      </c>
      <c r="G715" s="2" t="s">
        <v>2020</v>
      </c>
      <c r="H715" s="2" t="s">
        <v>346</v>
      </c>
      <c r="I715" s="2" t="str">
        <f>IFERROR(__xludf.DUMMYFUNCTION("GOOGLETRANSLATE(C715,""fr"",""en"")"),"Decree by Santevet
Refund too long and when has the franchise that increases because the animal is 10 years old is abuse
in 2007 it was very good but now it became anything
")</f>
        <v>Decree by Santevet
Refund too long and when has the franchise that increases because the animal is 10 years old is abuse
in 2007 it was very good but now it became anything
</v>
      </c>
    </row>
    <row r="716" ht="15.75" customHeight="1">
      <c r="A716" s="2">
        <v>2.0</v>
      </c>
      <c r="B716" s="2" t="s">
        <v>2021</v>
      </c>
      <c r="C716" s="2" t="s">
        <v>2022</v>
      </c>
      <c r="D716" s="2" t="s">
        <v>20</v>
      </c>
      <c r="E716" s="2" t="s">
        <v>21</v>
      </c>
      <c r="F716" s="2" t="s">
        <v>15</v>
      </c>
      <c r="G716" s="2" t="s">
        <v>244</v>
      </c>
      <c r="H716" s="2" t="s">
        <v>23</v>
      </c>
      <c r="I716" s="2" t="str">
        <f>IFERROR(__xludf.DUMMYFUNCTION("GOOGLETRANSLATE(C716,""fr"",""en"")"),"Curious way to treat your customers !! Apart from this obligation which forces me to give an opinion when I barely happen, to impose myself a number of character to describe a society that I ultimately do not know, I could be satisfied !!")</f>
        <v>Curious way to treat your customers !! Apart from this obligation which forces me to give an opinion when I barely happen, to impose myself a number of character to describe a society that I ultimately do not know, I could be satisfied !!</v>
      </c>
    </row>
    <row r="717" ht="15.75" customHeight="1">
      <c r="A717" s="2">
        <v>4.0</v>
      </c>
      <c r="B717" s="2" t="s">
        <v>2023</v>
      </c>
      <c r="C717" s="2" t="s">
        <v>2024</v>
      </c>
      <c r="D717" s="2" t="s">
        <v>72</v>
      </c>
      <c r="E717" s="2" t="s">
        <v>21</v>
      </c>
      <c r="F717" s="2" t="s">
        <v>15</v>
      </c>
      <c r="G717" s="2" t="s">
        <v>51</v>
      </c>
      <c r="H717" s="2" t="s">
        <v>51</v>
      </c>
      <c r="I717" s="2" t="str">
        <f>IFERROR(__xludf.DUMMYFUNCTION("GOOGLETRANSLATE(C717,""fr"",""en"")"),"satisfactory value for money. However, improving telephone contacts for current files. Difficulties in obtaining an intrelocutor")</f>
        <v>satisfactory value for money. However, improving telephone contacts for current files. Difficulties in obtaining an intrelocutor</v>
      </c>
    </row>
    <row r="718" ht="15.75" customHeight="1">
      <c r="A718" s="2">
        <v>1.0</v>
      </c>
      <c r="B718" s="2" t="s">
        <v>2025</v>
      </c>
      <c r="C718" s="2" t="s">
        <v>2026</v>
      </c>
      <c r="D718" s="2" t="s">
        <v>26</v>
      </c>
      <c r="E718" s="2" t="s">
        <v>14</v>
      </c>
      <c r="F718" s="2" t="s">
        <v>15</v>
      </c>
      <c r="G718" s="2" t="s">
        <v>2027</v>
      </c>
      <c r="H718" s="2" t="s">
        <v>134</v>
      </c>
      <c r="I718" s="2" t="str">
        <f>IFERROR(__xludf.DUMMYFUNCTION("GOOGLETRANSLATE(C718,""fr"",""en"")"),"Mutual overpriced compared to the level of reimbursements strongly not recommended for individuals.
I am canceling my contract with them.
Rather, he should save on advertising instead of paying their customers.
M.Lambert
")</f>
        <v>Mutual overpriced compared to the level of reimbursements strongly not recommended for individuals.
I am canceling my contract with them.
Rather, he should save on advertising instead of paying their customers.
M.Lambert
</v>
      </c>
    </row>
    <row r="719" ht="15.75" customHeight="1">
      <c r="A719" s="2">
        <v>4.0</v>
      </c>
      <c r="B719" s="2" t="s">
        <v>2028</v>
      </c>
      <c r="C719" s="2" t="s">
        <v>2029</v>
      </c>
      <c r="D719" s="2" t="s">
        <v>20</v>
      </c>
      <c r="E719" s="2" t="s">
        <v>21</v>
      </c>
      <c r="F719" s="2" t="s">
        <v>15</v>
      </c>
      <c r="G719" s="2" t="s">
        <v>1956</v>
      </c>
      <c r="H719" s="2" t="s">
        <v>51</v>
      </c>
      <c r="I719" s="2" t="str">
        <f>IFERROR(__xludf.DUMMYFUNCTION("GOOGLETRANSLATE(C719,""fr"",""en"")"),"Electronic subscription is quite long and laborious satisfied.
I had asked for the call of one of your advisers via your customer site. I did not receive a call?
Cordially,")</f>
        <v>Electronic subscription is quite long and laborious satisfied.
I had asked for the call of one of your advisers via your customer site. I did not receive a call?
Cordially,</v>
      </c>
    </row>
    <row r="720" ht="15.75" customHeight="1">
      <c r="A720" s="2">
        <v>3.0</v>
      </c>
      <c r="B720" s="2" t="s">
        <v>2030</v>
      </c>
      <c r="C720" s="2" t="s">
        <v>2031</v>
      </c>
      <c r="D720" s="2" t="s">
        <v>172</v>
      </c>
      <c r="E720" s="2" t="s">
        <v>14</v>
      </c>
      <c r="F720" s="2" t="s">
        <v>15</v>
      </c>
      <c r="G720" s="2" t="s">
        <v>2032</v>
      </c>
      <c r="H720" s="2" t="s">
        <v>660</v>
      </c>
      <c r="I720" s="2" t="str">
        <f>IFERROR(__xludf.DUMMYFUNCTION("GOOGLETRANSLATE(C720,""fr"",""en"")"),"Hello, I am very satisfied with the interlocutors that I have each time on the phone, very professional, listening to my problems and at resudres these as soon as possible.")</f>
        <v>Hello, I am very satisfied with the interlocutors that I have each time on the phone, very professional, listening to my problems and at resudres these as soon as possible.</v>
      </c>
    </row>
    <row r="721" ht="15.75" customHeight="1">
      <c r="A721" s="2">
        <v>1.0</v>
      </c>
      <c r="B721" s="2" t="s">
        <v>2033</v>
      </c>
      <c r="C721" s="2" t="s">
        <v>2034</v>
      </c>
      <c r="D721" s="2" t="s">
        <v>395</v>
      </c>
      <c r="E721" s="2" t="s">
        <v>21</v>
      </c>
      <c r="F721" s="2" t="s">
        <v>15</v>
      </c>
      <c r="G721" s="2" t="s">
        <v>2035</v>
      </c>
      <c r="H721" s="2" t="s">
        <v>346</v>
      </c>
      <c r="I721" s="2" t="str">
        <f>IFERROR(__xludf.DUMMYFUNCTION("GOOGLETRANSLATE(C721,""fr"",""en"")"),"An insurance joke! Auto insurance that increases by € 250 (+25%) this year without having any responsible for the year, it's a joke. And without any explanations! To flee !")</f>
        <v>An insurance joke! Auto insurance that increases by € 250 (+25%) this year without having any responsible for the year, it's a joke. And without any explanations! To flee !</v>
      </c>
    </row>
    <row r="722" ht="15.75" customHeight="1">
      <c r="A722" s="2">
        <v>3.0</v>
      </c>
      <c r="B722" s="2" t="s">
        <v>2036</v>
      </c>
      <c r="C722" s="2" t="s">
        <v>2037</v>
      </c>
      <c r="D722" s="2" t="s">
        <v>121</v>
      </c>
      <c r="E722" s="2" t="s">
        <v>122</v>
      </c>
      <c r="F722" s="2" t="s">
        <v>15</v>
      </c>
      <c r="G722" s="2" t="s">
        <v>770</v>
      </c>
      <c r="H722" s="2" t="s">
        <v>51</v>
      </c>
      <c r="I722" s="2" t="str">
        <f>IFERROR(__xludf.DUMMYFUNCTION("GOOGLETRANSLATE(C722,""fr"",""en"")"),"I have just taken out 2 motorcycle insurance contracts.
A window said that one could benefit from 10% reduction for the subscription of a second contract ...
I did not find how to benefit from this discount.
Shame !")</f>
        <v>I have just taken out 2 motorcycle insurance contracts.
A window said that one could benefit from 10% reduction for the subscription of a second contract ...
I did not find how to benefit from this discount.
Shame !</v>
      </c>
    </row>
    <row r="723" ht="15.75" customHeight="1">
      <c r="A723" s="2">
        <v>4.0</v>
      </c>
      <c r="B723" s="2" t="s">
        <v>2038</v>
      </c>
      <c r="C723" s="2" t="s">
        <v>2039</v>
      </c>
      <c r="D723" s="2" t="s">
        <v>41</v>
      </c>
      <c r="E723" s="2" t="s">
        <v>21</v>
      </c>
      <c r="F723" s="2" t="s">
        <v>15</v>
      </c>
      <c r="G723" s="2" t="s">
        <v>619</v>
      </c>
      <c r="H723" s="2" t="s">
        <v>74</v>
      </c>
      <c r="I723" s="2" t="str">
        <f>IFERROR(__xludf.DUMMYFUNCTION("GOOGLETRANSLATE(C723,""fr"",""en"")"),"I am satisfied with the speed of your service, and it is my husband who is already assured at home who advised me the Direct-Assurance company.")</f>
        <v>I am satisfied with the speed of your service, and it is my husband who is already assured at home who advised me the Direct-Assurance company.</v>
      </c>
    </row>
    <row r="724" ht="15.75" customHeight="1">
      <c r="A724" s="2">
        <v>3.0</v>
      </c>
      <c r="B724" s="2" t="s">
        <v>2040</v>
      </c>
      <c r="C724" s="2" t="s">
        <v>2041</v>
      </c>
      <c r="D724" s="2" t="s">
        <v>20</v>
      </c>
      <c r="E724" s="2" t="s">
        <v>21</v>
      </c>
      <c r="F724" s="2" t="s">
        <v>15</v>
      </c>
      <c r="G724" s="2" t="s">
        <v>432</v>
      </c>
      <c r="H724" s="2" t="s">
        <v>28</v>
      </c>
      <c r="I724" s="2" t="str">
        <f>IFERROR(__xludf.DUMMYFUNCTION("GOOGLETRANSLATE(C724,""fr"",""en"")"),"Very shared on customer relations, the advisers do not all give the same information on the phone and the reception of the quote apparently does not engage the company at the rate announced when it is announced with a month of validity, which suggests fal"&amp;"se information ... The price of the contract is ultimately very correct, fortunately all advisers are not all incompetent and know how to question themselves.
")</f>
        <v>Very shared on customer relations, the advisers do not all give the same information on the phone and the reception of the quote apparently does not engage the company at the rate announced when it is announced with a month of validity, which suggests false information ... The price of the contract is ultimately very correct, fortunately all advisers are not all incompetent and know how to question themselves.
</v>
      </c>
    </row>
    <row r="725" ht="15.75" customHeight="1">
      <c r="A725" s="2">
        <v>3.0</v>
      </c>
      <c r="B725" s="2" t="s">
        <v>2042</v>
      </c>
      <c r="C725" s="2" t="s">
        <v>2043</v>
      </c>
      <c r="D725" s="2" t="s">
        <v>41</v>
      </c>
      <c r="E725" s="2" t="s">
        <v>21</v>
      </c>
      <c r="F725" s="2" t="s">
        <v>15</v>
      </c>
      <c r="G725" s="2" t="s">
        <v>154</v>
      </c>
      <c r="H725" s="2" t="s">
        <v>74</v>
      </c>
      <c r="I725" s="2" t="str">
        <f>IFERROR(__xludf.DUMMYFUNCTION("GOOGLETRANSLATE(C725,""fr"",""en"")"),"I find the insurance a little expensive for a first insurance but the online service is practical.
Simple and efficient.
This is why I noted 3 stars out of 5.")</f>
        <v>I find the insurance a little expensive for a first insurance but the online service is practical.
Simple and efficient.
This is why I noted 3 stars out of 5.</v>
      </c>
    </row>
    <row r="726" ht="15.75" customHeight="1">
      <c r="A726" s="2">
        <v>4.0</v>
      </c>
      <c r="B726" s="2" t="s">
        <v>2044</v>
      </c>
      <c r="C726" s="2" t="s">
        <v>2045</v>
      </c>
      <c r="D726" s="2" t="s">
        <v>41</v>
      </c>
      <c r="E726" s="2" t="s">
        <v>21</v>
      </c>
      <c r="F726" s="2" t="s">
        <v>15</v>
      </c>
      <c r="G726" s="2" t="s">
        <v>2046</v>
      </c>
      <c r="H726" s="2" t="s">
        <v>913</v>
      </c>
      <c r="I726" s="2" t="str">
        <f>IFERROR(__xludf.DUMMYFUNCTION("GOOGLETRANSLATE(C726,""fr"",""en"")"),"I changed auto (12/2016) and car insurance, for Direct Insurance. The reason for my choice is mainly financial. (All risk insurance 100 €/year cheaper than my third -party collision+OPT ° Vol BRIS of Fire Ice, of the previous insurer). In early 2017, non-"&amp;"manual accident with vehicle material damage. 1 phone call, the same day at the designated garage and supply of a replacement vehicle. 3 days later Auto recovery -costs 0 €.")</f>
        <v>I changed auto (12/2016) and car insurance, for Direct Insurance. The reason for my choice is mainly financial. (All risk insurance 100 €/year cheaper than my third -party collision+OPT ° Vol BRIS of Fire Ice, of the previous insurer). In early 2017, non-manual accident with vehicle material damage. 1 phone call, the same day at the designated garage and supply of a replacement vehicle. 3 days later Auto recovery -costs 0 €.</v>
      </c>
    </row>
    <row r="727" ht="15.75" customHeight="1">
      <c r="A727" s="2">
        <v>5.0</v>
      </c>
      <c r="B727" s="2" t="s">
        <v>2047</v>
      </c>
      <c r="C727" s="2" t="s">
        <v>2048</v>
      </c>
      <c r="D727" s="2" t="s">
        <v>41</v>
      </c>
      <c r="E727" s="2" t="s">
        <v>21</v>
      </c>
      <c r="F727" s="2" t="s">
        <v>15</v>
      </c>
      <c r="G727" s="2" t="s">
        <v>50</v>
      </c>
      <c r="H727" s="2" t="s">
        <v>51</v>
      </c>
      <c r="I727" s="2" t="str">
        <f>IFERROR(__xludf.DUMMYFUNCTION("GOOGLETRANSLATE(C727,""fr"",""en"")"),"Satisfied, to be seen in the event of a claim if the service is always as correct
Always simple to sign an insurance contract, it is during a glitch that we realize if it is good or not")</f>
        <v>Satisfied, to be seen in the event of a claim if the service is always as correct
Always simple to sign an insurance contract, it is during a glitch that we realize if it is good or not</v>
      </c>
    </row>
    <row r="728" ht="15.75" customHeight="1">
      <c r="A728" s="2">
        <v>4.0</v>
      </c>
      <c r="B728" s="2" t="s">
        <v>2049</v>
      </c>
      <c r="C728" s="2" t="s">
        <v>2050</v>
      </c>
      <c r="D728" s="2" t="s">
        <v>41</v>
      </c>
      <c r="E728" s="2" t="s">
        <v>21</v>
      </c>
      <c r="F728" s="2" t="s">
        <v>15</v>
      </c>
      <c r="G728" s="2" t="s">
        <v>2051</v>
      </c>
      <c r="H728" s="2" t="s">
        <v>55</v>
      </c>
      <c r="I728" s="2" t="str">
        <f>IFERROR(__xludf.DUMMYFUNCTION("GOOGLETRANSLATE(C728,""fr"",""en"")"),"The prices are correct and attractive, the contact is fast management of claims very effective and the advisers on the phone are very attentive.")</f>
        <v>The prices are correct and attractive, the contact is fast management of claims very effective and the advisers on the phone are very attentive.</v>
      </c>
    </row>
    <row r="729" ht="15.75" customHeight="1">
      <c r="A729" s="2">
        <v>1.0</v>
      </c>
      <c r="B729" s="2" t="s">
        <v>2052</v>
      </c>
      <c r="C729" s="2" t="s">
        <v>2053</v>
      </c>
      <c r="D729" s="2" t="s">
        <v>116</v>
      </c>
      <c r="E729" s="2" t="s">
        <v>58</v>
      </c>
      <c r="F729" s="2" t="s">
        <v>15</v>
      </c>
      <c r="G729" s="2" t="s">
        <v>1983</v>
      </c>
      <c r="H729" s="2" t="s">
        <v>436</v>
      </c>
      <c r="I729" s="2" t="str">
        <f>IFERROR(__xludf.DUMMYFUNCTION("GOOGLETRANSLATE(C729,""fr"",""en"")"),"Matmut Legal Protection systematically refuses to cover the costs of procedures under bogus pretexts. We cannot count on them. Are useless. Really to avoid!")</f>
        <v>Matmut Legal Protection systematically refuses to cover the costs of procedures under bogus pretexts. We cannot count on them. Are useless. Really to avoid!</v>
      </c>
    </row>
    <row r="730" ht="15.75" customHeight="1">
      <c r="A730" s="2">
        <v>4.0</v>
      </c>
      <c r="B730" s="2" t="s">
        <v>2054</v>
      </c>
      <c r="C730" s="2" t="s">
        <v>2055</v>
      </c>
      <c r="D730" s="2" t="s">
        <v>72</v>
      </c>
      <c r="E730" s="2" t="s">
        <v>21</v>
      </c>
      <c r="F730" s="2" t="s">
        <v>15</v>
      </c>
      <c r="G730" s="2" t="s">
        <v>2056</v>
      </c>
      <c r="H730" s="2" t="s">
        <v>23</v>
      </c>
      <c r="I730" s="2" t="str">
        <f>IFERROR(__xludf.DUMMYFUNCTION("GOOGLETRANSLATE(C730,""fr"",""en"")"),"Listening advisor, good advice (when an agency appointment)
Effective internet service, facilitated to have them documents, make payments")</f>
        <v>Listening advisor, good advice (when an agency appointment)
Effective internet service, facilitated to have them documents, make payments</v>
      </c>
    </row>
    <row r="731" ht="15.75" customHeight="1">
      <c r="A731" s="2">
        <v>1.0</v>
      </c>
      <c r="B731" s="2" t="s">
        <v>2057</v>
      </c>
      <c r="C731" s="2" t="s">
        <v>2058</v>
      </c>
      <c r="D731" s="2" t="s">
        <v>108</v>
      </c>
      <c r="E731" s="2" t="s">
        <v>21</v>
      </c>
      <c r="F731" s="2" t="s">
        <v>15</v>
      </c>
      <c r="G731" s="2" t="s">
        <v>2059</v>
      </c>
      <c r="H731" s="2" t="s">
        <v>693</v>
      </c>
      <c r="I731" s="2" t="str">
        <f>IFERROR(__xludf.DUMMYFUNCTION("GOOGLETRANSLATE(C731,""fr"",""en"")"),"Fed up the bowl 3 week which me.demande paper plus I give them more he claims me I strongly advise you to assure you at home his fact 3 weeks that I struggle to give them paper it even more I give them He asked me for another these a real nightmare")</f>
        <v>Fed up the bowl 3 week which me.demande paper plus I give them more he claims me I strongly advise you to assure you at home his fact 3 weeks that I struggle to give them paper it even more I give them He asked me for another these a real nightmare</v>
      </c>
    </row>
    <row r="732" ht="15.75" customHeight="1">
      <c r="A732" s="2">
        <v>2.0</v>
      </c>
      <c r="B732" s="2" t="s">
        <v>2060</v>
      </c>
      <c r="C732" s="2" t="s">
        <v>2061</v>
      </c>
      <c r="D732" s="2" t="s">
        <v>20</v>
      </c>
      <c r="E732" s="2" t="s">
        <v>21</v>
      </c>
      <c r="F732" s="2" t="s">
        <v>15</v>
      </c>
      <c r="G732" s="2" t="s">
        <v>2062</v>
      </c>
      <c r="H732" s="2" t="s">
        <v>436</v>
      </c>
      <c r="I732" s="2" t="str">
        <f>IFERROR(__xludf.DUMMYFUNCTION("GOOGLETRANSLATE(C732,""fr"",""en"")"),"The promise of troubleshooting in 45 minutes not respected! More than 2 hours of waiting ... with advice that threatens to hang on to the nose (good example of assistance!) And a compensation refused because the request was made 1 days too late despite th"&amp;"e firmness of the holiday season .... Thank you for false advertising.")</f>
        <v>The promise of troubleshooting in 45 minutes not respected! More than 2 hours of waiting ... with advice that threatens to hang on to the nose (good example of assistance!) And a compensation refused because the request was made 1 days too late despite the firmness of the holiday season .... Thank you for false advertising.</v>
      </c>
    </row>
    <row r="733" ht="15.75" customHeight="1">
      <c r="A733" s="2">
        <v>1.0</v>
      </c>
      <c r="B733" s="2" t="s">
        <v>2063</v>
      </c>
      <c r="C733" s="2" t="s">
        <v>2064</v>
      </c>
      <c r="D733" s="2" t="s">
        <v>31</v>
      </c>
      <c r="E733" s="2" t="s">
        <v>21</v>
      </c>
      <c r="F733" s="2" t="s">
        <v>15</v>
      </c>
      <c r="G733" s="2" t="s">
        <v>659</v>
      </c>
      <c r="H733" s="2" t="s">
        <v>660</v>
      </c>
      <c r="I733" s="2" t="str">
        <f>IFERROR(__xludf.DUMMYFUNCTION("GOOGLETRANSLATE(C733,""fr"",""en"")"),"Customer for over 38 years at the Macif with bonus 50 and more for good driver.
We go to the agency to ask if we can pretend to a reduction of the current conjuncture, we are not that this is not possible because lecon of morale by explaining to me who i"&amp;"s worse than us!
Very Desagrable Personal to who one cannot express themselves feeling self -confident when it was only asked for explanations. The Macif would therefore have become more social assistance rather than insurance according to the explanatio"&amp;"ns of this adviser.
Other insurances have chosen to make their customers a reduction but not the Macif!
")</f>
        <v>Customer for over 38 years at the Macif with bonus 50 and more for good driver.
We go to the agency to ask if we can pretend to a reduction of the current conjuncture, we are not that this is not possible because lecon of morale by explaining to me who is worse than us!
Very Desagrable Personal to who one cannot express themselves feeling self -confident when it was only asked for explanations. The Macif would therefore have become more social assistance rather than insurance according to the explanations of this adviser.
Other insurances have chosen to make their customers a reduction but not the Macif!
</v>
      </c>
    </row>
    <row r="734" ht="15.75" customHeight="1">
      <c r="A734" s="2">
        <v>5.0</v>
      </c>
      <c r="B734" s="2" t="s">
        <v>2065</v>
      </c>
      <c r="C734" s="2" t="s">
        <v>2066</v>
      </c>
      <c r="D734" s="2" t="s">
        <v>20</v>
      </c>
      <c r="E734" s="2" t="s">
        <v>21</v>
      </c>
      <c r="F734" s="2" t="s">
        <v>15</v>
      </c>
      <c r="G734" s="2" t="s">
        <v>1462</v>
      </c>
      <c r="H734" s="2" t="s">
        <v>1068</v>
      </c>
      <c r="I734" s="2" t="str">
        <f>IFERROR(__xludf.DUMMYFUNCTION("GOOGLETRANSLATE(C734,""fr"",""en"")"),"I am completely satisfied with your site and your low prices. I hope that insurance is adapted to my situation.
I hope that the procedures will be taken quickly so as not to pay too much payments at Direct Insurance. Either before 10/12/2021.")</f>
        <v>I am completely satisfied with your site and your low prices. I hope that insurance is adapted to my situation.
I hope that the procedures will be taken quickly so as not to pay too much payments at Direct Insurance. Either before 10/12/2021.</v>
      </c>
    </row>
    <row r="735" ht="15.75" customHeight="1">
      <c r="A735" s="2">
        <v>1.0</v>
      </c>
      <c r="B735" s="2" t="s">
        <v>2067</v>
      </c>
      <c r="C735" s="2" t="s">
        <v>2068</v>
      </c>
      <c r="D735" s="2" t="s">
        <v>13</v>
      </c>
      <c r="E735" s="2" t="s">
        <v>14</v>
      </c>
      <c r="F735" s="2" t="s">
        <v>15</v>
      </c>
      <c r="G735" s="2" t="s">
        <v>1639</v>
      </c>
      <c r="H735" s="2" t="s">
        <v>134</v>
      </c>
      <c r="I735" s="2" t="str">
        <f>IFERROR(__xludf.DUMMYFUNCTION("GOOGLETRANSLATE(C735,""fr"",""en"")"),"This health insurance is a shame, it is one of the only insurance not to practice the 100% healthy basket and the 0 remains at the expense provided by the Macron law and well not at home.
Even my dental surgeon has called them and they answer that my gua"&amp;"rantee is too low when I am at level 3. Even my dentist told them about his misunderstanding so they send us back to the broker? ..
A shame for 73 th per month obviously that I will flee.
And my opinion is not a suspicious opinion is a real opinion.
A "&amp;"shame, they do not respond to the requests for requesting explanations and when they deign to do it we understand nothing about their answers because it is a law which should apply to everyone when the quotes are correct. Not at home.")</f>
        <v>This health insurance is a shame, it is one of the only insurance not to practice the 100% healthy basket and the 0 remains at the expense provided by the Macron law and well not at home.
Even my dental surgeon has called them and they answer that my guarantee is too low when I am at level 3. Even my dentist told them about his misunderstanding so they send us back to the broker? ..
A shame for 73 th per month obviously that I will flee.
And my opinion is not a suspicious opinion is a real opinion.
A shame, they do not respond to the requests for requesting explanations and when they deign to do it we understand nothing about their answers because it is a law which should apply to everyone when the quotes are correct. Not at home.</v>
      </c>
    </row>
    <row r="736" ht="15.75" customHeight="1">
      <c r="A736" s="2">
        <v>3.0</v>
      </c>
      <c r="B736" s="2" t="s">
        <v>2069</v>
      </c>
      <c r="C736" s="2" t="s">
        <v>2070</v>
      </c>
      <c r="D736" s="2" t="s">
        <v>172</v>
      </c>
      <c r="E736" s="2" t="s">
        <v>195</v>
      </c>
      <c r="F736" s="2" t="s">
        <v>15</v>
      </c>
      <c r="G736" s="2" t="s">
        <v>1648</v>
      </c>
      <c r="H736" s="2" t="s">
        <v>74</v>
      </c>
      <c r="I736" s="2" t="str">
        <f>IFERROR(__xludf.DUMMYFUNCTION("GOOGLETRANSLATE(C736,""fr"",""en"")"),"Given my profession, I need this provident, to complete this loss of salary and loss of premium. Death insurance is necessary with my risk profession. I am rather satisfied ..")</f>
        <v>Given my profession, I need this provident, to complete this loss of salary and loss of premium. Death insurance is necessary with my risk profession. I am rather satisfied ..</v>
      </c>
    </row>
    <row r="737" ht="15.75" customHeight="1">
      <c r="A737" s="2">
        <v>1.0</v>
      </c>
      <c r="B737" s="2" t="s">
        <v>2071</v>
      </c>
      <c r="C737" s="2" t="s">
        <v>2072</v>
      </c>
      <c r="D737" s="2" t="s">
        <v>395</v>
      </c>
      <c r="E737" s="2" t="s">
        <v>21</v>
      </c>
      <c r="F737" s="2" t="s">
        <v>15</v>
      </c>
      <c r="G737" s="2" t="s">
        <v>2073</v>
      </c>
      <c r="H737" s="2" t="s">
        <v>33</v>
      </c>
      <c r="I737" s="2" t="str">
        <f>IFERROR(__xludf.DUMMYFUNCTION("GOOGLETRANSLATE(C737,""fr"",""en"")"),"Customer at home for 2 years I recommend this insurer.
Currently victim of a disaster or I am not wrong, their expert, if we can call it an expert, judge my vehicle completely down its current dimension.
I contact them, 1 hour to have their worse than c"&amp;"atastrophic hotline, so that I am told ""OK there will be a 2nd evaluation we contact you"".
As usual it's up to me to contact them because 2 weeks without news, and I am told: ""I have no trace of your previous call, it's up to you and your costs to mak"&amp;"e a 2nd expert "".
So I summarize:
-We divides me by 2 the current coast of my vehicle because expert bogus (I made him an email with the current coast and the history of my vehicle so he did nothing by looking at 1 site style the center While I had m"&amp;"inced all the work).
 -We make me wait for weeks.
-Hotline filled with incapable.
And all that when it does not cost them a euro because I am not wrong.
For me it is the insurer to avoid among many others, and I fish my contract with them.
I will"&amp;" no longer give them my money to have incapable in return.")</f>
        <v>Customer at home for 2 years I recommend this insurer.
Currently victim of a disaster or I am not wrong, their expert, if we can call it an expert, judge my vehicle completely down its current dimension.
I contact them, 1 hour to have their worse than catastrophic hotline, so that I am told "OK there will be a 2nd evaluation we contact you".
As usual it's up to me to contact them because 2 weeks without news, and I am told: "I have no trace of your previous call, it's up to you and your costs to make a 2nd expert ".
So I summarize:
-We divides me by 2 the current coast of my vehicle because expert bogus (I made him an email with the current coast and the history of my vehicle so he did nothing by looking at 1 site style the center While I had minced all the work).
 -We make me wait for weeks.
-Hotline filled with incapable.
And all that when it does not cost them a euro because I am not wrong.
For me it is the insurer to avoid among many others, and I fish my contract with them.
I will no longer give them my money to have incapable in return.</v>
      </c>
    </row>
    <row r="738" ht="15.75" customHeight="1">
      <c r="A738" s="2">
        <v>4.0</v>
      </c>
      <c r="B738" s="2" t="s">
        <v>2074</v>
      </c>
      <c r="C738" s="2" t="s">
        <v>2075</v>
      </c>
      <c r="D738" s="2" t="s">
        <v>20</v>
      </c>
      <c r="E738" s="2" t="s">
        <v>21</v>
      </c>
      <c r="F738" s="2" t="s">
        <v>15</v>
      </c>
      <c r="G738" s="2" t="s">
        <v>877</v>
      </c>
      <c r="H738" s="2" t="s">
        <v>28</v>
      </c>
      <c r="I738" s="2" t="str">
        <f>IFERROR(__xludf.DUMMYFUNCTION("GOOGLETRANSLATE(C738,""fr"",""en"")"),"I am satisfied with the telephone relations and the proposed prices wishing that in the event of a claim the care is up to relations with the olive tree.")</f>
        <v>I am satisfied with the telephone relations and the proposed prices wishing that in the event of a claim the care is up to relations with the olive tree.</v>
      </c>
    </row>
    <row r="739" ht="15.75" customHeight="1">
      <c r="A739" s="2">
        <v>1.0</v>
      </c>
      <c r="B739" s="2" t="s">
        <v>2076</v>
      </c>
      <c r="C739" s="2" t="s">
        <v>2077</v>
      </c>
      <c r="D739" s="2" t="s">
        <v>20</v>
      </c>
      <c r="E739" s="2" t="s">
        <v>21</v>
      </c>
      <c r="F739" s="2" t="s">
        <v>15</v>
      </c>
      <c r="G739" s="2" t="s">
        <v>2078</v>
      </c>
      <c r="H739" s="2" t="s">
        <v>693</v>
      </c>
      <c r="I739" s="2" t="str">
        <f>IFERROR(__xludf.DUMMYFUNCTION("GOOGLETRANSLATE(C739,""fr"",""en"")"),"Victim of a non -responsible claim it's been a month now that I have no vehicle (no loan vehicle no more) and I still don't know what will happen to my vehicle (so I can't No to buy another) and that I am led by boat, a blow is the expert then after the e"&amp;"xpert dismiss the ball by saying that it is the insurer. I find it hard to understand this kind of behavior especially when the insurer allows himself to increase his contribution each year by more than 50 euros for no valid reason since I had had no clai"&amp;"m to date.")</f>
        <v>Victim of a non -responsible claim it's been a month now that I have no vehicle (no loan vehicle no more) and I still don't know what will happen to my vehicle (so I can't No to buy another) and that I am led by boat, a blow is the expert then after the expert dismiss the ball by saying that it is the insurer. I find it hard to understand this kind of behavior especially when the insurer allows himself to increase his contribution each year by more than 50 euros for no valid reason since I had had no claim to date.</v>
      </c>
    </row>
    <row r="740" ht="15.75" customHeight="1">
      <c r="A740" s="2">
        <v>1.0</v>
      </c>
      <c r="B740" s="2" t="s">
        <v>2079</v>
      </c>
      <c r="C740" s="2" t="s">
        <v>2080</v>
      </c>
      <c r="D740" s="2" t="s">
        <v>212</v>
      </c>
      <c r="E740" s="2" t="s">
        <v>21</v>
      </c>
      <c r="F740" s="2" t="s">
        <v>15</v>
      </c>
      <c r="G740" s="2" t="s">
        <v>2081</v>
      </c>
      <c r="H740" s="2" t="s">
        <v>74</v>
      </c>
      <c r="I740" s="2" t="str">
        <f>IFERROR(__xludf.DUMMYFUNCTION("GOOGLETRANSLATE(C740,""fr"",""en"")"),"My car was the victim of an ice cream parking in August 2021.
The author of the claim was identified, recognized his responsibility, and signed the observation.
The same day I sent the observation signed to Allianz. I had to speak to a dozen different s"&amp;"ervice people who all sent the ball.
Then, I sent them a reminder per month, the company never deigned to respond to my compensation request.
We are in November. I paid for repairs from my pocket and changed insurance.")</f>
        <v>My car was the victim of an ice cream parking in August 2021.
The author of the claim was identified, recognized his responsibility, and signed the observation.
The same day I sent the observation signed to Allianz. I had to speak to a dozen different service people who all sent the ball.
Then, I sent them a reminder per month, the company never deigned to respond to my compensation request.
We are in November. I paid for repairs from my pocket and changed insurance.</v>
      </c>
    </row>
    <row r="741" ht="15.75" customHeight="1">
      <c r="A741" s="2">
        <v>4.0</v>
      </c>
      <c r="B741" s="2" t="s">
        <v>2082</v>
      </c>
      <c r="C741" s="2" t="s">
        <v>2083</v>
      </c>
      <c r="D741" s="2" t="s">
        <v>20</v>
      </c>
      <c r="E741" s="2" t="s">
        <v>21</v>
      </c>
      <c r="F741" s="2" t="s">
        <v>15</v>
      </c>
      <c r="G741" s="2" t="s">
        <v>2084</v>
      </c>
      <c r="H741" s="2" t="s">
        <v>47</v>
      </c>
      <c r="I741" s="2" t="str">
        <f>IFERROR(__xludf.DUMMYFUNCTION("GOOGLETRANSLATE(C741,""fr"",""en"")"),"Reasonable and correct price. Fast and efficient file realization. Not too much concerns to subscribe to the Olivier Insurance. I am not U for me")</f>
        <v>Reasonable and correct price. Fast and efficient file realization. Not too much concerns to subscribe to the Olivier Insurance. I am not U for me</v>
      </c>
    </row>
    <row r="742" ht="15.75" customHeight="1">
      <c r="A742" s="2">
        <v>4.0</v>
      </c>
      <c r="B742" s="2" t="s">
        <v>2085</v>
      </c>
      <c r="C742" s="2" t="s">
        <v>2086</v>
      </c>
      <c r="D742" s="2" t="s">
        <v>20</v>
      </c>
      <c r="E742" s="2" t="s">
        <v>21</v>
      </c>
      <c r="F742" s="2" t="s">
        <v>15</v>
      </c>
      <c r="G742" s="2" t="s">
        <v>493</v>
      </c>
      <c r="H742" s="2" t="s">
        <v>74</v>
      </c>
      <c r="I742" s="2" t="str">
        <f>IFERROR(__xludf.DUMMYFUNCTION("GOOGLETRANSLATE(C742,""fr"",""en"")"),"I am satisfied all these very past
The price and reception and the processing of the file on the site and I am reassured to be part of you customers")</f>
        <v>I am satisfied all these very past
The price and reception and the processing of the file on the site and I am reassured to be part of you customers</v>
      </c>
    </row>
    <row r="743" ht="15.75" customHeight="1">
      <c r="A743" s="2">
        <v>3.0</v>
      </c>
      <c r="B743" s="2" t="s">
        <v>2087</v>
      </c>
      <c r="C743" s="2" t="s">
        <v>2088</v>
      </c>
      <c r="D743" s="2" t="s">
        <v>108</v>
      </c>
      <c r="E743" s="2" t="s">
        <v>21</v>
      </c>
      <c r="F743" s="2" t="s">
        <v>15</v>
      </c>
      <c r="G743" s="2" t="s">
        <v>2089</v>
      </c>
      <c r="H743" s="2" t="s">
        <v>69</v>
      </c>
      <c r="I743" s="2" t="str">
        <f>IFERROR(__xludf.DUMMYFUNCTION("GOOGLETRANSLATE(C743,""fr"",""en"")"),"Customer 218307 broke down yesterday I had to have my car towed by my mechanic. For the towing invoice my mechanic asks me if my insurance supports. I call customer service and I am told that yes but that I should have called the assistance from your home"&amp;" to be taken care of but that I should still send The invoice and maybe you take care of it ...
It is unclear. Should I send you the invoice or not?
Thanks")</f>
        <v>Customer 218307 broke down yesterday I had to have my car towed by my mechanic. For the towing invoice my mechanic asks me if my insurance supports. I call customer service and I am told that yes but that I should have called the assistance from your home to be taken care of but that I should still send The invoice and maybe you take care of it ...
It is unclear. Should I send you the invoice or not?
Thanks</v>
      </c>
    </row>
    <row r="744" ht="15.75" customHeight="1">
      <c r="A744" s="2">
        <v>5.0</v>
      </c>
      <c r="B744" s="2" t="s">
        <v>2090</v>
      </c>
      <c r="C744" s="2" t="s">
        <v>2091</v>
      </c>
      <c r="D744" s="2" t="s">
        <v>150</v>
      </c>
      <c r="E744" s="2" t="s">
        <v>122</v>
      </c>
      <c r="F744" s="2" t="s">
        <v>15</v>
      </c>
      <c r="G744" s="2" t="s">
        <v>2092</v>
      </c>
      <c r="H744" s="2" t="s">
        <v>47</v>
      </c>
      <c r="I744" s="2" t="str">
        <f>IFERROR(__xludf.DUMMYFUNCTION("GOOGLETRANSLATE(C744,""fr"",""en"")"),"Simple and practical. I am satisfied with the price and guarantee. Establishment of an internet contract. If everything is fine I offer you to my friends.
Regards well, M.MUHIC")</f>
        <v>Simple and practical. I am satisfied with the price and guarantee. Establishment of an internet contract. If everything is fine I offer you to my friends.
Regards well, M.MUHIC</v>
      </c>
    </row>
    <row r="745" ht="15.75" customHeight="1">
      <c r="A745" s="2">
        <v>5.0</v>
      </c>
      <c r="B745" s="2" t="s">
        <v>2093</v>
      </c>
      <c r="C745" s="2" t="s">
        <v>2094</v>
      </c>
      <c r="D745" s="2" t="s">
        <v>41</v>
      </c>
      <c r="E745" s="2" t="s">
        <v>21</v>
      </c>
      <c r="F745" s="2" t="s">
        <v>15</v>
      </c>
      <c r="G745" s="2" t="s">
        <v>770</v>
      </c>
      <c r="H745" s="2" t="s">
        <v>51</v>
      </c>
      <c r="I745" s="2" t="str">
        <f>IFERROR(__xludf.DUMMYFUNCTION("GOOGLETRANSLATE(C745,""fr"",""en"")"),"Completely satisfied. quote done quickly. Excellent rates. Rapidity to insure me, then fast payment and especially much cheaper rates than elsewhere")</f>
        <v>Completely satisfied. quote done quickly. Excellent rates. Rapidity to insure me, then fast payment and especially much cheaper rates than elsewhere</v>
      </c>
    </row>
    <row r="746" ht="15.75" customHeight="1">
      <c r="A746" s="2">
        <v>2.0</v>
      </c>
      <c r="B746" s="2" t="s">
        <v>2095</v>
      </c>
      <c r="C746" s="2" t="s">
        <v>2096</v>
      </c>
      <c r="D746" s="2" t="s">
        <v>13</v>
      </c>
      <c r="E746" s="2" t="s">
        <v>14</v>
      </c>
      <c r="F746" s="2" t="s">
        <v>15</v>
      </c>
      <c r="G746" s="2" t="s">
        <v>2097</v>
      </c>
      <c r="H746" s="2" t="s">
        <v>412</v>
      </c>
      <c r="I746" s="2" t="str">
        <f>IFERROR(__xludf.DUMMYFUNCTION("GOOGLETRANSLATE(C746,""fr"",""en"")"),"Very good listening good welcome good explanation")</f>
        <v>Very good listening good welcome good explanation</v>
      </c>
    </row>
    <row r="747" ht="15.75" customHeight="1">
      <c r="A747" s="2">
        <v>3.0</v>
      </c>
      <c r="B747" s="2" t="s">
        <v>2098</v>
      </c>
      <c r="C747" s="2" t="s">
        <v>2099</v>
      </c>
      <c r="D747" s="2" t="s">
        <v>41</v>
      </c>
      <c r="E747" s="2" t="s">
        <v>21</v>
      </c>
      <c r="F747" s="2" t="s">
        <v>15</v>
      </c>
      <c r="G747" s="2" t="s">
        <v>960</v>
      </c>
      <c r="H747" s="2" t="s">
        <v>23</v>
      </c>
      <c r="I747" s="2" t="str">
        <f>IFERROR(__xludf.DUMMYFUNCTION("GOOGLETRANSLATE(C747,""fr"",""en"")"),"Overall satisfied with direct insurance, however disappointed with the increase of almost 10 %, completely unjustified after a year where the various confinement will have reduced the number of claims.")</f>
        <v>Overall satisfied with direct insurance, however disappointed with the increase of almost 10 %, completely unjustified after a year where the various confinement will have reduced the number of claims.</v>
      </c>
    </row>
    <row r="748" ht="15.75" customHeight="1">
      <c r="A748" s="2">
        <v>1.0</v>
      </c>
      <c r="B748" s="2" t="s">
        <v>2100</v>
      </c>
      <c r="C748" s="2" t="s">
        <v>2101</v>
      </c>
      <c r="D748" s="2" t="s">
        <v>1889</v>
      </c>
      <c r="E748" s="2" t="s">
        <v>195</v>
      </c>
      <c r="F748" s="2" t="s">
        <v>15</v>
      </c>
      <c r="G748" s="2" t="s">
        <v>1996</v>
      </c>
      <c r="H748" s="2" t="s">
        <v>28</v>
      </c>
      <c r="I748" s="2" t="str">
        <f>IFERROR(__xludf.DUMMYFUNCTION("GOOGLETRANSLATE(C748,""fr"",""en"")"),"Ashamed. The processing of the file is not done when it is a question of moving an inability to a disability without any other change in terms of care and yet we want exactly the same parts to refour! No response other than requests for requests. Service "&amp;"concerned unreachable. Deadlines announced not respected without explanation other than ""sorry"" we contact you very quickly and then nothing .... Impossible to have a responsible person on the file concerned. Systematic dam. Refuse to give even the post"&amp;"al address of the service for a face -to -face appointment. A cynical mutual and detestable as possible. To be completely eliminated.")</f>
        <v>Ashamed. The processing of the file is not done when it is a question of moving an inability to a disability without any other change in terms of care and yet we want exactly the same parts to refour! No response other than requests for requests. Service concerned unreachable. Deadlines announced not respected without explanation other than "sorry" we contact you very quickly and then nothing .... Impossible to have a responsible person on the file concerned. Systematic dam. Refuse to give even the postal address of the service for a face -to -face appointment. A cynical mutual and detestable as possible. To be completely eliminated.</v>
      </c>
    </row>
    <row r="749" ht="15.75" customHeight="1">
      <c r="A749" s="2">
        <v>5.0</v>
      </c>
      <c r="B749" s="2" t="s">
        <v>2102</v>
      </c>
      <c r="C749" s="2" t="s">
        <v>2103</v>
      </c>
      <c r="D749" s="2" t="s">
        <v>41</v>
      </c>
      <c r="E749" s="2" t="s">
        <v>21</v>
      </c>
      <c r="F749" s="2" t="s">
        <v>15</v>
      </c>
      <c r="G749" s="2" t="s">
        <v>2104</v>
      </c>
      <c r="H749" s="2" t="s">
        <v>42</v>
      </c>
      <c r="I749" s="2" t="str">
        <f>IFERROR(__xludf.DUMMYFUNCTION("GOOGLETRANSLATE(C749,""fr"",""en"")"),"Competent service, insurer and insurance that gives satisfaction ...
To advise, price and contract, and good quality service. Personal space well and easy to access
")</f>
        <v>Competent service, insurer and insurance that gives satisfaction ...
To advise, price and contract, and good quality service. Personal space well and easy to access
</v>
      </c>
    </row>
    <row r="750" ht="15.75" customHeight="1">
      <c r="A750" s="2">
        <v>1.0</v>
      </c>
      <c r="B750" s="2" t="s">
        <v>2105</v>
      </c>
      <c r="C750" s="2" t="s">
        <v>2106</v>
      </c>
      <c r="D750" s="2" t="s">
        <v>212</v>
      </c>
      <c r="E750" s="2" t="s">
        <v>21</v>
      </c>
      <c r="F750" s="2" t="s">
        <v>15</v>
      </c>
      <c r="G750" s="2" t="s">
        <v>2107</v>
      </c>
      <c r="H750" s="2" t="s">
        <v>100</v>
      </c>
      <c r="I750" s="2" t="str">
        <f>IFERROR(__xludf.DUMMYFUNCTION("GOOGLETRANSLATE(C750,""fr"",""en"")"),"Customer of 1987 I pay € 47 per month for me to be told during a breakdown assistance that I have the right if only 25 km from my home, repatriation of the vehicle to the most ready garage (here La Rochelle) J 'lives 200 km away and I just have a train ti"&amp;"cket then after doing your way to return to my home.
Contact The Allianz agency, who leaves me that I have read the contract before signing and that I had several claims. I ask him for explanations and there I am released non -responsible claims since 19"&amp;"94. Non -competent insurance agent I change cheaper insurance and more advantages.")</f>
        <v>Customer of 1987 I pay € 47 per month for me to be told during a breakdown assistance that I have the right if only 25 km from my home, repatriation of the vehicle to the most ready garage (here La Rochelle) J 'lives 200 km away and I just have a train ticket then after doing your way to return to my home.
Contact The Allianz agency, who leaves me that I have read the contract before signing and that I had several claims. I ask him for explanations and there I am released non -responsible claims since 1994. Non -competent insurance agent I change cheaper insurance and more advantages.</v>
      </c>
    </row>
    <row r="751" ht="15.75" customHeight="1">
      <c r="A751" s="2">
        <v>4.0</v>
      </c>
      <c r="B751" s="2" t="s">
        <v>2108</v>
      </c>
      <c r="C751" s="2" t="s">
        <v>2109</v>
      </c>
      <c r="D751" s="2" t="s">
        <v>20</v>
      </c>
      <c r="E751" s="2" t="s">
        <v>21</v>
      </c>
      <c r="F751" s="2" t="s">
        <v>15</v>
      </c>
      <c r="G751" s="2" t="s">
        <v>2110</v>
      </c>
      <c r="H751" s="2" t="s">
        <v>38</v>
      </c>
      <c r="I751" s="2" t="str">
        <f>IFERROR(__xludf.DUMMYFUNCTION("GOOGLETRANSLATE(C751,""fr"",""en"")"),"For the moment very satisfied, following a disaster caused by a third party. Reactive on the phone, their website is working properly and is ergonomic. They redirected me to a garage of the day after my declaration and facilitates my steps.
Answers the q"&amp;"uestions, refers the documents if they were lost for example.
")</f>
        <v>For the moment very satisfied, following a disaster caused by a third party. Reactive on the phone, their website is working properly and is ergonomic. They redirected me to a garage of the day after my declaration and facilitates my steps.
Answers the questions, refers the documents if they were lost for example.
</v>
      </c>
    </row>
    <row r="752" ht="15.75" customHeight="1">
      <c r="A752" s="2">
        <v>1.0</v>
      </c>
      <c r="B752" s="2" t="s">
        <v>2111</v>
      </c>
      <c r="C752" s="2" t="s">
        <v>2112</v>
      </c>
      <c r="D752" s="2" t="s">
        <v>395</v>
      </c>
      <c r="E752" s="2" t="s">
        <v>58</v>
      </c>
      <c r="F752" s="2" t="s">
        <v>15</v>
      </c>
      <c r="G752" s="2" t="s">
        <v>996</v>
      </c>
      <c r="H752" s="2" t="s">
        <v>55</v>
      </c>
      <c r="I752" s="2" t="str">
        <f>IFERROR(__xludf.DUMMYFUNCTION("GOOGLETRANSLATE(C752,""fr"",""en"")"),"
After a claim that occurred on March 16, 2021 of a broken shutter following a strong wind 90/110 km hours, I must now justify the force of the wind by a certificate from the town hall?
Is it customers to do this type of approach ???
After being en"&amp;"sured 40 years at AXA This is the typical example of the requests that are made to me by the claim service, this is simply a shame !!!
I think he should put their customers more to the hearts of their concerns.")</f>
        <v>
After a claim that occurred on March 16, 2021 of a broken shutter following a strong wind 90/110 km hours, I must now justify the force of the wind by a certificate from the town hall?
Is it customers to do this type of approach ???
After being ensured 40 years at AXA This is the typical example of the requests that are made to me by the claim service, this is simply a shame !!!
I think he should put their customers more to the hearts of their concerns.</v>
      </c>
    </row>
    <row r="753" ht="15.75" customHeight="1">
      <c r="A753" s="2">
        <v>4.0</v>
      </c>
      <c r="B753" s="2" t="s">
        <v>2113</v>
      </c>
      <c r="C753" s="2" t="s">
        <v>2114</v>
      </c>
      <c r="D753" s="2" t="s">
        <v>20</v>
      </c>
      <c r="E753" s="2" t="s">
        <v>21</v>
      </c>
      <c r="F753" s="2" t="s">
        <v>15</v>
      </c>
      <c r="G753" s="2" t="s">
        <v>1829</v>
      </c>
      <c r="H753" s="2" t="s">
        <v>28</v>
      </c>
      <c r="I753" s="2" t="str">
        <f>IFERROR(__xludf.DUMMYFUNCTION("GOOGLETRANSLATE(C753,""fr"",""en"")"),"Good insurance, with advisers to listen to customers. Insurance subscribed quickly after carrying out the quote on the Internet. I recommend!!!!")</f>
        <v>Good insurance, with advisers to listen to customers. Insurance subscribed quickly after carrying out the quote on the Internet. I recommend!!!!</v>
      </c>
    </row>
    <row r="754" ht="15.75" customHeight="1">
      <c r="A754" s="2">
        <v>1.0</v>
      </c>
      <c r="B754" s="2" t="s">
        <v>2115</v>
      </c>
      <c r="C754" s="2" t="s">
        <v>2116</v>
      </c>
      <c r="D754" s="2" t="s">
        <v>116</v>
      </c>
      <c r="E754" s="2" t="s">
        <v>21</v>
      </c>
      <c r="F754" s="2" t="s">
        <v>15</v>
      </c>
      <c r="G754" s="2" t="s">
        <v>616</v>
      </c>
      <c r="H754" s="2" t="s">
        <v>560</v>
      </c>
      <c r="I754" s="2" t="str">
        <f>IFERROR(__xludf.DUMMYFUNCTION("GOOGLETRANSLATE(C754,""fr"",""en"")"),"Lamentable insurance I explain myself:
Road accident occurred in November 2017 where I almost left my skin there !!!
And since that day the matmut no reimbursement, no agreement, however, assurance of all risks
I strongly denote this insurance and "&amp;"to attack them in court
I will declare this insurance around my entourage of social networks and more")</f>
        <v>Lamentable insurance I explain myself:
Road accident occurred in November 2017 where I almost left my skin there !!!
And since that day the matmut no reimbursement, no agreement, however, assurance of all risks
I strongly denote this insurance and to attack them in court
I will declare this insurance around my entourage of social networks and more</v>
      </c>
    </row>
    <row r="755" ht="15.75" customHeight="1">
      <c r="A755" s="2">
        <v>3.0</v>
      </c>
      <c r="B755" s="2" t="s">
        <v>2117</v>
      </c>
      <c r="C755" s="2" t="s">
        <v>2118</v>
      </c>
      <c r="D755" s="2" t="s">
        <v>20</v>
      </c>
      <c r="E755" s="2" t="s">
        <v>21</v>
      </c>
      <c r="F755" s="2" t="s">
        <v>15</v>
      </c>
      <c r="G755" s="2" t="s">
        <v>806</v>
      </c>
      <c r="H755" s="2" t="s">
        <v>23</v>
      </c>
      <c r="I755" s="2" t="str">
        <f>IFERROR(__xludf.DUMMYFUNCTION("GOOGLETRANSLATE(C755,""fr"",""en"")"),"I am satisfied with the development of the care to make sure at home fast and efficient but a pity that prices are more expensive than other insurers")</f>
        <v>I am satisfied with the development of the care to make sure at home fast and efficient but a pity that prices are more expensive than other insurers</v>
      </c>
    </row>
    <row r="756" ht="15.75" customHeight="1">
      <c r="A756" s="2">
        <v>3.0</v>
      </c>
      <c r="B756" s="2" t="s">
        <v>2119</v>
      </c>
      <c r="C756" s="2" t="s">
        <v>2120</v>
      </c>
      <c r="D756" s="2" t="s">
        <v>41</v>
      </c>
      <c r="E756" s="2" t="s">
        <v>21</v>
      </c>
      <c r="F756" s="2" t="s">
        <v>15</v>
      </c>
      <c r="G756" s="2" t="s">
        <v>2121</v>
      </c>
      <c r="H756" s="2" t="s">
        <v>55</v>
      </c>
      <c r="I756" s="2" t="str">
        <f>IFERROR(__xludf.DUMMYFUNCTION("GOOGLETRANSLATE(C756,""fr"",""en"")"),"Correct registration rate, but after ditto to other insurers ... less service.
Not received the new green card, evolution of the bonus withdrawn causes of insurance for 3 months, not commercial")</f>
        <v>Correct registration rate, but after ditto to other insurers ... less service.
Not received the new green card, evolution of the bonus withdrawn causes of insurance for 3 months, not commercial</v>
      </c>
    </row>
    <row r="757" ht="15.75" customHeight="1">
      <c r="A757" s="2">
        <v>1.0</v>
      </c>
      <c r="B757" s="2" t="s">
        <v>2122</v>
      </c>
      <c r="C757" s="2" t="s">
        <v>2123</v>
      </c>
      <c r="D757" s="2" t="s">
        <v>26</v>
      </c>
      <c r="E757" s="2" t="s">
        <v>14</v>
      </c>
      <c r="F757" s="2" t="s">
        <v>15</v>
      </c>
      <c r="G757" s="2" t="s">
        <v>2124</v>
      </c>
      <c r="H757" s="2" t="s">
        <v>38</v>
      </c>
      <c r="I757" s="2" t="str">
        <f>IFERROR(__xludf.DUMMYFUNCTION("GOOGLETRANSLATE(C757,""fr"",""en"")"),"
Harmonie Mutuelle does not respect members, nobody answers the phone and when you finally have someone it hangs up on you.
Very very very bad mutual. Very bad reimbursements, while I pay an excessively high price of 87 euros for 1 adult.
A lack of ser"&amp;"ious mutual that I had to subscribe through the company in which I work.
I am still not reimbursed in accordance with the guarantees of my mutual health contract.
Mutual to flee!
")</f>
        <v>
Harmonie Mutuelle does not respect members, nobody answers the phone and when you finally have someone it hangs up on you.
Very very very bad mutual. Very bad reimbursements, while I pay an excessively high price of 87 euros for 1 adult.
A lack of serious mutual that I had to subscribe through the company in which I work.
I am still not reimbursed in accordance with the guarantees of my mutual health contract.
Mutual to flee!
</v>
      </c>
    </row>
    <row r="758" ht="15.75" customHeight="1">
      <c r="A758" s="2">
        <v>5.0</v>
      </c>
      <c r="B758" s="2" t="s">
        <v>2125</v>
      </c>
      <c r="C758" s="2" t="s">
        <v>2126</v>
      </c>
      <c r="D758" s="2" t="s">
        <v>41</v>
      </c>
      <c r="E758" s="2" t="s">
        <v>21</v>
      </c>
      <c r="F758" s="2" t="s">
        <v>15</v>
      </c>
      <c r="G758" s="2" t="s">
        <v>490</v>
      </c>
      <c r="H758" s="2" t="s">
        <v>55</v>
      </c>
      <c r="I758" s="2" t="str">
        <f>IFERROR(__xludf.DUMMYFUNCTION("GOOGLETRANSLATE(C758,""fr"",""en"")"),"Excellent value. Customer for ten years I have not encountered any problem either in terms of information and or in terms of clarity of the service")</f>
        <v>Excellent value. Customer for ten years I have not encountered any problem either in terms of information and or in terms of clarity of the service</v>
      </c>
    </row>
    <row r="759" ht="15.75" customHeight="1">
      <c r="A759" s="2">
        <v>5.0</v>
      </c>
      <c r="B759" s="2" t="s">
        <v>2127</v>
      </c>
      <c r="C759" s="2" t="s">
        <v>2128</v>
      </c>
      <c r="D759" s="2" t="s">
        <v>72</v>
      </c>
      <c r="E759" s="2" t="s">
        <v>21</v>
      </c>
      <c r="F759" s="2" t="s">
        <v>15</v>
      </c>
      <c r="G759" s="2" t="s">
        <v>2129</v>
      </c>
      <c r="H759" s="2" t="s">
        <v>55</v>
      </c>
      <c r="I759" s="2" t="str">
        <f>IFERROR(__xludf.DUMMYFUNCTION("GOOGLETRANSLATE(C759,""fr"",""en"")"),"The service was fast and the price that was offered to me allowed me to benefit from a reduction of almost € 100 on the insurance of my new vehicle")</f>
        <v>The service was fast and the price that was offered to me allowed me to benefit from a reduction of almost € 100 on the insurance of my new vehicle</v>
      </c>
    </row>
    <row r="760" ht="15.75" customHeight="1">
      <c r="A760" s="2">
        <v>2.0</v>
      </c>
      <c r="B760" s="2" t="s">
        <v>2130</v>
      </c>
      <c r="C760" s="2" t="s">
        <v>2131</v>
      </c>
      <c r="D760" s="2" t="s">
        <v>150</v>
      </c>
      <c r="E760" s="2" t="s">
        <v>122</v>
      </c>
      <c r="F760" s="2" t="s">
        <v>15</v>
      </c>
      <c r="G760" s="2" t="s">
        <v>983</v>
      </c>
      <c r="H760" s="2" t="s">
        <v>134</v>
      </c>
      <c r="I760" s="2" t="str">
        <f>IFERROR(__xludf.DUMMYFUNCTION("GOOGLETRANSLATE(C760,""fr"",""en"")"),"TO FLEE !!!!! My spouse had an accident on June 20, 2021. An email was sent to April the next day to declare the claim. 1 week later (06/28/2021), still no news. So I decide to call them, and the lady on the phone tells me that the email had still not bee"&amp;"n treated (knowing that the motorcycle was at the convenience store, and that we pay for each day where the motorcycle is there) . She therefore makes the sinister file on the phone, and tells me that the expert will come on Friday 02/07/2021 to the garag"&amp;"e that I choose. In this week there, still having no news, I decide to call the garage to see if the motorcycle has been deposited, and he tells me that no, I therefore call the convenience store and he tells me that the insurance had not recalled them be"&amp;"cause it is necessary to pay the guard costs before he placed the motorcycle. So I call April Moto, and he tells me that it is up to us to settle because he does not take care of, no one called us to warn us, we were Thursday and the expert had to spend t"&amp;"he next day. So I had to pay my pocket 360 € of guard costs because the insurance at 1 week to manage my file. And this morning (Friday 07/02/2021), the garage calls me to tell me that the expert passed the old man and that the motorcycle was not there so"&amp;" he replaced an appointment for Wednesday after . It is innadmissible, that no one is contacted to us to tell us that the expert could not pass on Friday (while we had confirmation by SMS). And on the phone I am told that it is like that, it was a compute"&amp;"r problem and that the expert is not on Friday. Hallucing this total lack of respect, no effort on the phone to settle the situation.
The price is good, it removes the money well every month, but when you have an accident it is more the same")</f>
        <v>TO FLEE !!!!! My spouse had an accident on June 20, 2021. An email was sent to April the next day to declare the claim. 1 week later (06/28/2021), still no news. So I decide to call them, and the lady on the phone tells me that the email had still not been treated (knowing that the motorcycle was at the convenience store, and that we pay for each day where the motorcycle is there) . She therefore makes the sinister file on the phone, and tells me that the expert will come on Friday 02/07/2021 to the garage that I choose. In this week there, still having no news, I decide to call the garage to see if the motorcycle has been deposited, and he tells me that no, I therefore call the convenience store and he tells me that the insurance had not recalled them because it is necessary to pay the guard costs before he placed the motorcycle. So I call April Moto, and he tells me that it is up to us to settle because he does not take care of, no one called us to warn us, we were Thursday and the expert had to spend the next day. So I had to pay my pocket 360 € of guard costs because the insurance at 1 week to manage my file. And this morning (Friday 07/02/2021), the garage calls me to tell me that the expert passed the old man and that the motorcycle was not there so he replaced an appointment for Wednesday after . It is innadmissible, that no one is contacted to us to tell us that the expert could not pass on Friday (while we had confirmation by SMS). And on the phone I am told that it is like that, it was a computer problem and that the expert is not on Friday. Hallucing this total lack of respect, no effort on the phone to settle the situation.
The price is good, it removes the money well every month, but when you have an accident it is more the same</v>
      </c>
    </row>
    <row r="761" ht="15.75" customHeight="1">
      <c r="A761" s="2">
        <v>2.0</v>
      </c>
      <c r="B761" s="2" t="s">
        <v>2132</v>
      </c>
      <c r="C761" s="2" t="s">
        <v>2133</v>
      </c>
      <c r="D761" s="2" t="s">
        <v>41</v>
      </c>
      <c r="E761" s="2" t="s">
        <v>21</v>
      </c>
      <c r="F761" s="2" t="s">
        <v>15</v>
      </c>
      <c r="G761" s="2" t="s">
        <v>2134</v>
      </c>
      <c r="H761" s="2" t="s">
        <v>166</v>
      </c>
      <c r="I761" s="2" t="str">
        <f>IFERROR(__xludf.DUMMYFUNCTION("GOOGLETRANSLATE(C761,""fr"",""en"")"),"Being a customer since 2009.Sans accident and performing less than 10,000kms per year. I have asked to review my current contract.")</f>
        <v>Being a customer since 2009.Sans accident and performing less than 10,000kms per year. I have asked to review my current contract.</v>
      </c>
    </row>
    <row r="762" ht="15.75" customHeight="1">
      <c r="A762" s="2">
        <v>1.0</v>
      </c>
      <c r="B762" s="2" t="s">
        <v>2135</v>
      </c>
      <c r="C762" s="2" t="s">
        <v>2136</v>
      </c>
      <c r="D762" s="2" t="s">
        <v>20</v>
      </c>
      <c r="E762" s="2" t="s">
        <v>21</v>
      </c>
      <c r="F762" s="2" t="s">
        <v>15</v>
      </c>
      <c r="G762" s="2" t="s">
        <v>2137</v>
      </c>
      <c r="H762" s="2" t="s">
        <v>231</v>
      </c>
      <c r="I762" s="2" t="str">
        <f>IFERROR(__xludf.DUMMYFUNCTION("GOOGLETRANSLATE(C762,""fr"",""en"")"),"A word of advice, never have a claim with this insurance !!!! Even the most minimal. Ice breakage on a insured vehicle at the Insurance Olivier. Replacement of the windshield at a non -partner garage. The reimbursement is not made in view of the invoice b"&amp;"ut in view of a encryption which is not even indicated or committed by the telephone advisers. I terminate my 2 car contracts with this insurer
")</f>
        <v>A word of advice, never have a claim with this insurance !!!! Even the most minimal. Ice breakage on a insured vehicle at the Insurance Olivier. Replacement of the windshield at a non -partner garage. The reimbursement is not made in view of the invoice but in view of a encryption which is not even indicated or committed by the telephone advisers. I terminate my 2 car contracts with this insurer
</v>
      </c>
    </row>
    <row r="763" ht="15.75" customHeight="1">
      <c r="A763" s="2">
        <v>1.0</v>
      </c>
      <c r="B763" s="2" t="s">
        <v>2138</v>
      </c>
      <c r="C763" s="2" t="s">
        <v>2139</v>
      </c>
      <c r="D763" s="2" t="s">
        <v>63</v>
      </c>
      <c r="E763" s="2" t="s">
        <v>14</v>
      </c>
      <c r="F763" s="2" t="s">
        <v>15</v>
      </c>
      <c r="G763" s="2" t="s">
        <v>1337</v>
      </c>
      <c r="H763" s="2" t="s">
        <v>23</v>
      </c>
      <c r="I763" s="2" t="str">
        <f>IFERROR(__xludf.DUMMYFUNCTION("GOOGLETRANSLATE(C763,""fr"",""en"")"),"I await a dental refund of € 630 uros, I call every week, impossible to obtain it. A catastrophe this mutual. When does he reimburse?")</f>
        <v>I await a dental refund of € 630 uros, I call every week, impossible to obtain it. A catastrophe this mutual. When does he reimburse?</v>
      </c>
    </row>
    <row r="764" ht="15.75" customHeight="1">
      <c r="A764" s="2">
        <v>1.0</v>
      </c>
      <c r="B764" s="2" t="s">
        <v>2140</v>
      </c>
      <c r="C764" s="2" t="s">
        <v>2141</v>
      </c>
      <c r="D764" s="2" t="s">
        <v>150</v>
      </c>
      <c r="E764" s="2" t="s">
        <v>122</v>
      </c>
      <c r="F764" s="2" t="s">
        <v>15</v>
      </c>
      <c r="G764" s="2" t="s">
        <v>2121</v>
      </c>
      <c r="H764" s="2" t="s">
        <v>55</v>
      </c>
      <c r="I764" s="2" t="str">
        <f>IFERROR(__xludf.DUMMYFUNCTION("GOOGLETRANSLATE(C764,""fr"",""en"")"),"I am satisfied with the rate, speed of the file and the advisers that I was informed
I hope that I would not be on my registration and that I should not cancel after in case where")</f>
        <v>I am satisfied with the rate, speed of the file and the advisers that I was informed
I hope that I would not be on my registration and that I should not cancel after in case where</v>
      </c>
    </row>
    <row r="765" ht="15.75" customHeight="1">
      <c r="A765" s="2">
        <v>4.0</v>
      </c>
      <c r="B765" s="2" t="s">
        <v>2142</v>
      </c>
      <c r="C765" s="2" t="s">
        <v>2143</v>
      </c>
      <c r="D765" s="2" t="s">
        <v>41</v>
      </c>
      <c r="E765" s="2" t="s">
        <v>21</v>
      </c>
      <c r="F765" s="2" t="s">
        <v>15</v>
      </c>
      <c r="G765" s="2" t="s">
        <v>2144</v>
      </c>
      <c r="H765" s="2" t="s">
        <v>51</v>
      </c>
      <c r="I765" s="2" t="str">
        <f>IFERROR(__xludf.DUMMYFUNCTION("GOOGLETRANSLATE(C765,""fr"",""en"")"),"I compared with several insurance companies, I did not find cheaper.
The guarantees seem correct and meet my expectations.
You just have to test.")</f>
        <v>I compared with several insurance companies, I did not find cheaper.
The guarantees seem correct and meet my expectations.
You just have to test.</v>
      </c>
    </row>
    <row r="766" ht="15.75" customHeight="1">
      <c r="A766" s="2">
        <v>5.0</v>
      </c>
      <c r="B766" s="2" t="s">
        <v>2145</v>
      </c>
      <c r="C766" s="2" t="s">
        <v>2146</v>
      </c>
      <c r="D766" s="2" t="s">
        <v>13</v>
      </c>
      <c r="E766" s="2" t="s">
        <v>14</v>
      </c>
      <c r="F766" s="2" t="s">
        <v>15</v>
      </c>
      <c r="G766" s="2" t="s">
        <v>583</v>
      </c>
      <c r="H766" s="2" t="s">
        <v>60</v>
      </c>
      <c r="I766" s="2" t="str">
        <f>IFERROR(__xludf.DUMMYFUNCTION("GOOGLETRANSLATE(C766,""fr"",""en"")"),"Hello
Following my interview today with my interlocutor Lamia concerning information on hospitalization, this person answered me clearly. She was very polite, it was really very pleasant. She explained everything to me. I thank her once again for this ve"&amp;"ry warm welcome.")</f>
        <v>Hello
Following my interview today with my interlocutor Lamia concerning information on hospitalization, this person answered me clearly. She was very polite, it was really very pleasant. She explained everything to me. I thank her once again for this very warm welcome.</v>
      </c>
    </row>
    <row r="767" ht="15.75" customHeight="1">
      <c r="A767" s="2">
        <v>1.0</v>
      </c>
      <c r="B767" s="2" t="s">
        <v>2147</v>
      </c>
      <c r="C767" s="2" t="s">
        <v>2148</v>
      </c>
      <c r="D767" s="2" t="s">
        <v>72</v>
      </c>
      <c r="E767" s="2" t="s">
        <v>21</v>
      </c>
      <c r="F767" s="2" t="s">
        <v>15</v>
      </c>
      <c r="G767" s="2" t="s">
        <v>1876</v>
      </c>
      <c r="H767" s="2" t="s">
        <v>55</v>
      </c>
      <c r="I767" s="2" t="str">
        <f>IFERROR(__xludf.DUMMYFUNCTION("GOOGLETRANSLATE(C767,""fr"",""en"")"),"The GMF brought me in its nets when I was well insured elsewhere, Total when it was necessary to be present this company flew away. A real disaster. For work in a kitchen following fire I have always been waiting for their craftsmen for 8 months. And lega"&amp;"l protection for another much more serious litigation Bah there the insurance disengages you leaving you alone. RUN AWAY")</f>
        <v>The GMF brought me in its nets when I was well insured elsewhere, Total when it was necessary to be present this company flew away. A real disaster. For work in a kitchen following fire I have always been waiting for their craftsmen for 8 months. And legal protection for another much more serious litigation Bah there the insurance disengages you leaving you alone. RUN AWAY</v>
      </c>
    </row>
    <row r="768" ht="15.75" customHeight="1">
      <c r="A768" s="2">
        <v>3.0</v>
      </c>
      <c r="B768" s="2" t="s">
        <v>2149</v>
      </c>
      <c r="C768" s="2" t="s">
        <v>2150</v>
      </c>
      <c r="D768" s="2" t="s">
        <v>20</v>
      </c>
      <c r="E768" s="2" t="s">
        <v>21</v>
      </c>
      <c r="F768" s="2" t="s">
        <v>15</v>
      </c>
      <c r="G768" s="2" t="s">
        <v>735</v>
      </c>
      <c r="H768" s="2" t="s">
        <v>47</v>
      </c>
      <c r="I768" s="2" t="str">
        <f>IFERROR(__xludf.DUMMYFUNCTION("GOOGLETRANSLATE(C768,""fr"",""en"")"),"The prices suit me except at the reimbursement level when you have a vehicle which must be compensated this is really a little too long unfortunately")</f>
        <v>The prices suit me except at the reimbursement level when you have a vehicle which must be compensated this is really a little too long unfortunately</v>
      </c>
    </row>
    <row r="769" ht="15.75" customHeight="1">
      <c r="A769" s="2">
        <v>5.0</v>
      </c>
      <c r="B769" s="2" t="s">
        <v>2151</v>
      </c>
      <c r="C769" s="2" t="s">
        <v>2152</v>
      </c>
      <c r="D769" s="2" t="s">
        <v>103</v>
      </c>
      <c r="E769" s="2" t="s">
        <v>104</v>
      </c>
      <c r="F769" s="2" t="s">
        <v>15</v>
      </c>
      <c r="G769" s="2" t="s">
        <v>461</v>
      </c>
      <c r="H769" s="2" t="s">
        <v>23</v>
      </c>
      <c r="I769" s="2" t="str">
        <f>IFERROR(__xludf.DUMMYFUNCTION("GOOGLETRANSLATE(C769,""fr"",""en"")"),"I am satisfied with the service :). The advisor I had on the phone was very kind. She knew how to guide us. Currently I pay 91EU insurance and change is top")</f>
        <v>I am satisfied with the service :). The advisor I had on the phone was very kind. She knew how to guide us. Currently I pay 91EU insurance and change is top</v>
      </c>
    </row>
    <row r="770" ht="15.75" customHeight="1">
      <c r="A770" s="2">
        <v>1.0</v>
      </c>
      <c r="B770" s="2" t="s">
        <v>2153</v>
      </c>
      <c r="C770" s="2" t="s">
        <v>2154</v>
      </c>
      <c r="D770" s="2" t="s">
        <v>315</v>
      </c>
      <c r="E770" s="2" t="s">
        <v>14</v>
      </c>
      <c r="F770" s="2" t="s">
        <v>15</v>
      </c>
      <c r="G770" s="2" t="s">
        <v>2155</v>
      </c>
      <c r="H770" s="2" t="s">
        <v>100</v>
      </c>
      <c r="I770" s="2" t="str">
        <f>IFERROR(__xludf.DUMMYFUNCTION("GOOGLETRANSLATE(C770,""fr"",""en"")"),"One of the worst insurers I had in my life, once a customer is no way of communicating with them, their site is completely bugged and unusable (however the only platform available to exchange)
No number! No postal address!
Expect a obstacle course if yo"&amp;"u want to terminate ...
I strongly advise against Mgen !!")</f>
        <v>One of the worst insurers I had in my life, once a customer is no way of communicating with them, their site is completely bugged and unusable (however the only platform available to exchange)
No number! No postal address!
Expect a obstacle course if you want to terminate ...
I strongly advise against Mgen !!</v>
      </c>
    </row>
    <row r="771" ht="15.75" customHeight="1">
      <c r="A771" s="2">
        <v>5.0</v>
      </c>
      <c r="B771" s="2" t="s">
        <v>2156</v>
      </c>
      <c r="C771" s="2" t="s">
        <v>2157</v>
      </c>
      <c r="D771" s="2" t="s">
        <v>20</v>
      </c>
      <c r="E771" s="2" t="s">
        <v>21</v>
      </c>
      <c r="F771" s="2" t="s">
        <v>15</v>
      </c>
      <c r="G771" s="2" t="s">
        <v>2158</v>
      </c>
      <c r="H771" s="2" t="s">
        <v>1068</v>
      </c>
      <c r="I771" s="2" t="str">
        <f>IFERROR(__xludf.DUMMYFUNCTION("GOOGLETRANSLATE(C771,""fr"",""en"")"),"Low price, pleasant advisers, I highly recommend this insurer, which is serious with young people, like the not so young. Everything is mastered! To see in time")</f>
        <v>Low price, pleasant advisers, I highly recommend this insurer, which is serious with young people, like the not so young. Everything is mastered! To see in time</v>
      </c>
    </row>
    <row r="772" ht="15.75" customHeight="1">
      <c r="A772" s="2">
        <v>2.0</v>
      </c>
      <c r="B772" s="2" t="s">
        <v>2159</v>
      </c>
      <c r="C772" s="2" t="s">
        <v>2160</v>
      </c>
      <c r="D772" s="2" t="s">
        <v>41</v>
      </c>
      <c r="E772" s="2" t="s">
        <v>21</v>
      </c>
      <c r="F772" s="2" t="s">
        <v>15</v>
      </c>
      <c r="G772" s="2" t="s">
        <v>2161</v>
      </c>
      <c r="H772" s="2" t="s">
        <v>134</v>
      </c>
      <c r="I772" s="2" t="str">
        <f>IFERROR(__xludf.DUMMYFUNCTION("GOOGLETRANSLATE(C772,""fr"",""en"")"),"Impossible to have them on the phone.
Unable to contact them.
Their number are not the right ones and send us to other insurances.
Impossible to terminate your contracts !!!")</f>
        <v>Impossible to have them on the phone.
Unable to contact them.
Their number are not the right ones and send us to other insurances.
Impossible to terminate your contracts !!!</v>
      </c>
    </row>
    <row r="773" ht="15.75" customHeight="1">
      <c r="A773" s="2">
        <v>4.0</v>
      </c>
      <c r="B773" s="2" t="s">
        <v>2162</v>
      </c>
      <c r="C773" s="2" t="s">
        <v>2163</v>
      </c>
      <c r="D773" s="2" t="s">
        <v>41</v>
      </c>
      <c r="E773" s="2" t="s">
        <v>21</v>
      </c>
      <c r="F773" s="2" t="s">
        <v>15</v>
      </c>
      <c r="G773" s="2" t="s">
        <v>2164</v>
      </c>
      <c r="H773" s="2" t="s">
        <v>42</v>
      </c>
      <c r="I773" s="2" t="str">
        <f>IFERROR(__xludf.DUMMYFUNCTION("GOOGLETRANSLATE(C773,""fr"",""en"")"),"I am widely satisfied with your service and the service of the AXA agency in Heronville Saint Clair (14)
For the subscription of this contract from their offices.")</f>
        <v>I am widely satisfied with your service and the service of the AXA agency in Heronville Saint Clair (14)
For the subscription of this contract from their offices.</v>
      </c>
    </row>
    <row r="774" ht="15.75" customHeight="1">
      <c r="A774" s="2">
        <v>4.0</v>
      </c>
      <c r="B774" s="2" t="s">
        <v>2165</v>
      </c>
      <c r="C774" s="2" t="s">
        <v>2166</v>
      </c>
      <c r="D774" s="2" t="s">
        <v>41</v>
      </c>
      <c r="E774" s="2" t="s">
        <v>21</v>
      </c>
      <c r="F774" s="2" t="s">
        <v>15</v>
      </c>
      <c r="G774" s="2" t="s">
        <v>1739</v>
      </c>
      <c r="H774" s="2" t="s">
        <v>42</v>
      </c>
      <c r="I774" s="2" t="str">
        <f>IFERROR(__xludf.DUMMYFUNCTION("GOOGLETRANSLATE(C774,""fr"",""en"")"),"I am satisfied with the service, the prices are correct. Whenever I called, my requests were taken into account. I have confidence in this insurance.")</f>
        <v>I am satisfied with the service, the prices are correct. Whenever I called, my requests were taken into account. I have confidence in this insurance.</v>
      </c>
    </row>
    <row r="775" ht="15.75" customHeight="1">
      <c r="A775" s="2">
        <v>1.0</v>
      </c>
      <c r="B775" s="2" t="s">
        <v>2167</v>
      </c>
      <c r="C775" s="2" t="s">
        <v>2168</v>
      </c>
      <c r="D775" s="2" t="s">
        <v>36</v>
      </c>
      <c r="E775" s="2" t="s">
        <v>58</v>
      </c>
      <c r="F775" s="2" t="s">
        <v>15</v>
      </c>
      <c r="G775" s="2" t="s">
        <v>2169</v>
      </c>
      <c r="H775" s="2" t="s">
        <v>265</v>
      </c>
      <c r="I775" s="2" t="str">
        <f>IFERROR(__xludf.DUMMYFUNCTION("GOOGLETRANSLATE(C775,""fr"",""en"")"),"If you think you do not have a claim or litigation, make sure you have the MAIF, the files are closed, by the employees, without any possibility of decision of the member, despite the passage of an independent expert.")</f>
        <v>If you think you do not have a claim or litigation, make sure you have the MAIF, the files are closed, by the employees, without any possibility of decision of the member, despite the passage of an independent expert.</v>
      </c>
    </row>
    <row r="776" ht="15.75" customHeight="1">
      <c r="A776" s="2">
        <v>5.0</v>
      </c>
      <c r="B776" s="2" t="s">
        <v>2170</v>
      </c>
      <c r="C776" s="2" t="s">
        <v>2171</v>
      </c>
      <c r="D776" s="2" t="s">
        <v>41</v>
      </c>
      <c r="E776" s="2" t="s">
        <v>21</v>
      </c>
      <c r="F776" s="2" t="s">
        <v>15</v>
      </c>
      <c r="G776" s="2" t="s">
        <v>531</v>
      </c>
      <c r="H776" s="2" t="s">
        <v>134</v>
      </c>
      <c r="I776" s="2" t="str">
        <f>IFERROR(__xludf.DUMMYFUNCTION("GOOGLETRANSLATE(C776,""fr"",""en"")"),"Very happy, the quote and the subscription were simple and quick. There is a choice in guarantees and options. The price is attractive. The advisers are available.")</f>
        <v>Very happy, the quote and the subscription were simple and quick. There is a choice in guarantees and options. The price is attractive. The advisers are available.</v>
      </c>
    </row>
    <row r="777" ht="15.75" customHeight="1">
      <c r="A777" s="2">
        <v>1.0</v>
      </c>
      <c r="B777" s="2" t="s">
        <v>2172</v>
      </c>
      <c r="C777" s="2" t="s">
        <v>2173</v>
      </c>
      <c r="D777" s="2" t="s">
        <v>121</v>
      </c>
      <c r="E777" s="2" t="s">
        <v>122</v>
      </c>
      <c r="F777" s="2" t="s">
        <v>15</v>
      </c>
      <c r="G777" s="2" t="s">
        <v>493</v>
      </c>
      <c r="H777" s="2" t="s">
        <v>74</v>
      </c>
      <c r="I777" s="2" t="str">
        <f>IFERROR(__xludf.DUMMYFUNCTION("GOOGLETRANSLATE(C777,""fr"",""en"")"),"I pay 4 times more expensive for a Beta 50cc from my son than for my Yamaha XTE 600cc to me it's still not normal and yet I still have 4 contracts with you.")</f>
        <v>I pay 4 times more expensive for a Beta 50cc from my son than for my Yamaha XTE 600cc to me it's still not normal and yet I still have 4 contracts with you.</v>
      </c>
    </row>
    <row r="778" ht="15.75" customHeight="1">
      <c r="A778" s="2">
        <v>5.0</v>
      </c>
      <c r="B778" s="2" t="s">
        <v>2174</v>
      </c>
      <c r="C778" s="2" t="s">
        <v>2175</v>
      </c>
      <c r="D778" s="2" t="s">
        <v>20</v>
      </c>
      <c r="E778" s="2" t="s">
        <v>21</v>
      </c>
      <c r="F778" s="2" t="s">
        <v>15</v>
      </c>
      <c r="G778" s="2" t="s">
        <v>2176</v>
      </c>
      <c r="H778" s="2" t="s">
        <v>320</v>
      </c>
      <c r="I778" s="2" t="str">
        <f>IFERROR(__xludf.DUMMYFUNCTION("GOOGLETRANSLATE(C778,""fr"",""en"")"),"Very good insurance, very good value for money. The exchange with the insurer via the application is a real plus and it is very fast. I recommend this insurance")</f>
        <v>Very good insurance, very good value for money. The exchange with the insurer via the application is a real plus and it is very fast. I recommend this insurance</v>
      </c>
    </row>
    <row r="779" ht="15.75" customHeight="1">
      <c r="A779" s="2">
        <v>1.0</v>
      </c>
      <c r="B779" s="2" t="s">
        <v>2177</v>
      </c>
      <c r="C779" s="2" t="s">
        <v>2178</v>
      </c>
      <c r="D779" s="2" t="s">
        <v>36</v>
      </c>
      <c r="E779" s="2" t="s">
        <v>21</v>
      </c>
      <c r="F779" s="2" t="s">
        <v>15</v>
      </c>
      <c r="G779" s="2" t="s">
        <v>863</v>
      </c>
      <c r="H779" s="2" t="s">
        <v>790</v>
      </c>
      <c r="I779" s="2" t="str">
        <f>IFERROR(__xludf.DUMMYFUNCTION("GOOGLETRANSLATE(C779,""fr"",""en"")"),"Management of disastrous claims of the MAIF with lack of advice, long response deadlines see zero especially after a car accident with injury, rude agents, refusal of assistance .... I regret so having subscribed to the MAIF. This is unnecessarily adding "&amp;"stress and new endless approaches. To avoid ! Even their Maif team leader reachable at number 01 39 67 65 81 come back to his commitments, does not bring you any support. Execrable service as possible. TO AVOID")</f>
        <v>Management of disastrous claims of the MAIF with lack of advice, long response deadlines see zero especially after a car accident with injury, rude agents, refusal of assistance .... I regret so having subscribed to the MAIF. This is unnecessarily adding stress and new endless approaches. To avoid ! Even their Maif team leader reachable at number 01 39 67 65 81 come back to his commitments, does not bring you any support. Execrable service as possible. TO AVOID</v>
      </c>
    </row>
    <row r="780" ht="15.75" customHeight="1">
      <c r="A780" s="2">
        <v>1.0</v>
      </c>
      <c r="B780" s="2" t="s">
        <v>2179</v>
      </c>
      <c r="C780" s="2" t="s">
        <v>2180</v>
      </c>
      <c r="D780" s="2" t="s">
        <v>164</v>
      </c>
      <c r="E780" s="2" t="s">
        <v>58</v>
      </c>
      <c r="F780" s="2" t="s">
        <v>15</v>
      </c>
      <c r="G780" s="2" t="s">
        <v>1167</v>
      </c>
      <c r="H780" s="2" t="s">
        <v>282</v>
      </c>
      <c r="I780" s="2" t="str">
        <f>IFERROR(__xludf.DUMMYFUNCTION("GOOGLETRANSLATE(C780,""fr"",""en"")"),"Branged on September 9, still not compensated, despite all the reminders, puts 3 different companies for almost equivalent quotes, the expert and the insurance does not take them into account")</f>
        <v>Branged on September 9, still not compensated, despite all the reminders, puts 3 different companies for almost equivalent quotes, the expert and the insurance does not take them into account</v>
      </c>
    </row>
    <row r="781" ht="15.75" customHeight="1">
      <c r="A781" s="2">
        <v>1.0</v>
      </c>
      <c r="B781" s="2" t="s">
        <v>2181</v>
      </c>
      <c r="C781" s="2" t="s">
        <v>2182</v>
      </c>
      <c r="D781" s="2" t="s">
        <v>20</v>
      </c>
      <c r="E781" s="2" t="s">
        <v>21</v>
      </c>
      <c r="F781" s="2" t="s">
        <v>15</v>
      </c>
      <c r="G781" s="2" t="s">
        <v>2183</v>
      </c>
      <c r="H781" s="2" t="s">
        <v>320</v>
      </c>
      <c r="I781" s="2" t="str">
        <f>IFERROR(__xludf.DUMMYFUNCTION("GOOGLETRANSLATE(C781,""fr"",""en"")"),"After a 1st year of insurance without any disaster, I constate an increase of almost 30% !! Inadmissible !!!! I find it even more mind -blowing, even though we are in the middle of a year of health crisis and my vehicle was immobilized for 2 months !!
")</f>
        <v>After a 1st year of insurance without any disaster, I constate an increase of almost 30% !! Inadmissible !!!! I find it even more mind -blowing, even though we are in the middle of a year of health crisis and my vehicle was immobilized for 2 months !!
</v>
      </c>
    </row>
    <row r="782" ht="15.75" customHeight="1">
      <c r="A782" s="2">
        <v>4.0</v>
      </c>
      <c r="B782" s="2" t="s">
        <v>2184</v>
      </c>
      <c r="C782" s="2" t="s">
        <v>2185</v>
      </c>
      <c r="D782" s="2" t="s">
        <v>20</v>
      </c>
      <c r="E782" s="2" t="s">
        <v>21</v>
      </c>
      <c r="F782" s="2" t="s">
        <v>15</v>
      </c>
      <c r="G782" s="2" t="s">
        <v>2027</v>
      </c>
      <c r="H782" s="2" t="s">
        <v>134</v>
      </c>
      <c r="I782" s="2" t="str">
        <f>IFERROR(__xludf.DUMMYFUNCTION("GOOGLETRANSLATE(C782,""fr"",""en"")"),"I am satisfied with the price although I find the monthly payment is a little expensive, otherwise clear and sympathetic personal information ...
Nothing to add more")</f>
        <v>I am satisfied with the price although I find the monthly payment is a little expensive, otherwise clear and sympathetic personal information ...
Nothing to add more</v>
      </c>
    </row>
    <row r="783" ht="15.75" customHeight="1">
      <c r="A783" s="2">
        <v>2.0</v>
      </c>
      <c r="B783" s="2" t="s">
        <v>2186</v>
      </c>
      <c r="C783" s="2" t="s">
        <v>2187</v>
      </c>
      <c r="D783" s="2" t="s">
        <v>26</v>
      </c>
      <c r="E783" s="2" t="s">
        <v>14</v>
      </c>
      <c r="F783" s="2" t="s">
        <v>15</v>
      </c>
      <c r="G783" s="2" t="s">
        <v>464</v>
      </c>
      <c r="H783" s="2" t="s">
        <v>465</v>
      </c>
      <c r="I783" s="2" t="str">
        <f>IFERROR(__xludf.DUMMYFUNCTION("GOOGLETRANSLATE(C783,""fr"",""en"")"),"Complementary health compulsory by my company.
The reimbursement rates are low, even by taking an option of the contract to extend and strengthen the coverage of the acts supported.
Refunds are long.
In agency, the staff cannot intervene on files becau"&amp;"se they only have access to individual contracts and not business contracts: you must telephone Paris or make a request by Internet - which precisely drags.")</f>
        <v>Complementary health compulsory by my company.
The reimbursement rates are low, even by taking an option of the contract to extend and strengthen the coverage of the acts supported.
Refunds are long.
In agency, the staff cannot intervene on files because they only have access to individual contracts and not business contracts: you must telephone Paris or make a request by Internet - which precisely drags.</v>
      </c>
    </row>
    <row r="784" ht="15.75" customHeight="1">
      <c r="A784" s="2">
        <v>1.0</v>
      </c>
      <c r="B784" s="2" t="s">
        <v>2188</v>
      </c>
      <c r="C784" s="2" t="s">
        <v>2189</v>
      </c>
      <c r="D784" s="2" t="s">
        <v>605</v>
      </c>
      <c r="E784" s="2" t="s">
        <v>195</v>
      </c>
      <c r="F784" s="2" t="s">
        <v>15</v>
      </c>
      <c r="G784" s="2" t="s">
        <v>22</v>
      </c>
      <c r="H784" s="2" t="s">
        <v>23</v>
      </c>
      <c r="I784" s="2" t="str">
        <f>IFERROR(__xludf.DUMMYFUNCTION("GOOGLETRANSLATE(C784,""fr"",""en"")"),"Yes run
It has been 25 years since we opened a MADELIN law Savings Retirement at home La Mondia A2GR
To recover our money spared he felled to open a per (peri contract) unlockable for a main residence which is our case he falated them among others a com"&amp;"promise signed a certificate of the notary confirming that it was indeed a main residence a certificate on honor etc etc they have all these papers see in several times because the first time excuse covid then TV work etc .... since December2020 we have b"&amp;"een waiting for our 25 -year savings as you apologize for rehearsal rehearsals
I promise you that I would never trust insurance again and still less run away")</f>
        <v>Yes run
It has been 25 years since we opened a MADELIN law Savings Retirement at home La Mondia A2GR
To recover our money spared he felled to open a per (peri contract) unlockable for a main residence which is our case he falated them among others a compromise signed a certificate of the notary confirming that it was indeed a main residence a certificate on honor etc etc they have all these papers see in several times because the first time excuse covid then TV work etc .... since December2020 we have been waiting for our 25 -year savings as you apologize for rehearsal rehearsals
I promise you that I would never trust insurance again and still less run away</v>
      </c>
    </row>
    <row r="785" ht="15.75" customHeight="1">
      <c r="A785" s="2">
        <v>5.0</v>
      </c>
      <c r="B785" s="2" t="s">
        <v>2190</v>
      </c>
      <c r="C785" s="2" t="s">
        <v>2191</v>
      </c>
      <c r="D785" s="2" t="s">
        <v>150</v>
      </c>
      <c r="E785" s="2" t="s">
        <v>122</v>
      </c>
      <c r="F785" s="2" t="s">
        <v>15</v>
      </c>
      <c r="G785" s="2" t="s">
        <v>633</v>
      </c>
      <c r="H785" s="2" t="s">
        <v>23</v>
      </c>
      <c r="I785" s="2" t="str">
        <f>IFERROR(__xludf.DUMMYFUNCTION("GOOGLETRANSLATE(C785,""fr"",""en"")"),"I am satisfied with the price for the services offered.
Ease to subscribe via the Internet
I had already been provided by April Moto and I was happy")</f>
        <v>I am satisfied with the price for the services offered.
Ease to subscribe via the Internet
I had already been provided by April Moto and I was happy</v>
      </c>
    </row>
    <row r="786" ht="15.75" customHeight="1">
      <c r="A786" s="2">
        <v>4.0</v>
      </c>
      <c r="B786" s="2" t="s">
        <v>2192</v>
      </c>
      <c r="C786" s="2" t="s">
        <v>2193</v>
      </c>
      <c r="D786" s="2" t="s">
        <v>20</v>
      </c>
      <c r="E786" s="2" t="s">
        <v>21</v>
      </c>
      <c r="F786" s="2" t="s">
        <v>15</v>
      </c>
      <c r="G786" s="2" t="s">
        <v>977</v>
      </c>
      <c r="H786" s="2" t="s">
        <v>47</v>
      </c>
      <c r="I786" s="2" t="str">
        <f>IFERROR(__xludf.DUMMYFUNCTION("GOOGLETRANSLATE(C786,""fr"",""en"")"),"Very reassuring insurance for the moment, a very attentive advisor, who rereads the contract in full with you. Prices are very attractive to competition")</f>
        <v>Very reassuring insurance for the moment, a very attentive advisor, who rereads the contract in full with you. Prices are very attractive to competition</v>
      </c>
    </row>
    <row r="787" ht="15.75" customHeight="1">
      <c r="A787" s="2">
        <v>2.0</v>
      </c>
      <c r="B787" s="2" t="s">
        <v>2194</v>
      </c>
      <c r="C787" s="2" t="s">
        <v>2195</v>
      </c>
      <c r="D787" s="2" t="s">
        <v>108</v>
      </c>
      <c r="E787" s="2" t="s">
        <v>21</v>
      </c>
      <c r="F787" s="2" t="s">
        <v>15</v>
      </c>
      <c r="G787" s="2" t="s">
        <v>1775</v>
      </c>
      <c r="H787" s="2" t="s">
        <v>786</v>
      </c>
      <c r="I787" s="2" t="str">
        <f>IFERROR(__xludf.DUMMYFUNCTION("GOOGLETRANSLATE(C787,""fr"",""en"")"),"What difficulty!
Request a lot of documents more than in other insurance. I have explained my difficulties several times to obtain certain documents, my opinion has not been taken into account. At the last moment despite the authenticity of my declaratio"&amp;"n during the quote, the amount of the latter is increased at the last moment. When I make a complaint I no longer have an answer and my account is closed. Obviously my case fees were taken. Run away ! Despite the attractive price, the quality of the servi"&amp;"ce is deplorable and lets the worst imagine during real sinister")</f>
        <v>What difficulty!
Request a lot of documents more than in other insurance. I have explained my difficulties several times to obtain certain documents, my opinion has not been taken into account. At the last moment despite the authenticity of my declaration during the quote, the amount of the latter is increased at the last moment. When I make a complaint I no longer have an answer and my account is closed. Obviously my case fees were taken. Run away ! Despite the attractive price, the quality of the service is deplorable and lets the worst imagine during real sinister</v>
      </c>
    </row>
    <row r="788" ht="15.75" customHeight="1">
      <c r="A788" s="2">
        <v>3.0</v>
      </c>
      <c r="B788" s="2" t="s">
        <v>2196</v>
      </c>
      <c r="C788" s="2" t="s">
        <v>2197</v>
      </c>
      <c r="D788" s="2" t="s">
        <v>41</v>
      </c>
      <c r="E788" s="2" t="s">
        <v>21</v>
      </c>
      <c r="F788" s="2" t="s">
        <v>15</v>
      </c>
      <c r="G788" s="2" t="s">
        <v>363</v>
      </c>
      <c r="H788" s="2" t="s">
        <v>51</v>
      </c>
      <c r="I788" s="2" t="str">
        <f>IFERROR(__xludf.DUMMYFUNCTION("GOOGLETRANSLATE(C788,""fr"",""en"")"),"Satisfied with the proposal, but it is in the event of a problem that we realize the quality of insurance. I obviously do not want to have to judge in more detail.")</f>
        <v>Satisfied with the proposal, but it is in the event of a problem that we realize the quality of insurance. I obviously do not want to have to judge in more detail.</v>
      </c>
    </row>
    <row r="789" ht="15.75" customHeight="1">
      <c r="A789" s="2">
        <v>1.0</v>
      </c>
      <c r="B789" s="2" t="s">
        <v>2198</v>
      </c>
      <c r="C789" s="2" t="s">
        <v>2199</v>
      </c>
      <c r="D789" s="2" t="s">
        <v>67</v>
      </c>
      <c r="E789" s="2" t="s">
        <v>21</v>
      </c>
      <c r="F789" s="2" t="s">
        <v>15</v>
      </c>
      <c r="G789" s="2" t="s">
        <v>1370</v>
      </c>
      <c r="H789" s="2" t="s">
        <v>309</v>
      </c>
      <c r="I789" s="2" t="str">
        <f>IFERROR(__xludf.DUMMYFUNCTION("GOOGLETRANSLATE(C789,""fr"",""en"")"),"To flee. Go your way; The lifetime bonus is good but if the incompetence of this insurer made that we have terminated all our contracts")</f>
        <v>To flee. Go your way; The lifetime bonus is good but if the incompetence of this insurer made that we have terminated all our contracts</v>
      </c>
    </row>
    <row r="790" ht="15.75" customHeight="1">
      <c r="A790" s="2">
        <v>5.0</v>
      </c>
      <c r="B790" s="2" t="s">
        <v>2200</v>
      </c>
      <c r="C790" s="2" t="s">
        <v>2201</v>
      </c>
      <c r="D790" s="2" t="s">
        <v>41</v>
      </c>
      <c r="E790" s="2" t="s">
        <v>21</v>
      </c>
      <c r="F790" s="2" t="s">
        <v>15</v>
      </c>
      <c r="G790" s="2" t="s">
        <v>971</v>
      </c>
      <c r="H790" s="2" t="s">
        <v>74</v>
      </c>
      <c r="I790" s="2" t="str">
        <f>IFERROR(__xludf.DUMMYFUNCTION("GOOGLETRANSLATE(C790,""fr"",""en"")"),"Perfect fast efficient, very easy to use site I recommend it in internet subscription, fluid, excellent price, full full risk formulas with options")</f>
        <v>Perfect fast efficient, very easy to use site I recommend it in internet subscription, fluid, excellent price, full full risk formulas with options</v>
      </c>
    </row>
    <row r="791" ht="15.75" customHeight="1">
      <c r="A791" s="2">
        <v>3.0</v>
      </c>
      <c r="B791" s="2" t="s">
        <v>2202</v>
      </c>
      <c r="C791" s="2" t="s">
        <v>2203</v>
      </c>
      <c r="D791" s="2" t="s">
        <v>63</v>
      </c>
      <c r="E791" s="2" t="s">
        <v>14</v>
      </c>
      <c r="F791" s="2" t="s">
        <v>15</v>
      </c>
      <c r="G791" s="2" t="s">
        <v>2204</v>
      </c>
      <c r="H791" s="2" t="s">
        <v>790</v>
      </c>
      <c r="I791" s="2" t="str">
        <f>IFERROR(__xludf.DUMMYFUNCTION("GOOGLETRANSLATE(C791,""fr"",""en"")"),"This mutual insurance company is still unable to publish its 2020 prices given the changes in social regulation. The responses of the call center are: the directors are on the subject and the decisions are not yet taken / from whom Mock do we? September 2"&amp;"4, we still don't know for January 1
to think that Mercer will very radiate her prices very radically to prevent her customers from terminating since two months are necessary before 12/31
I have big doubts about the practices of this mutual l
nation")</f>
        <v>This mutual insurance company is still unable to publish its 2020 prices given the changes in social regulation. The responses of the call center are: the directors are on the subject and the decisions are not yet taken / from whom Mock do we? September 24, we still don't know for January 1
to think that Mercer will very radiate her prices very radically to prevent her customers from terminating since two months are necessary before 12/31
I have big doubts about the practices of this mutual l
nation</v>
      </c>
    </row>
    <row r="792" ht="15.75" customHeight="1">
      <c r="A792" s="2">
        <v>4.0</v>
      </c>
      <c r="B792" s="2" t="s">
        <v>2205</v>
      </c>
      <c r="C792" s="2" t="s">
        <v>2206</v>
      </c>
      <c r="D792" s="2" t="s">
        <v>20</v>
      </c>
      <c r="E792" s="2" t="s">
        <v>21</v>
      </c>
      <c r="F792" s="2" t="s">
        <v>15</v>
      </c>
      <c r="G792" s="2" t="s">
        <v>2207</v>
      </c>
      <c r="H792" s="2" t="s">
        <v>51</v>
      </c>
      <c r="I792" s="2" t="str">
        <f>IFERROR(__xludf.DUMMYFUNCTION("GOOGLETRANSLATE(C792,""fr"",""en"")"),"I am satisfied with the telephonic service, the listening,
The price remains a little high but a good care in case of concerns.
The application also helps")</f>
        <v>I am satisfied with the telephonic service, the listening,
The price remains a little high but a good care in case of concerns.
The application also helps</v>
      </c>
    </row>
    <row r="793" ht="15.75" customHeight="1">
      <c r="A793" s="2">
        <v>1.0</v>
      </c>
      <c r="B793" s="2" t="s">
        <v>2208</v>
      </c>
      <c r="C793" s="2" t="s">
        <v>2209</v>
      </c>
      <c r="D793" s="2" t="s">
        <v>45</v>
      </c>
      <c r="E793" s="2" t="s">
        <v>2210</v>
      </c>
      <c r="F793" s="2" t="s">
        <v>15</v>
      </c>
      <c r="G793" s="2" t="s">
        <v>2211</v>
      </c>
      <c r="H793" s="2" t="s">
        <v>269</v>
      </c>
      <c r="I793" s="2" t="str">
        <f>IFERROR(__xludf.DUMMYFUNCTION("GOOGLETRANSLATE(C793,""fr"",""en"")"),"I have a decennial at April I received an increase of a thousand euro a year after a bonus to pay in December I sent my request for termination for price increase being in auto entrepreneur I can not pay so dear and since I have been in pole employment be"&amp;"cause Impossible to pay insurance at a rate in auto company but I received one of formal notice to pay before procedure here is my story if it can help in addition I sent a direct email to this site where they answer but not Answer")</f>
        <v>I have a decennial at April I received an increase of a thousand euro a year after a bonus to pay in December I sent my request for termination for price increase being in auto entrepreneur I can not pay so dear and since I have been in pole employment because Impossible to pay insurance at a rate in auto company but I received one of formal notice to pay before procedure here is my story if it can help in addition I sent a direct email to this site where they answer but not Answer</v>
      </c>
    </row>
    <row r="794" ht="15.75" customHeight="1">
      <c r="A794" s="2">
        <v>1.0</v>
      </c>
      <c r="B794" s="2" t="s">
        <v>2212</v>
      </c>
      <c r="C794" s="2" t="s">
        <v>2213</v>
      </c>
      <c r="D794" s="2" t="s">
        <v>216</v>
      </c>
      <c r="E794" s="2" t="s">
        <v>195</v>
      </c>
      <c r="F794" s="2" t="s">
        <v>15</v>
      </c>
      <c r="G794" s="2" t="s">
        <v>2214</v>
      </c>
      <c r="H794" s="2" t="s">
        <v>241</v>
      </c>
      <c r="I794" s="2" t="str">
        <f>IFERROR(__xludf.DUMMYFUNCTION("GOOGLETRANSLATE(C794,""fr"",""en"")"),"Organization not holding its commitments, however written in the information notice when signing the contract
Unclean annuity each year unlike article 5.1 of their information notice
By cons no worries, contributions increase
Do not really answer the q"&amp;"uestions asked by registered letter: the answers are out of topic: we ask why the annuity is not revalued, we answer you by justifying the increase in contributions
think carefully before signing a contract with this organization
")</f>
        <v>Organization not holding its commitments, however written in the information notice when signing the contract
Unclean annuity each year unlike article 5.1 of their information notice
By cons no worries, contributions increase
Do not really answer the questions asked by registered letter: the answers are out of topic: we ask why the annuity is not revalued, we answer you by justifying the increase in contributions
think carefully before signing a contract with this organization
</v>
      </c>
    </row>
    <row r="795" ht="15.75" customHeight="1">
      <c r="A795" s="2">
        <v>1.0</v>
      </c>
      <c r="B795" s="2" t="s">
        <v>2215</v>
      </c>
      <c r="C795" s="2" t="s">
        <v>2216</v>
      </c>
      <c r="D795" s="2" t="s">
        <v>41</v>
      </c>
      <c r="E795" s="2" t="s">
        <v>58</v>
      </c>
      <c r="F795" s="2" t="s">
        <v>15</v>
      </c>
      <c r="G795" s="2" t="s">
        <v>2217</v>
      </c>
      <c r="H795" s="2" t="s">
        <v>78</v>
      </c>
      <c r="I795" s="2" t="str">
        <f>IFERROR(__xludf.DUMMYFUNCTION("GOOGLETRANSLATE(C795,""fr"",""en"")"),"Competitive price, but you can quite easily get an alignment of their competitors with their prices")</f>
        <v>Competitive price, but you can quite easily get an alignment of their competitors with their prices</v>
      </c>
    </row>
    <row r="796" ht="15.75" customHeight="1">
      <c r="A796" s="2">
        <v>1.0</v>
      </c>
      <c r="B796" s="2" t="s">
        <v>2218</v>
      </c>
      <c r="C796" s="2" t="s">
        <v>2219</v>
      </c>
      <c r="D796" s="2" t="s">
        <v>31</v>
      </c>
      <c r="E796" s="2" t="s">
        <v>21</v>
      </c>
      <c r="F796" s="2" t="s">
        <v>15</v>
      </c>
      <c r="G796" s="2" t="s">
        <v>2220</v>
      </c>
      <c r="H796" s="2" t="s">
        <v>197</v>
      </c>
      <c r="I796" s="2" t="str">
        <f>IFERROR(__xludf.DUMMYFUNCTION("GOOGLETRANSLATE(C796,""fr"",""en"")"),"Client for 50 years! It is no longer the Macif that I have known in every way. Several contracts including a 50 % bonus automobile for a very long time, prime maximum good driver. It took a storm recently that raised the hood of my vehicle to realize that"&amp;" I was a milk cow! The advisor did not even try to know if I was the victim of a natural disaster, nor the circumstances of the disaster. He immediately refused any compensation. I looked for another insurer. I have paid for many years insurance sometimes"&amp;" 3 times more expensive than elsewhere and among the biggest! Ditto for other contracts. It takes a claim to judge insurance. This is why I stayed 50 years with them! They lost confidence.")</f>
        <v>Client for 50 years! It is no longer the Macif that I have known in every way. Several contracts including a 50 % bonus automobile for a very long time, prime maximum good driver. It took a storm recently that raised the hood of my vehicle to realize that I was a milk cow! The advisor did not even try to know if I was the victim of a natural disaster, nor the circumstances of the disaster. He immediately refused any compensation. I looked for another insurer. I have paid for many years insurance sometimes 3 times more expensive than elsewhere and among the biggest! Ditto for other contracts. It takes a claim to judge insurance. This is why I stayed 50 years with them! They lost confidence.</v>
      </c>
    </row>
    <row r="797" ht="15.75" customHeight="1">
      <c r="A797" s="2">
        <v>2.0</v>
      </c>
      <c r="B797" s="2" t="s">
        <v>2221</v>
      </c>
      <c r="C797" s="2" t="s">
        <v>2222</v>
      </c>
      <c r="D797" s="2" t="s">
        <v>605</v>
      </c>
      <c r="E797" s="2" t="s">
        <v>195</v>
      </c>
      <c r="F797" s="2" t="s">
        <v>15</v>
      </c>
      <c r="G797" s="2" t="s">
        <v>1144</v>
      </c>
      <c r="H797" s="2" t="s">
        <v>60</v>
      </c>
      <c r="I797" s="2" t="str">
        <f>IFERROR(__xludf.DUMMYFUNCTION("GOOGLETRANSLATE(C797,""fr"",""en"")"),"Very disappointed with AG2R La Mondiale. Five stars for the punctuality of the withdrawal of contributions. Rest assured that your account will be debited in time.
But if you have a profile, for services, it's a hassle.
From the start of my wife's judgm"&amp;"ent, we discovered compensation deadlines "". If you need this additional"" incapacity ""income to live, do not count on them, they only pay after weeks , or even months. And they must be restarted.
The pinnacle is then reached. It has been classified as"&amp;" a 2nd category disability by the security for a year, but it has not touched a penny of the insurer. Not a penny. Because it is AG2R La Mondiale who decides if you are really disabled. The opinion of your Toubib, the occupational doctor, your specialist,"&amp;" the decision of the doctor of the CPAM, all that does not count. Only ""expert"" doctors designated by them can decide if you are entitled to any compensation. And it takes time, a lot of time to meet them.
Much better, after a year of disability, AG2R "&amp;"La Mondiale does not hesitate to request the reimbursement of part of the compensation paid during the incapacity and the work stoppage. Yes, yes, it's not a fake. We keep this adorable document preciously, which will be shown in all insurance schools and"&amp;" to supervise.")</f>
        <v>Very disappointed with AG2R La Mondiale. Five stars for the punctuality of the withdrawal of contributions. Rest assured that your account will be debited in time.
But if you have a profile, for services, it's a hassle.
From the start of my wife's judgment, we discovered compensation deadlines ". If you need this additional" incapacity "income to live, do not count on them, they only pay after weeks , or even months. And they must be restarted.
The pinnacle is then reached. It has been classified as a 2nd category disability by the security for a year, but it has not touched a penny of the insurer. Not a penny. Because it is AG2R La Mondiale who decides if you are really disabled. The opinion of your Toubib, the occupational doctor, your specialist, the decision of the doctor of the CPAM, all that does not count. Only "expert" doctors designated by them can decide if you are entitled to any compensation. And it takes time, a lot of time to meet them.
Much better, after a year of disability, AG2R La Mondiale does not hesitate to request the reimbursement of part of the compensation paid during the incapacity and the work stoppage. Yes, yes, it's not a fake. We keep this adorable document preciously, which will be shown in all insurance schools and to supervise.</v>
      </c>
    </row>
    <row r="798" ht="15.75" customHeight="1">
      <c r="A798" s="2">
        <v>4.0</v>
      </c>
      <c r="B798" s="2" t="s">
        <v>2223</v>
      </c>
      <c r="C798" s="2" t="s">
        <v>2224</v>
      </c>
      <c r="D798" s="2" t="s">
        <v>41</v>
      </c>
      <c r="E798" s="2" t="s">
        <v>21</v>
      </c>
      <c r="F798" s="2" t="s">
        <v>15</v>
      </c>
      <c r="G798" s="2" t="s">
        <v>179</v>
      </c>
      <c r="H798" s="2" t="s">
        <v>55</v>
      </c>
      <c r="I798" s="2" t="str">
        <f>IFERROR(__xludf.DUMMYFUNCTION("GOOGLETRANSLATE(C798,""fr"",""en"")"),"The price suits me for a vehicle of this age and the few kilometers at the year to see the use of convenience and prices to come in the coming years")</f>
        <v>The price suits me for a vehicle of this age and the few kilometers at the year to see the use of convenience and prices to come in the coming years</v>
      </c>
    </row>
    <row r="799" ht="15.75" customHeight="1">
      <c r="A799" s="2">
        <v>2.0</v>
      </c>
      <c r="B799" s="2" t="s">
        <v>2225</v>
      </c>
      <c r="C799" s="2" t="s">
        <v>2226</v>
      </c>
      <c r="D799" s="2" t="s">
        <v>395</v>
      </c>
      <c r="E799" s="2" t="s">
        <v>21</v>
      </c>
      <c r="F799" s="2" t="s">
        <v>15</v>
      </c>
      <c r="G799" s="2" t="s">
        <v>2227</v>
      </c>
      <c r="H799" s="2" t="s">
        <v>166</v>
      </c>
      <c r="I799" s="2" t="str">
        <f>IFERROR(__xludf.DUMMYFUNCTION("GOOGLETRANSLATE(C799,""fr"",""en"")"),"Hello March 4, I subscribe to all risks auto insurance on July 14 at the evening Ver 11:23:230 pm Break all my expert tiles Pass insurance pay for me sinister finish contract now supposed to have made a mistake on my payment of the car have asked me for 5"&amp;"75 euros. No cars rehearsal error on my file and customer service has desired.
   ")</f>
        <v>Hello March 4, I subscribe to all risks auto insurance on July 14 at the evening Ver 11:23:230 pm Break all my expert tiles Pass insurance pay for me sinister finish contract now supposed to have made a mistake on my payment of the car have asked me for 575 euros. No cars rehearsal error on my file and customer service has desired.
   </v>
      </c>
    </row>
    <row r="800" ht="15.75" customHeight="1">
      <c r="A800" s="2">
        <v>2.0</v>
      </c>
      <c r="B800" s="2" t="s">
        <v>2228</v>
      </c>
      <c r="C800" s="2" t="s">
        <v>2229</v>
      </c>
      <c r="D800" s="2" t="s">
        <v>31</v>
      </c>
      <c r="E800" s="2" t="s">
        <v>58</v>
      </c>
      <c r="F800" s="2" t="s">
        <v>15</v>
      </c>
      <c r="G800" s="2" t="s">
        <v>2230</v>
      </c>
      <c r="H800" s="2" t="s">
        <v>144</v>
      </c>
      <c r="I800" s="2" t="str">
        <f>IFERROR(__xludf.DUMMYFUNCTION("GOOGLETRANSLATE(C800,""fr"",""en"")"),"I had a bicycle accident, which left traces both physical and material, I contacted the Macif, a bailiff came to noted the damage and sent a favorable report in reasons of the circumstances. In a telephone and email, for a month I have been in contact wit"&amp;"h the Macif so that I can be reimbursed. I am a confirmed cyclist and needs his bike for cycling and training races. The expensive, torn clothes asked to be sent by email, supporting photos to hear me say that ultimately they will not be reimbursed! As fo"&amp;"r the purchase of another bike, we do not know when I will be able to acquire a new view of the slowness of the reimbursement! I am lugged from right to left, and the answers are never identical! The fall could have been fatal given the circumstances and "&amp;"the state of the bicycle, the wounds and hematomas, but what does it matter? This is not your concern given your answers!")</f>
        <v>I had a bicycle accident, which left traces both physical and material, I contacted the Macif, a bailiff came to noted the damage and sent a favorable report in reasons of the circumstances. In a telephone and email, for a month I have been in contact with the Macif so that I can be reimbursed. I am a confirmed cyclist and needs his bike for cycling and training races. The expensive, torn clothes asked to be sent by email, supporting photos to hear me say that ultimately they will not be reimbursed! As for the purchase of another bike, we do not know when I will be able to acquire a new view of the slowness of the reimbursement! I am lugged from right to left, and the answers are never identical! The fall could have been fatal given the circumstances and the state of the bicycle, the wounds and hematomas, but what does it matter? This is not your concern given your answers!</v>
      </c>
    </row>
    <row r="801" ht="15.75" customHeight="1">
      <c r="A801" s="2">
        <v>3.0</v>
      </c>
      <c r="B801" s="2" t="s">
        <v>2231</v>
      </c>
      <c r="C801" s="2" t="s">
        <v>2232</v>
      </c>
      <c r="D801" s="2" t="s">
        <v>67</v>
      </c>
      <c r="E801" s="2" t="s">
        <v>21</v>
      </c>
      <c r="F801" s="2" t="s">
        <v>15</v>
      </c>
      <c r="G801" s="2" t="s">
        <v>2233</v>
      </c>
      <c r="H801" s="2" t="s">
        <v>465</v>
      </c>
      <c r="I801" s="2" t="str">
        <f>IFERROR(__xludf.DUMMYFUNCTION("GOOGLETRANSLATE(C801,""fr"",""en"")"),"Interesting when you want to ensure a big displacement provided you can justify an information statement with a good driver's priority ... On the other hand the day you change insurance they establish a statement with a valid bonus on January 1 'Year of y"&amp;"our change. Which makes you lose all your years of good driver")</f>
        <v>Interesting when you want to ensure a big displacement provided you can justify an information statement with a good driver's priority ... On the other hand the day you change insurance they establish a statement with a valid bonus on January 1 'Year of your change. Which makes you lose all your years of good driver</v>
      </c>
    </row>
    <row r="802" ht="15.75" customHeight="1">
      <c r="A802" s="2">
        <v>3.0</v>
      </c>
      <c r="B802" s="2" t="s">
        <v>2234</v>
      </c>
      <c r="C802" s="2" t="s">
        <v>2235</v>
      </c>
      <c r="D802" s="2" t="s">
        <v>41</v>
      </c>
      <c r="E802" s="2" t="s">
        <v>21</v>
      </c>
      <c r="F802" s="2" t="s">
        <v>15</v>
      </c>
      <c r="G802" s="2" t="s">
        <v>523</v>
      </c>
      <c r="H802" s="2" t="s">
        <v>42</v>
      </c>
      <c r="I802" s="2" t="str">
        <f>IFERROR(__xludf.DUMMYFUNCTION("GOOGLETRANSLATE(C802,""fr"",""en"")"),"Your prices are super attractive when subscribing to the contract but alas, the following year the prices increased each year and this without any claim is really not at all normal. Of more this year with a very significant drop in the number Accidents li"&amp;"nked to the non -use of vehicles for long periods of containment, this increases in the same !!!!")</f>
        <v>Your prices are super attractive when subscribing to the contract but alas, the following year the prices increased each year and this without any claim is really not at all normal. Of more this year with a very significant drop in the number Accidents linked to the non -use of vehicles for long periods of containment, this increases in the same !!!!</v>
      </c>
    </row>
    <row r="803" ht="15.75" customHeight="1">
      <c r="A803" s="2">
        <v>4.0</v>
      </c>
      <c r="B803" s="2" t="s">
        <v>2236</v>
      </c>
      <c r="C803" s="2" t="s">
        <v>2237</v>
      </c>
      <c r="D803" s="2" t="s">
        <v>592</v>
      </c>
      <c r="E803" s="2" t="s">
        <v>14</v>
      </c>
      <c r="F803" s="2" t="s">
        <v>15</v>
      </c>
      <c r="G803" s="2" t="s">
        <v>2238</v>
      </c>
      <c r="H803" s="2" t="s">
        <v>241</v>
      </c>
      <c r="I803" s="2" t="str">
        <f>IFERROR(__xludf.DUMMYFUNCTION("GOOGLETRANSLATE(C803,""fr"",""en"")"),"Do not change anything! I am quite satisfied with the services that you offer me will my mutual increase at the time of my retirement in 2023 Ci yes of how much? Thanks for your advices ! Best regards")</f>
        <v>Do not change anything! I am quite satisfied with the services that you offer me will my mutual increase at the time of my retirement in 2023 Ci yes of how much? Thanks for your advices ! Best regards</v>
      </c>
    </row>
    <row r="804" ht="15.75" customHeight="1">
      <c r="A804" s="2">
        <v>4.0</v>
      </c>
      <c r="B804" s="2" t="s">
        <v>2239</v>
      </c>
      <c r="C804" s="2" t="s">
        <v>2240</v>
      </c>
      <c r="D804" s="2" t="s">
        <v>41</v>
      </c>
      <c r="E804" s="2" t="s">
        <v>21</v>
      </c>
      <c r="F804" s="2" t="s">
        <v>15</v>
      </c>
      <c r="G804" s="2" t="s">
        <v>755</v>
      </c>
      <c r="H804" s="2" t="s">
        <v>42</v>
      </c>
      <c r="I804" s="2" t="str">
        <f>IFERROR(__xludf.DUMMYFUNCTION("GOOGLETRANSLATE(C804,""fr"",""en"")"),"I'm satisfied ....
It is fast, effective, simple, I hope not to be deceived in the realization of the quote and not be disappointed in case of problems .......... thank you")</f>
        <v>I'm satisfied ....
It is fast, effective, simple, I hope not to be deceived in the realization of the quote and not be disappointed in case of problems .......... thank you</v>
      </c>
    </row>
    <row r="805" ht="15.75" customHeight="1">
      <c r="A805" s="2">
        <v>4.0</v>
      </c>
      <c r="B805" s="2" t="s">
        <v>2241</v>
      </c>
      <c r="C805" s="2" t="s">
        <v>2242</v>
      </c>
      <c r="D805" s="2" t="s">
        <v>20</v>
      </c>
      <c r="E805" s="2" t="s">
        <v>21</v>
      </c>
      <c r="F805" s="2" t="s">
        <v>15</v>
      </c>
      <c r="G805" s="2" t="s">
        <v>2243</v>
      </c>
      <c r="H805" s="2" t="s">
        <v>33</v>
      </c>
      <c r="I805" s="2" t="str">
        <f>IFERROR(__xludf.DUMMYFUNCTION("GOOGLETRANSLATE(C805,""fr"",""en"")"),"Insured for more than 2 years; And very satisfied. The prices are interesting. Total management in the event of repair.")</f>
        <v>Insured for more than 2 years; And very satisfied. The prices are interesting. Total management in the event of repair.</v>
      </c>
    </row>
    <row r="806" ht="15.75" customHeight="1">
      <c r="A806" s="2">
        <v>4.0</v>
      </c>
      <c r="B806" s="2" t="s">
        <v>2244</v>
      </c>
      <c r="C806" s="2" t="s">
        <v>2245</v>
      </c>
      <c r="D806" s="2" t="s">
        <v>67</v>
      </c>
      <c r="E806" s="2" t="s">
        <v>21</v>
      </c>
      <c r="F806" s="2" t="s">
        <v>15</v>
      </c>
      <c r="G806" s="2" t="s">
        <v>2246</v>
      </c>
      <c r="H806" s="2" t="s">
        <v>416</v>
      </c>
      <c r="I806" s="2" t="str">
        <f>IFERROR(__xludf.DUMMYFUNCTION("GOOGLETRANSLATE(C806,""fr"",""en"")"),"Nice advisor on the phone, pleasant. Proposal for a third correct car overall. So we have all our insurance at the MAAF, that simplifies things.")</f>
        <v>Nice advisor on the phone, pleasant. Proposal for a third correct car overall. So we have all our insurance at the MAAF, that simplifies things.</v>
      </c>
    </row>
    <row r="807" ht="15.75" customHeight="1">
      <c r="A807" s="2">
        <v>1.0</v>
      </c>
      <c r="B807" s="2" t="s">
        <v>2247</v>
      </c>
      <c r="C807" s="2" t="s">
        <v>2248</v>
      </c>
      <c r="D807" s="2" t="s">
        <v>36</v>
      </c>
      <c r="E807" s="2" t="s">
        <v>58</v>
      </c>
      <c r="F807" s="2" t="s">
        <v>15</v>
      </c>
      <c r="G807" s="2" t="s">
        <v>16</v>
      </c>
      <c r="H807" s="2" t="s">
        <v>17</v>
      </c>
      <c r="I807" s="2" t="str">
        <f>IFERROR(__xludf.DUMMYFUNCTION("GOOGLETRANSLATE(C807,""fr"",""en"")"),"Hello
Total fire of a studio I owned and adjoins at my home at the end of May. 7 months later the claim did not advance anyway as far as I am concerned. First meeting of experts at the end of August 3 months later repair quote with order form to sign mid"&amp;" October. Then nothing. In early December after many new calls for experts and since then nothing more. The maif repeats me in a loop that it advances but for my part loss to date to 2800 € of rent that I need to live. No expert report and no restoration "&amp;"of the studio is envisaged. On the side of my home which was damaged the MAIF passed 825 € which I had however refused because they did not correspond at all to the damage. VMC Water -signed Walls Electricity Paintings.
In addition, the rainwater infiltr"&amp;"ation damage in the ceiling due to burnt calandrite are extended because no emergency work has been undertaken for 7 months.
MAIF can always be reached by phone but it does not advance anything and their expert is extremely unpleasant and question my wor"&amp;"ds concerning damage.")</f>
        <v>Hello
Total fire of a studio I owned and adjoins at my home at the end of May. 7 months later the claim did not advance anyway as far as I am concerned. First meeting of experts at the end of August 3 months later repair quote with order form to sign mid October. Then nothing. In early December after many new calls for experts and since then nothing more. The maif repeats me in a loop that it advances but for my part loss to date to 2800 € of rent that I need to live. No expert report and no restoration of the studio is envisaged. On the side of my home which was damaged the MAIF passed 825 € which I had however refused because they did not correspond at all to the damage. VMC Water -signed Walls Electricity Paintings.
In addition, the rainwater infiltration damage in the ceiling due to burnt calandrite are extended because no emergency work has been undertaken for 7 months.
MAIF can always be reached by phone but it does not advance anything and their expert is extremely unpleasant and question my words concerning damage.</v>
      </c>
    </row>
    <row r="808" ht="15.75" customHeight="1">
      <c r="A808" s="2">
        <v>4.0</v>
      </c>
      <c r="B808" s="2" t="s">
        <v>2249</v>
      </c>
      <c r="C808" s="2" t="s">
        <v>2250</v>
      </c>
      <c r="D808" s="2" t="s">
        <v>45</v>
      </c>
      <c r="E808" s="2" t="s">
        <v>14</v>
      </c>
      <c r="F808" s="2" t="s">
        <v>15</v>
      </c>
      <c r="G808" s="2" t="s">
        <v>173</v>
      </c>
      <c r="H808" s="2" t="s">
        <v>47</v>
      </c>
      <c r="I808" s="2" t="str">
        <f>IFERROR(__xludf.DUMMYFUNCTION("GOOGLETRANSLATE(C808,""fr"",""en"")"),"Fast and efficient service, I highly recommend, prices are more than reasonable, and the ease of subscription too, I recommend without hesitation for a guarantee adapted to each")</f>
        <v>Fast and efficient service, I highly recommend, prices are more than reasonable, and the ease of subscription too, I recommend without hesitation for a guarantee adapted to each</v>
      </c>
    </row>
    <row r="809" ht="15.75" customHeight="1">
      <c r="A809" s="2">
        <v>1.0</v>
      </c>
      <c r="B809" s="2" t="s">
        <v>2251</v>
      </c>
      <c r="C809" s="2" t="s">
        <v>2252</v>
      </c>
      <c r="D809" s="2" t="s">
        <v>31</v>
      </c>
      <c r="E809" s="2" t="s">
        <v>21</v>
      </c>
      <c r="F809" s="2" t="s">
        <v>15</v>
      </c>
      <c r="G809" s="2" t="s">
        <v>2253</v>
      </c>
      <c r="H809" s="2" t="s">
        <v>166</v>
      </c>
      <c r="I809" s="2" t="str">
        <f>IFERROR(__xludf.DUMMYFUNCTION("GOOGLETRANSLATE(C809,""fr"",""en"")"),"Customer of then shortly with the Macif, to ensure my motorhome, I have the unlucky enough to undergo a natural hail disaster which has seriously damaged the vehicle.
After waiting for a lot of time for it to be appraised (what can be understood, given t"&amp;"he number of victims), we no longer had the slightest news of the Macif for the loss settlement.
It was very difficult to reach their telephone platform to try to obtain an explanation on this subject.
When I was finally able to have an advisor, he told"&amp;" me that he was initiating the final payment of this disaster and that the settlement would be a few days later on my account.
Except to date still no regulations have been made from them !!!!
It is completely exasperating, because not content with unde"&amp;"rgoing damage on a vehicle, it is also necessary to fight to be able to join this insurance by phone and in addition they do not keep their commitments !!!
I think that our relationship with this insurance will be short -lived, because when it comes to p"&amp;"aying our contributions it is better to be in time, on the other hand to be reimbursed for a disaster, the Macif is much less punctual !!!")</f>
        <v>Customer of then shortly with the Macif, to ensure my motorhome, I have the unlucky enough to undergo a natural hail disaster which has seriously damaged the vehicle.
After waiting for a lot of time for it to be appraised (what can be understood, given the number of victims), we no longer had the slightest news of the Macif for the loss settlement.
It was very difficult to reach their telephone platform to try to obtain an explanation on this subject.
When I was finally able to have an advisor, he told me that he was initiating the final payment of this disaster and that the settlement would be a few days later on my account.
Except to date still no regulations have been made from them !!!!
It is completely exasperating, because not content with undergoing damage on a vehicle, it is also necessary to fight to be able to join this insurance by phone and in addition they do not keep their commitments !!!
I think that our relationship with this insurance will be short -lived, because when it comes to paying our contributions it is better to be in time, on the other hand to be reimbursed for a disaster, the Macif is much less punctual !!!</v>
      </c>
    </row>
    <row r="810" ht="15.75" customHeight="1">
      <c r="A810" s="2">
        <v>4.0</v>
      </c>
      <c r="B810" s="2" t="s">
        <v>2254</v>
      </c>
      <c r="C810" s="2" t="s">
        <v>2255</v>
      </c>
      <c r="D810" s="2" t="s">
        <v>678</v>
      </c>
      <c r="E810" s="2" t="s">
        <v>21</v>
      </c>
      <c r="F810" s="2" t="s">
        <v>15</v>
      </c>
      <c r="G810" s="2" t="s">
        <v>2256</v>
      </c>
      <c r="H810" s="2" t="s">
        <v>209</v>
      </c>
      <c r="I810" s="2" t="str">
        <f>IFERROR(__xludf.DUMMYFUNCTION("GOOGLETRANSLATE(C810,""fr"",""en"")"),"No claim for almost 1 year at home so difficult to assess.
Obtained good price/guarantees report with promo 2 months offered via subscription veepee offer at the end of 2018 (from Direct Insurance which has good prices too but rather high variable franch"&amp;"ises and which does not cover punctures excluding highway even in all risks unfortunately Among others!) For 417th stored instead of 500th for Clio 4 Diesel of 2015")</f>
        <v>No claim for almost 1 year at home so difficult to assess.
Obtained good price/guarantees report with promo 2 months offered via subscription veepee offer at the end of 2018 (from Direct Insurance which has good prices too but rather high variable franchises and which does not cover punctures excluding highway even in all risks unfortunately Among others!) For 417th stored instead of 500th for Clio 4 Diesel of 2015</v>
      </c>
    </row>
    <row r="811" ht="15.75" customHeight="1">
      <c r="A811" s="2">
        <v>4.0</v>
      </c>
      <c r="B811" s="2" t="s">
        <v>2257</v>
      </c>
      <c r="C811" s="2" t="s">
        <v>2258</v>
      </c>
      <c r="D811" s="2" t="s">
        <v>20</v>
      </c>
      <c r="E811" s="2" t="s">
        <v>21</v>
      </c>
      <c r="F811" s="2" t="s">
        <v>15</v>
      </c>
      <c r="G811" s="2" t="s">
        <v>2259</v>
      </c>
      <c r="H811" s="2" t="s">
        <v>134</v>
      </c>
      <c r="I811" s="2" t="str">
        <f>IFERROR(__xludf.DUMMYFUNCTION("GOOGLETRANSLATE(C811,""fr"",""en"")"),"I am satisfied with the global service. The site tends to be long and that lengthens the procedures: you have to recharge the page, wait several seconds ...")</f>
        <v>I am satisfied with the global service. The site tends to be long and that lengthens the procedures: you have to recharge the page, wait several seconds ...</v>
      </c>
    </row>
    <row r="812" ht="15.75" customHeight="1">
      <c r="A812" s="2">
        <v>1.0</v>
      </c>
      <c r="B812" s="2" t="s">
        <v>2260</v>
      </c>
      <c r="C812" s="2" t="s">
        <v>2261</v>
      </c>
      <c r="D812" s="2" t="s">
        <v>298</v>
      </c>
      <c r="E812" s="2" t="s">
        <v>195</v>
      </c>
      <c r="F812" s="2" t="s">
        <v>15</v>
      </c>
      <c r="G812" s="2" t="s">
        <v>2262</v>
      </c>
      <c r="H812" s="2" t="s">
        <v>144</v>
      </c>
      <c r="I812" s="2" t="str">
        <f>IFERROR(__xludf.DUMMYFUNCTION("GOOGLETRANSLATE(C812,""fr"",""en"")"),"Completely incompetent, and very difficult customer service has contacted without counting that it is impossible to have to do with a single interlocutor who manages our file. Following a request for termination of contract from A L'Arrét of my activity a"&amp;"nd closure of my company dated 1/01/17, the fence was recorded by the SWISSLIFE services on 27/12/17 alor 'He had been warned of the stop of my activity since November 2016. ÉyeRe recorded the request for termination only on 12/27/17 Swisslife reclaims th"&amp;"e deadlines between 1/1/17 and the closing date recorded .
Despite several exchanges with the SWISSLife complaint service to record the fence dated 1/1/17, my file is still not processed to date all the documents have been in their possession for a long "&amp;"time and I have always returned any return On their part and I cannot contact them because I am walking from one telephone platform to another. I am very unhappy with customer service who and unable to manage or ignore my file. A very bad adventure that I"&amp;" strongly advise against.")</f>
        <v>Completely incompetent, and very difficult customer service has contacted without counting that it is impossible to have to do with a single interlocutor who manages our file. Following a request for termination of contract from A L'Arrét of my activity and closure of my company dated 1/01/17, the fence was recorded by the SWISSLIFE services on 27/12/17 alor 'He had been warned of the stop of my activity since November 2016. ÉyeRe recorded the request for termination only on 12/27/17 Swisslife reclaims the deadlines between 1/1/17 and the closing date recorded .
Despite several exchanges with the SWISSLife complaint service to record the fence dated 1/1/17, my file is still not processed to date all the documents have been in their possession for a long time and I have always returned any return On their part and I cannot contact them because I am walking from one telephone platform to another. I am very unhappy with customer service who and unable to manage or ignore my file. A very bad adventure that I strongly advise against.</v>
      </c>
    </row>
    <row r="813" ht="15.75" customHeight="1">
      <c r="A813" s="2">
        <v>1.0</v>
      </c>
      <c r="B813" s="2" t="s">
        <v>2263</v>
      </c>
      <c r="C813" s="2" t="s">
        <v>2264</v>
      </c>
      <c r="D813" s="2" t="s">
        <v>67</v>
      </c>
      <c r="E813" s="2" t="s">
        <v>21</v>
      </c>
      <c r="F813" s="2" t="s">
        <v>15</v>
      </c>
      <c r="G813" s="2" t="s">
        <v>2265</v>
      </c>
      <c r="H813" s="2" t="s">
        <v>88</v>
      </c>
      <c r="I813" s="2" t="str">
        <f>IFERROR(__xludf.DUMMYFUNCTION("GOOGLETRANSLATE(C813,""fr"",""en"")"),"My daughter, French resident in France, 7 years of license and no responsible claim, was denied the subscription of an automobile insurance contract on the grounds that she works on the other side of the border, in Belgium! Incredible injustice.")</f>
        <v>My daughter, French resident in France, 7 years of license and no responsible claim, was denied the subscription of an automobile insurance contract on the grounds that she works on the other side of the border, in Belgium! Incredible injustice.</v>
      </c>
    </row>
    <row r="814" ht="15.75" customHeight="1">
      <c r="A814" s="2">
        <v>2.0</v>
      </c>
      <c r="B814" s="2" t="s">
        <v>2266</v>
      </c>
      <c r="C814" s="2" t="s">
        <v>2267</v>
      </c>
      <c r="D814" s="2" t="s">
        <v>164</v>
      </c>
      <c r="E814" s="2" t="s">
        <v>21</v>
      </c>
      <c r="F814" s="2" t="s">
        <v>15</v>
      </c>
      <c r="G814" s="2" t="s">
        <v>2268</v>
      </c>
      <c r="H814" s="2" t="s">
        <v>610</v>
      </c>
      <c r="I814" s="2" t="str">
        <f>IFERROR(__xludf.DUMMYFUNCTION("GOOGLETRANSLATE(C814,""fr"",""en"")"),"I am a motor insurance client with Pacifica and as much to say that I understood. First of all, my complementary health insurance that I had subscribed to them I terminated it! The reason ? 2 years to have basic reimbursements! The reason ? An extra 0 in "&amp;"the entry that prevented the transmission of my data ...
What about car insurance? Victim of a stone in my lighthouse I walked my broken ice (I am very likely), great nothing at my expense, except that it is considered a responsible disaster! Great !
I "&amp;"exploded my retro last week! I was complained! A witness validates my deposition and testifies in my sense he saw the scene! Pacifica's response ""Ah yes but we don't count"" result? The franchise and a liable responsible for me when I am a victim.
Adios"&amp;" Pacifica")</f>
        <v>I am a motor insurance client with Pacifica and as much to say that I understood. First of all, my complementary health insurance that I had subscribed to them I terminated it! The reason ? 2 years to have basic reimbursements! The reason ? An extra 0 in the entry that prevented the transmission of my data ...
What about car insurance? Victim of a stone in my lighthouse I walked my broken ice (I am very likely), great nothing at my expense, except that it is considered a responsible disaster! Great !
I exploded my retro last week! I was complained! A witness validates my deposition and testifies in my sense he saw the scene! Pacifica's response "Ah yes but we don't count" result? The franchise and a liable responsible for me when I am a victim.
Adios Pacifica</v>
      </c>
    </row>
    <row r="815" ht="15.75" customHeight="1">
      <c r="A815" s="2">
        <v>3.0</v>
      </c>
      <c r="B815" s="2" t="s">
        <v>2269</v>
      </c>
      <c r="C815" s="2" t="s">
        <v>2270</v>
      </c>
      <c r="D815" s="2" t="s">
        <v>41</v>
      </c>
      <c r="E815" s="2" t="s">
        <v>21</v>
      </c>
      <c r="F815" s="2" t="s">
        <v>15</v>
      </c>
      <c r="G815" s="2" t="s">
        <v>2271</v>
      </c>
      <c r="H815" s="2" t="s">
        <v>118</v>
      </c>
      <c r="I815" s="2" t="str">
        <f>IFERROR(__xludf.DUMMYFUNCTION("GOOGLETRANSLATE(C815,""fr"",""en"")"),"J.Athends to consult the quote to see the cost of deductibles and the level of guarantees in the quote before d.
Easy to use site")</f>
        <v>J.Athends to consult the quote to see the cost of deductibles and the level of guarantees in the quote before d.
Easy to use site</v>
      </c>
    </row>
    <row r="816" ht="15.75" customHeight="1">
      <c r="A816" s="2">
        <v>4.0</v>
      </c>
      <c r="B816" s="2" t="s">
        <v>2272</v>
      </c>
      <c r="C816" s="2" t="s">
        <v>2273</v>
      </c>
      <c r="D816" s="2" t="s">
        <v>41</v>
      </c>
      <c r="E816" s="2" t="s">
        <v>21</v>
      </c>
      <c r="F816" s="2" t="s">
        <v>15</v>
      </c>
      <c r="G816" s="2" t="s">
        <v>1818</v>
      </c>
      <c r="H816" s="2" t="s">
        <v>74</v>
      </c>
      <c r="I816" s="2" t="str">
        <f>IFERROR(__xludf.DUMMYFUNCTION("GOOGLETRANSLATE(C816,""fr"",""en"")"),"I am very satisfied with the service and on the whole price suits me perfectly thank you and do not forget especially on € 20 sponsorship I would like contract starts on 01/09/2021 but the 03 too is not bad")</f>
        <v>I am very satisfied with the service and on the whole price suits me perfectly thank you and do not forget especially on € 20 sponsorship I would like contract starts on 01/09/2021 but the 03 too is not bad</v>
      </c>
    </row>
    <row r="817" ht="15.75" customHeight="1">
      <c r="A817" s="2">
        <v>5.0</v>
      </c>
      <c r="B817" s="2" t="s">
        <v>2274</v>
      </c>
      <c r="C817" s="2" t="s">
        <v>2275</v>
      </c>
      <c r="D817" s="2" t="s">
        <v>41</v>
      </c>
      <c r="E817" s="2" t="s">
        <v>21</v>
      </c>
      <c r="F817" s="2" t="s">
        <v>15</v>
      </c>
      <c r="G817" s="2" t="s">
        <v>1956</v>
      </c>
      <c r="H817" s="2" t="s">
        <v>51</v>
      </c>
      <c r="I817" s="2" t="str">
        <f>IFERROR(__xludf.DUMMYFUNCTION("GOOGLETRANSLATE(C817,""fr"",""en"")"),"I am satisfied with the service and the quality price, the advisor made me easier.
I will advise my entourage the services of Direct Insurance.")</f>
        <v>I am satisfied with the service and the quality price, the advisor made me easier.
I will advise my entourage the services of Direct Insurance.</v>
      </c>
    </row>
    <row r="818" ht="15.75" customHeight="1">
      <c r="A818" s="2">
        <v>3.0</v>
      </c>
      <c r="B818" s="2" t="s">
        <v>2276</v>
      </c>
      <c r="C818" s="2" t="s">
        <v>2277</v>
      </c>
      <c r="D818" s="2" t="s">
        <v>41</v>
      </c>
      <c r="E818" s="2" t="s">
        <v>21</v>
      </c>
      <c r="F818" s="2" t="s">
        <v>15</v>
      </c>
      <c r="G818" s="2" t="s">
        <v>866</v>
      </c>
      <c r="H818" s="2" t="s">
        <v>134</v>
      </c>
      <c r="I818" s="2" t="str">
        <f>IFERROR(__xludf.DUMMYFUNCTION("GOOGLETRANSLATE(C818,""fr"",""en"")"),"For satisfaction, I await the end of the Operation. On the other hand I receive contradictory emails, once the expert's visit is on July 07, another time 05")</f>
        <v>For satisfaction, I await the end of the Operation. On the other hand I receive contradictory emails, once the expert's visit is on July 07, another time 05</v>
      </c>
    </row>
    <row r="819" ht="15.75" customHeight="1">
      <c r="A819" s="2">
        <v>4.0</v>
      </c>
      <c r="B819" s="2" t="s">
        <v>2278</v>
      </c>
      <c r="C819" s="2" t="s">
        <v>2279</v>
      </c>
      <c r="D819" s="2" t="s">
        <v>20</v>
      </c>
      <c r="E819" s="2" t="s">
        <v>21</v>
      </c>
      <c r="F819" s="2" t="s">
        <v>15</v>
      </c>
      <c r="G819" s="2" t="s">
        <v>2280</v>
      </c>
      <c r="H819" s="2" t="s">
        <v>51</v>
      </c>
      <c r="I819" s="2" t="str">
        <f>IFERROR(__xludf.DUMMYFUNCTION("GOOGLETRANSLATE(C819,""fr"",""en"")"),"The sending of my documents was lost
no final green card despite honored monthly samples
moderately satisfied price consistent with the march")</f>
        <v>The sending of my documents was lost
no final green card despite honored monthly samples
moderately satisfied price consistent with the march</v>
      </c>
    </row>
    <row r="820" ht="15.75" customHeight="1">
      <c r="A820" s="2">
        <v>1.0</v>
      </c>
      <c r="B820" s="2" t="s">
        <v>2281</v>
      </c>
      <c r="C820" s="2" t="s">
        <v>2282</v>
      </c>
      <c r="D820" s="2" t="s">
        <v>63</v>
      </c>
      <c r="E820" s="2" t="s">
        <v>14</v>
      </c>
      <c r="F820" s="2" t="s">
        <v>15</v>
      </c>
      <c r="G820" s="2" t="s">
        <v>1287</v>
      </c>
      <c r="H820" s="2" t="s">
        <v>23</v>
      </c>
      <c r="I820" s="2" t="str">
        <f>IFERROR(__xludf.DUMMYFUNCTION("GOOGLETRANSLATE(C820,""fr"",""en"")"),"I have been waiting for almost 3 months a reimbursement of the Mercer. It is an obstacle course !!
I deposit my invoice paid by the hospital on the Internet space. A month later, I receive a document on my space: the Mercer asks me for an AMC slip, and c"&amp;"annot process my file without it. (This document is only valid for private establishments, and I was taken care of by the public hospital ... Note ... one month of waiting for this response ...)
Surprise, my documents are at the ""treated"" status: nothi"&amp;"ng is treated!
I send a message, a complaint, I receive each an automatic message saying that they are overloaded, that it is not worth writing again as long as we have not returned to me (which do not arrive)
I call every week, I am told that I will be"&amp;" answered within 10 working days. I recall 10 days later, I am told that this time, I am committed to answering me within 7 working days, that the request is supported, the person leaves a comment. I recall 7 days later, I am told that the request is supp"&amp;"orted in high priority, with comment, and that we have 7 days to answer me ... that my file and in the hand of the management. I recall today, the person tells me that he will make a request so that I am recalled, I explain to him that this is what I am t"&amp;"old constantly, but that nothing happens, and There he is surprised because he explains to me that my file is empty ...
While for a month I have been calling every week, and that I have been visited comments etc in my file. It is unacceptable to make fun"&amp;" of people like that! Especially since we contribute for mutuals, it is not a service but a due to be reimbursed!
Today, I still have no shadow of a reaction, a regulation, an invoice that I nevertheless transmitted to them almost 3 months ago ...! it is"&amp;" unacceptable !")</f>
        <v>I have been waiting for almost 3 months a reimbursement of the Mercer. It is an obstacle course !!
I deposit my invoice paid by the hospital on the Internet space. A month later, I receive a document on my space: the Mercer asks me for an AMC slip, and cannot process my file without it. (This document is only valid for private establishments, and I was taken care of by the public hospital ... Note ... one month of waiting for this response ...)
Surprise, my documents are at the "treated" status: nothing is treated!
I send a message, a complaint, I receive each an automatic message saying that they are overloaded, that it is not worth writing again as long as we have not returned to me (which do not arrive)
I call every week, I am told that I will be answered within 10 working days. I recall 10 days later, I am told that this time, I am committed to answering me within 7 working days, that the request is supported, the person leaves a comment. I recall 7 days later, I am told that the request is supported in high priority, with comment, and that we have 7 days to answer me ... that my file and in the hand of the management. I recall today, the person tells me that he will make a request so that I am recalled, I explain to him that this is what I am told constantly, but that nothing happens, and There he is surprised because he explains to me that my file is empty ...
While for a month I have been calling every week, and that I have been visited comments etc in my file. It is unacceptable to make fun of people like that! Especially since we contribute for mutuals, it is not a service but a due to be reimbursed!
Today, I still have no shadow of a reaction, a regulation, an invoice that I nevertheless transmitted to them almost 3 months ago ...! it is unacceptable !</v>
      </c>
    </row>
    <row r="821" ht="15.75" customHeight="1">
      <c r="A821" s="2">
        <v>3.0</v>
      </c>
      <c r="B821" s="2" t="s">
        <v>2283</v>
      </c>
      <c r="C821" s="2" t="s">
        <v>2284</v>
      </c>
      <c r="D821" s="2" t="s">
        <v>212</v>
      </c>
      <c r="E821" s="2" t="s">
        <v>195</v>
      </c>
      <c r="F821" s="2" t="s">
        <v>15</v>
      </c>
      <c r="G821" s="2" t="s">
        <v>2285</v>
      </c>
      <c r="H821" s="2" t="s">
        <v>689</v>
      </c>
      <c r="I821" s="2" t="str">
        <f>IFERROR(__xludf.DUMMYFUNCTION("GOOGLETRANSLATE(C821,""fr"",""en"")"),"Flee Allianz even when you injure yourself at home it does not completely work this insurance I wanted to help a friend pushing his truck broken down I torn the muscle of the calf but they find that it is not an accident")</f>
        <v>Flee Allianz even when you injure yourself at home it does not completely work this insurance I wanted to help a friend pushing his truck broken down I torn the muscle of the calf but they find that it is not an accident</v>
      </c>
    </row>
    <row r="822" ht="15.75" customHeight="1">
      <c r="A822" s="2">
        <v>1.0</v>
      </c>
      <c r="B822" s="2" t="s">
        <v>2286</v>
      </c>
      <c r="C822" s="2" t="s">
        <v>2287</v>
      </c>
      <c r="D822" s="2" t="s">
        <v>13</v>
      </c>
      <c r="E822" s="2" t="s">
        <v>14</v>
      </c>
      <c r="F822" s="2" t="s">
        <v>15</v>
      </c>
      <c r="G822" s="2" t="s">
        <v>2288</v>
      </c>
      <c r="H822" s="2" t="s">
        <v>241</v>
      </c>
      <c r="I822" s="2" t="str">
        <f>IFERROR(__xludf.DUMMYFUNCTION("GOOGLETRANSLATE(C822,""fr"",""en"")"),"Appeal on the part of Néoliane Ah well I will never go. As I wanted more explanation I was insulted. Insult because I did not want to give Iban but simply read the contract")</f>
        <v>Appeal on the part of Néoliane Ah well I will never go. As I wanted more explanation I was insulted. Insult because I did not want to give Iban but simply read the contract</v>
      </c>
    </row>
    <row r="823" ht="15.75" customHeight="1">
      <c r="A823" s="2">
        <v>1.0</v>
      </c>
      <c r="B823" s="2" t="s">
        <v>2289</v>
      </c>
      <c r="C823" s="2" t="s">
        <v>2290</v>
      </c>
      <c r="D823" s="2" t="s">
        <v>150</v>
      </c>
      <c r="E823" s="2" t="s">
        <v>122</v>
      </c>
      <c r="F823" s="2" t="s">
        <v>15</v>
      </c>
      <c r="G823" s="2" t="s">
        <v>2291</v>
      </c>
      <c r="H823" s="2" t="s">
        <v>28</v>
      </c>
      <c r="I823" s="2" t="str">
        <f>IFERROR(__xludf.DUMMYFUNCTION("GOOGLETRANSLATE(C823,""fr"",""en"")"),"I put 1 star because I could not put 0 star .... to collect the money they are there ..... but to pay no one.
125 cc ensures in any risk with driver protection I have the highest guaranteed price .... and the most expensive.
And following a fall without"&amp;" third party. With a 45 -day ITT I was first offered a compensation of € 540 I refused I was then offered € 30 second 700 € and all this by phone without anything by phone .... 700 € for A 45 -day work stoppage is for bodily .... but nothing for the vehic"&amp;"le whose aesthetics have been damaged. Look the error. I transmitted to my lawyer for an amicable procedure and if there is no way to hear we will assign ......")</f>
        <v>I put 1 star because I could not put 0 star .... to collect the money they are there ..... but to pay no one.
125 cc ensures in any risk with driver protection I have the highest guaranteed price .... and the most expensive.
And following a fall without third party. With a 45 -day ITT I was first offered a compensation of € 540 I refused I was then offered € 30 second 700 € and all this by phone without anything by phone .... 700 € for A 45 -day work stoppage is for bodily .... but nothing for the vehicle whose aesthetics have been damaged. Look the error. I transmitted to my lawyer for an amicable procedure and if there is no way to hear we will assign ......</v>
      </c>
    </row>
    <row r="824" ht="15.75" customHeight="1">
      <c r="A824" s="2">
        <v>4.0</v>
      </c>
      <c r="B824" s="2" t="s">
        <v>2292</v>
      </c>
      <c r="C824" s="2" t="s">
        <v>2293</v>
      </c>
      <c r="D824" s="2" t="s">
        <v>41</v>
      </c>
      <c r="E824" s="2" t="s">
        <v>21</v>
      </c>
      <c r="F824" s="2" t="s">
        <v>15</v>
      </c>
      <c r="G824" s="2" t="s">
        <v>147</v>
      </c>
      <c r="H824" s="2" t="s">
        <v>51</v>
      </c>
      <c r="I824" s="2" t="str">
        <f>IFERROR(__xludf.DUMMYFUNCTION("GOOGLETRANSLATE(C824,""fr"",""en"")"),"Good value for money .
Correct insurance level at a price just ask to complicate a phone advisor to finalize the contract")</f>
        <v>Good value for money .
Correct insurance level at a price just ask to complicate a phone advisor to finalize the contract</v>
      </c>
    </row>
    <row r="825" ht="15.75" customHeight="1">
      <c r="A825" s="2">
        <v>3.0</v>
      </c>
      <c r="B825" s="2" t="s">
        <v>2294</v>
      </c>
      <c r="C825" s="2" t="s">
        <v>2295</v>
      </c>
      <c r="D825" s="2" t="s">
        <v>121</v>
      </c>
      <c r="E825" s="2" t="s">
        <v>122</v>
      </c>
      <c r="F825" s="2" t="s">
        <v>15</v>
      </c>
      <c r="G825" s="2" t="s">
        <v>51</v>
      </c>
      <c r="H825" s="2" t="s">
        <v>51</v>
      </c>
      <c r="I825" s="2" t="str">
        <f>IFERROR(__xludf.DUMMYFUNCTION("GOOGLETRANSLATE(C825,""fr"",""en"")"),"We will see later if I would be satisfied but for the moment it suits me perfectly, the very attractive price as a young driver is great.
thank you")</f>
        <v>We will see later if I would be satisfied but for the moment it suits me perfectly, the very attractive price as a young driver is great.
thank you</v>
      </c>
    </row>
    <row r="826" ht="15.75" customHeight="1">
      <c r="A826" s="2">
        <v>4.0</v>
      </c>
      <c r="B826" s="2" t="s">
        <v>2296</v>
      </c>
      <c r="C826" s="2" t="s">
        <v>2297</v>
      </c>
      <c r="D826" s="2" t="s">
        <v>41</v>
      </c>
      <c r="E826" s="2" t="s">
        <v>21</v>
      </c>
      <c r="F826" s="2" t="s">
        <v>15</v>
      </c>
      <c r="G826" s="2" t="s">
        <v>767</v>
      </c>
      <c r="H826" s="2" t="s">
        <v>74</v>
      </c>
      <c r="I826" s="2" t="str">
        <f>IFERROR(__xludf.DUMMYFUNCTION("GOOGLETRANSLATE(C826,""fr"",""en"")"),"I am satisfied with the conditions
Correct price for vehicle insurance as for housing
I recommend direct insurance
We are looking for fast and efficient insurance
")</f>
        <v>I am satisfied with the conditions
Correct price for vehicle insurance as for housing
I recommend direct insurance
We are looking for fast and efficient insurance
</v>
      </c>
    </row>
    <row r="827" ht="15.75" customHeight="1">
      <c r="A827" s="2">
        <v>4.0</v>
      </c>
      <c r="B827" s="2" t="s">
        <v>2298</v>
      </c>
      <c r="C827" s="2" t="s">
        <v>2299</v>
      </c>
      <c r="D827" s="2" t="s">
        <v>121</v>
      </c>
      <c r="E827" s="2" t="s">
        <v>122</v>
      </c>
      <c r="F827" s="2" t="s">
        <v>15</v>
      </c>
      <c r="G827" s="2" t="s">
        <v>54</v>
      </c>
      <c r="H827" s="2" t="s">
        <v>55</v>
      </c>
      <c r="I827" s="2" t="str">
        <f>IFERROR(__xludf.DUMMYFUNCTION("GOOGLETRANSLATE(C827,""fr"",""en"")"),"The annual rate does not include a modulation taking into account the very low and only seasonal use of the motorcycle. We can consider that compared to the time of use, as far as I am concerned, the price is proportionally very high. So I pay for others."&amp;" But other insurers practice the same system. Shame.")</f>
        <v>The annual rate does not include a modulation taking into account the very low and only seasonal use of the motorcycle. We can consider that compared to the time of use, as far as I am concerned, the price is proportionally very high. So I pay for others. But other insurers practice the same system. Shame.</v>
      </c>
    </row>
    <row r="828" ht="15.75" customHeight="1">
      <c r="A828" s="2">
        <v>2.0</v>
      </c>
      <c r="B828" s="2" t="s">
        <v>2300</v>
      </c>
      <c r="C828" s="2" t="s">
        <v>2301</v>
      </c>
      <c r="D828" s="2" t="s">
        <v>41</v>
      </c>
      <c r="E828" s="2" t="s">
        <v>21</v>
      </c>
      <c r="F828" s="2" t="s">
        <v>15</v>
      </c>
      <c r="G828" s="2" t="s">
        <v>2302</v>
      </c>
      <c r="H828" s="2" t="s">
        <v>42</v>
      </c>
      <c r="I828" s="2" t="str">
        <f>IFERROR(__xludf.DUMMYFUNCTION("GOOGLETRANSLATE(C828,""fr"",""en"")"),"No return of the expert following my disaster. So I recover my vehicle not completely repaired and will still have to join you to solve this new problem ....
Too bad for this lack of communication from your services.")</f>
        <v>No return of the expert following my disaster. So I recover my vehicle not completely repaired and will still have to join you to solve this new problem ....
Too bad for this lack of communication from your services.</v>
      </c>
    </row>
    <row r="829" ht="15.75" customHeight="1">
      <c r="A829" s="2">
        <v>3.0</v>
      </c>
      <c r="B829" s="2" t="s">
        <v>2303</v>
      </c>
      <c r="C829" s="2" t="s">
        <v>2304</v>
      </c>
      <c r="D829" s="2" t="s">
        <v>91</v>
      </c>
      <c r="E829" s="2" t="s">
        <v>14</v>
      </c>
      <c r="F829" s="2" t="s">
        <v>15</v>
      </c>
      <c r="G829" s="2" t="s">
        <v>2305</v>
      </c>
      <c r="H829" s="2" t="s">
        <v>209</v>
      </c>
      <c r="I829" s="2" t="str">
        <f>IFERROR(__xludf.DUMMYFUNCTION("GOOGLETRANSLATE(C829,""fr"",""en"")"),"Very good contact with Caroline: listening and benevolent
I obtained the information I wanted and the advice adapted to my situation.
I recommend this mutual")</f>
        <v>Very good contact with Caroline: listening and benevolent
I obtained the information I wanted and the advice adapted to my situation.
I recommend this mutual</v>
      </c>
    </row>
    <row r="830" ht="15.75" customHeight="1">
      <c r="A830" s="2">
        <v>4.0</v>
      </c>
      <c r="B830" s="2" t="s">
        <v>2306</v>
      </c>
      <c r="C830" s="2" t="s">
        <v>2307</v>
      </c>
      <c r="D830" s="2" t="s">
        <v>41</v>
      </c>
      <c r="E830" s="2" t="s">
        <v>21</v>
      </c>
      <c r="F830" s="2" t="s">
        <v>15</v>
      </c>
      <c r="G830" s="2" t="s">
        <v>1365</v>
      </c>
      <c r="H830" s="2" t="s">
        <v>74</v>
      </c>
      <c r="I830" s="2" t="str">
        <f>IFERROR(__xludf.DUMMYFUNCTION("GOOGLETRANSLATE(C830,""fr"",""en"")"),"Fast and understandable service
Satisfied with the explanations
Secure payment and wide choice in the date of debit
Thank you for having a simple and clear site")</f>
        <v>Fast and understandable service
Satisfied with the explanations
Secure payment and wide choice in the date of debit
Thank you for having a simple and clear site</v>
      </c>
    </row>
    <row r="831" ht="15.75" customHeight="1">
      <c r="A831" s="2">
        <v>2.0</v>
      </c>
      <c r="B831" s="2" t="s">
        <v>2308</v>
      </c>
      <c r="C831" s="2" t="s">
        <v>2309</v>
      </c>
      <c r="D831" s="2" t="s">
        <v>72</v>
      </c>
      <c r="E831" s="2" t="s">
        <v>21</v>
      </c>
      <c r="F831" s="2" t="s">
        <v>15</v>
      </c>
      <c r="G831" s="2" t="s">
        <v>2310</v>
      </c>
      <c r="H831" s="2" t="s">
        <v>23</v>
      </c>
      <c r="I831" s="2" t="str">
        <f>IFERROR(__xludf.DUMMYFUNCTION("GOOGLETRANSLATE(C831,""fr"",""en"")"),"The franchise is expensive, and prevents from using insurance. So I pay insurance that I will not use, it's a shame it takes an option without franchise")</f>
        <v>The franchise is expensive, and prevents from using insurance. So I pay insurance that I will not use, it's a shame it takes an option without franchise</v>
      </c>
    </row>
    <row r="832" ht="15.75" customHeight="1">
      <c r="A832" s="2">
        <v>1.0</v>
      </c>
      <c r="B832" s="2" t="s">
        <v>2311</v>
      </c>
      <c r="C832" s="2" t="s">
        <v>2312</v>
      </c>
      <c r="D832" s="2" t="s">
        <v>212</v>
      </c>
      <c r="E832" s="2" t="s">
        <v>21</v>
      </c>
      <c r="F832" s="2" t="s">
        <v>15</v>
      </c>
      <c r="G832" s="2" t="s">
        <v>2313</v>
      </c>
      <c r="H832" s="2" t="s">
        <v>282</v>
      </c>
      <c r="I832" s="2" t="str">
        <f>IFERROR(__xludf.DUMMYFUNCTION("GOOGLETRANSLATE(C832,""fr"",""en"")"),"To avoid at all prices ... fuiiiiirrrr")</f>
        <v>To avoid at all prices ... fuiiiiirrrr</v>
      </c>
    </row>
    <row r="833" ht="15.75" customHeight="1">
      <c r="A833" s="2">
        <v>2.0</v>
      </c>
      <c r="B833" s="2" t="s">
        <v>2314</v>
      </c>
      <c r="C833" s="2" t="s">
        <v>2315</v>
      </c>
      <c r="D833" s="2" t="s">
        <v>212</v>
      </c>
      <c r="E833" s="2" t="s">
        <v>58</v>
      </c>
      <c r="F833" s="2" t="s">
        <v>15</v>
      </c>
      <c r="G833" s="2" t="s">
        <v>755</v>
      </c>
      <c r="H833" s="2" t="s">
        <v>42</v>
      </c>
      <c r="I833" s="2" t="str">
        <f>IFERROR(__xludf.DUMMYFUNCTION("GOOGLETRANSLATE(C833,""fr"",""en"")"),"After water damage the insurance has sought all the unimaginable pretexts so as not to take care of the claim. Contradictions between advisers to discourage us from all requests for care. Good agency insurance and facade but you must not have a problem.")</f>
        <v>After water damage the insurance has sought all the unimaginable pretexts so as not to take care of the claim. Contradictions between advisers to discourage us from all requests for care. Good agency insurance and facade but you must not have a problem.</v>
      </c>
    </row>
    <row r="834" ht="15.75" customHeight="1">
      <c r="A834" s="2">
        <v>4.0</v>
      </c>
      <c r="B834" s="2" t="s">
        <v>2316</v>
      </c>
      <c r="C834" s="2" t="s">
        <v>2317</v>
      </c>
      <c r="D834" s="2" t="s">
        <v>20</v>
      </c>
      <c r="E834" s="2" t="s">
        <v>21</v>
      </c>
      <c r="F834" s="2" t="s">
        <v>15</v>
      </c>
      <c r="G834" s="2" t="s">
        <v>893</v>
      </c>
      <c r="H834" s="2" t="s">
        <v>47</v>
      </c>
      <c r="I834" s="2" t="str">
        <f>IFERROR(__xludf.DUMMYFUNCTION("GOOGLETRANSLATE(C834,""fr"",""en"")"),"Very conscientious, kind and smiling interlocutor, a pleasure to change insurance under these conditions, moreover the prices are relatively correct.
")</f>
        <v>Very conscientious, kind and smiling interlocutor, a pleasure to change insurance under these conditions, moreover the prices are relatively correct.
</v>
      </c>
    </row>
    <row r="835" ht="15.75" customHeight="1">
      <c r="A835" s="2">
        <v>1.0</v>
      </c>
      <c r="B835" s="2" t="s">
        <v>2318</v>
      </c>
      <c r="C835" s="2" t="s">
        <v>2319</v>
      </c>
      <c r="D835" s="2" t="s">
        <v>164</v>
      </c>
      <c r="E835" s="2" t="s">
        <v>21</v>
      </c>
      <c r="F835" s="2" t="s">
        <v>15</v>
      </c>
      <c r="G835" s="2" t="s">
        <v>2320</v>
      </c>
      <c r="H835" s="2" t="s">
        <v>33</v>
      </c>
      <c r="I835" s="2" t="str">
        <f>IFERROR(__xludf.DUMMYFUNCTION("GOOGLETRANSLATE(C835,""fr"",""en"")"),"Pacifica insurance very reactive for you the samples and for the rest we can sit on it we take you for dishonests. The ad will be done. The change of insurance and bank simplose")</f>
        <v>Pacifica insurance very reactive for you the samples and for the rest we can sit on it we take you for dishonests. The ad will be done. The change of insurance and bank simplose</v>
      </c>
    </row>
    <row r="836" ht="15.75" customHeight="1">
      <c r="A836" s="2">
        <v>2.0</v>
      </c>
      <c r="B836" s="2" t="s">
        <v>2321</v>
      </c>
      <c r="C836" s="2" t="s">
        <v>2322</v>
      </c>
      <c r="D836" s="2" t="s">
        <v>41</v>
      </c>
      <c r="E836" s="2" t="s">
        <v>21</v>
      </c>
      <c r="F836" s="2" t="s">
        <v>15</v>
      </c>
      <c r="G836" s="2" t="s">
        <v>877</v>
      </c>
      <c r="H836" s="2" t="s">
        <v>28</v>
      </c>
      <c r="I836" s="2" t="str">
        <f>IFERROR(__xludf.DUMMYFUNCTION("GOOGLETRANSLATE(C836,""fr"",""en"")"),"Problem I can't reach you for 3 days try to remember at 06 25 90 10 57 I can't declaire a disaster Ca m Inquitete cordially")</f>
        <v>Problem I can't reach you for 3 days try to remember at 06 25 90 10 57 I can't declaire a disaster Ca m Inquitete cordially</v>
      </c>
    </row>
    <row r="837" ht="15.75" customHeight="1">
      <c r="A837" s="2">
        <v>4.0</v>
      </c>
      <c r="B837" s="2" t="s">
        <v>2323</v>
      </c>
      <c r="C837" s="2" t="s">
        <v>2324</v>
      </c>
      <c r="D837" s="2" t="s">
        <v>31</v>
      </c>
      <c r="E837" s="2" t="s">
        <v>21</v>
      </c>
      <c r="F837" s="2" t="s">
        <v>15</v>
      </c>
      <c r="G837" s="2" t="s">
        <v>2325</v>
      </c>
      <c r="H837" s="2" t="s">
        <v>93</v>
      </c>
      <c r="I837" s="2" t="str">
        <f>IFERROR(__xludf.DUMMYFUNCTION("GOOGLETRANSLATE(C837,""fr"",""en"")"),"I share some opinions that specify a very good reception of the hostesses and a serious monitoring of claims,
I recommend this insurance in my entourage
")</f>
        <v>I share some opinions that specify a very good reception of the hostesses and a serious monitoring of claims,
I recommend this insurance in my entourage
</v>
      </c>
    </row>
    <row r="838" ht="15.75" customHeight="1">
      <c r="A838" s="2">
        <v>2.0</v>
      </c>
      <c r="B838" s="2" t="s">
        <v>2326</v>
      </c>
      <c r="C838" s="2" t="s">
        <v>2327</v>
      </c>
      <c r="D838" s="2" t="s">
        <v>20</v>
      </c>
      <c r="E838" s="2" t="s">
        <v>21</v>
      </c>
      <c r="F838" s="2" t="s">
        <v>15</v>
      </c>
      <c r="G838" s="2" t="s">
        <v>719</v>
      </c>
      <c r="H838" s="2" t="s">
        <v>372</v>
      </c>
      <c r="I838" s="2" t="str">
        <f>IFERROR(__xludf.DUMMYFUNCTION("GOOGLETRANSLATE(C838,""fr"",""en"")"),"I am scandalized by the level of amateurism of this pseudo insurance company.
Following a non -responsible disaster, I find myself having to pay a deductible of 380 euros because they were unable to identify the counterpart, I think they simply did not"&amp;" do their job by Flemme, while everything was clearly Inform about the amicable observation.
I ask to receive the amount of compensation directly on my bank account to be able to make the repairs on my vehicle and each time I call to find out or that a"&amp;"nd when I could have the payment I get out of the Farfuled apologies.
I ask to speak to a manager but as if by chance they are still in a meeting (at 1:50 p.m. the joke.)
In short, no follow -up of files and beautiful speakers to delay the maximum com"&amp;"pensation for insured.
To flee because no professionalism and no service behind as soon as you have the slightest concerns.
I look forward to the end of my contract to terminate
")</f>
        <v>I am scandalized by the level of amateurism of this pseudo insurance company.
Following a non -responsible disaster, I find myself having to pay a deductible of 380 euros because they were unable to identify the counterpart, I think they simply did not do their job by Flemme, while everything was clearly Inform about the amicable observation.
I ask to receive the amount of compensation directly on my bank account to be able to make the repairs on my vehicle and each time I call to find out or that and when I could have the payment I get out of the Farfuled apologies.
I ask to speak to a manager but as if by chance they are still in a meeting (at 1:50 p.m. the joke.)
In short, no follow -up of files and beautiful speakers to delay the maximum compensation for insured.
To flee because no professionalism and no service behind as soon as you have the slightest concerns.
I look forward to the end of my contract to terminate
</v>
      </c>
    </row>
    <row r="839" ht="15.75" customHeight="1">
      <c r="A839" s="2">
        <v>2.0</v>
      </c>
      <c r="B839" s="2" t="s">
        <v>2328</v>
      </c>
      <c r="C839" s="2" t="s">
        <v>2329</v>
      </c>
      <c r="D839" s="2" t="s">
        <v>41</v>
      </c>
      <c r="E839" s="2" t="s">
        <v>21</v>
      </c>
      <c r="F839" s="2" t="s">
        <v>15</v>
      </c>
      <c r="G839" s="2" t="s">
        <v>2330</v>
      </c>
      <c r="H839" s="2" t="s">
        <v>292</v>
      </c>
      <c r="I839" s="2" t="str">
        <f>IFERROR(__xludf.DUMMYFUNCTION("GOOGLETRANSLATE(C839,""fr"",""en"")"),"Not very satisfied. Very demanding but the customer must have no requirements to him. Reclamation mail sent 15 days ago no response to date. Folder fees offered equivaut at file fees offered it seems simple but for direct insurance it is not also obvious "&amp;"a priori")</f>
        <v>Not very satisfied. Very demanding but the customer must have no requirements to him. Reclamation mail sent 15 days ago no response to date. Folder fees offered equivaut at file fees offered it seems simple but for direct insurance it is not also obvious a priori</v>
      </c>
    </row>
    <row r="840" ht="15.75" customHeight="1">
      <c r="A840" s="2">
        <v>2.0</v>
      </c>
      <c r="B840" s="2" t="s">
        <v>2331</v>
      </c>
      <c r="C840" s="2" t="s">
        <v>2332</v>
      </c>
      <c r="D840" s="2" t="s">
        <v>41</v>
      </c>
      <c r="E840" s="2" t="s">
        <v>21</v>
      </c>
      <c r="F840" s="2" t="s">
        <v>15</v>
      </c>
      <c r="G840" s="2" t="s">
        <v>2333</v>
      </c>
      <c r="H840" s="2" t="s">
        <v>610</v>
      </c>
      <c r="I840" s="2" t="str">
        <f>IFERROR(__xludf.DUMMYFUNCTION("GOOGLETRANSLATE(C840,""fr"",""en"")"),"Very bad loss followed. It's been 3 weeks my vehicle has been towed and they don't even know how to tell me where my vehicle is")</f>
        <v>Very bad loss followed. It's been 3 weeks my vehicle has been towed and they don't even know how to tell me where my vehicle is</v>
      </c>
    </row>
    <row r="841" ht="15.75" customHeight="1">
      <c r="A841" s="2">
        <v>4.0</v>
      </c>
      <c r="B841" s="2" t="s">
        <v>2334</v>
      </c>
      <c r="C841" s="2" t="s">
        <v>2335</v>
      </c>
      <c r="D841" s="2" t="s">
        <v>41</v>
      </c>
      <c r="E841" s="2" t="s">
        <v>21</v>
      </c>
      <c r="F841" s="2" t="s">
        <v>15</v>
      </c>
      <c r="G841" s="2" t="s">
        <v>523</v>
      </c>
      <c r="H841" s="2" t="s">
        <v>42</v>
      </c>
      <c r="I841" s="2" t="str">
        <f>IFERROR(__xludf.DUMMYFUNCTION("GOOGLETRANSLATE(C841,""fr"",""en"")"),"Very welcoming people and explains all the steps to follow the price is correct.
The person guides you to the mud of the project.
Regards Mr WARTER")</f>
        <v>Very welcoming people and explains all the steps to follow the price is correct.
The person guides you to the mud of the project.
Regards Mr WARTER</v>
      </c>
    </row>
    <row r="842" ht="15.75" customHeight="1">
      <c r="A842" s="2">
        <v>1.0</v>
      </c>
      <c r="B842" s="2" t="s">
        <v>2336</v>
      </c>
      <c r="C842" s="2" t="s">
        <v>2337</v>
      </c>
      <c r="D842" s="2" t="s">
        <v>41</v>
      </c>
      <c r="E842" s="2" t="s">
        <v>21</v>
      </c>
      <c r="F842" s="2" t="s">
        <v>15</v>
      </c>
      <c r="G842" s="2" t="s">
        <v>1577</v>
      </c>
      <c r="H842" s="2" t="s">
        <v>110</v>
      </c>
      <c r="I842" s="2" t="str">
        <f>IFERROR(__xludf.DUMMYFUNCTION("GOOGLETRANSLATE(C842,""fr"",""en"")"),"Deeply disappointed by this company. Assured all-risk with assistance included, I myself had to pay € 250 troubleshooting. I've been waiting for reimbursement for a year.
If we add to that the insane inflation of the subscription over a few years we un"&amp;"derstand that the final goal is not to produce a customer service but only profit.
As an indication: the first year I paid a little more than 300 €, 4 years later I am not far from 750 €. Of course they will lose a customer but first I am determined to"&amp;" recover what they have to go to court.
Not to mention I would add that although kind of customer service is completely useless and can easily make you lose several hours for a sterile exchange of a few minutes.
It is terribly annoying and deplorabl"&amp;"e.")</f>
        <v>Deeply disappointed by this company. Assured all-risk with assistance included, I myself had to pay € 250 troubleshooting. I've been waiting for reimbursement for a year.
If we add to that the insane inflation of the subscription over a few years we understand that the final goal is not to produce a customer service but only profit.
As an indication: the first year I paid a little more than 300 €, 4 years later I am not far from 750 €. Of course they will lose a customer but first I am determined to recover what they have to go to court.
Not to mention I would add that although kind of customer service is completely useless and can easily make you lose several hours for a sterile exchange of a few minutes.
It is terribly annoying and deplorable.</v>
      </c>
    </row>
    <row r="843" ht="15.75" customHeight="1">
      <c r="A843" s="2">
        <v>1.0</v>
      </c>
      <c r="B843" s="2" t="s">
        <v>2338</v>
      </c>
      <c r="C843" s="2" t="s">
        <v>2339</v>
      </c>
      <c r="D843" s="2" t="s">
        <v>395</v>
      </c>
      <c r="E843" s="2" t="s">
        <v>195</v>
      </c>
      <c r="F843" s="2" t="s">
        <v>15</v>
      </c>
      <c r="G843" s="2" t="s">
        <v>2340</v>
      </c>
      <c r="H843" s="2" t="s">
        <v>100</v>
      </c>
      <c r="I843" s="2" t="str">
        <f>IFERROR(__xludf.DUMMYFUNCTION("GOOGLETRANSLATE(C843,""fr"",""en"")"),"It is well known that insurers' obsession is the provident contracts and in particular in the event of a parent's death, children's educational annuities up to their 25 years. AXA wins the Cup for the incompetence of its annuity management service and for"&amp;" the client's contempt. Each year it is the same delays in the regulation of annuities when we have transmitted by mail in due course the supporting documents for schooling: papers lost systematically on their side, incoherent responses on the processing "&amp;"of the file - One week the file is supposedly treated, the following week the part was not received, it must be transmitted in an emergency by email and each time we add 10 days of delay for the payment .... if ""Know you can"" is the New AXA slogan, Cust"&amp;"omer side is ""Know they can't"" ... Do their job properly. For the boss of Axa this slogan ""perfectly symbolizes the ambition we have to make of Axa a partner able to help his customers reach their dreams."" For my part, my single parent dream is limite"&amp;"d to properly manage my constrained family budget ... and AXA does not help me.")</f>
        <v>It is well known that insurers' obsession is the provident contracts and in particular in the event of a parent's death, children's educational annuities up to their 25 years. AXA wins the Cup for the incompetence of its annuity management service and for the client's contempt. Each year it is the same delays in the regulation of annuities when we have transmitted by mail in due course the supporting documents for schooling: papers lost systematically on their side, incoherent responses on the processing of the file - One week the file is supposedly treated, the following week the part was not received, it must be transmitted in an emergency by email and each time we add 10 days of delay for the payment .... if "Know you can" is the New AXA slogan, Customer side is "Know they can't" ... Do their job properly. For the boss of Axa this slogan "perfectly symbolizes the ambition we have to make of Axa a partner able to help his customers reach their dreams." For my part, my single parent dream is limited to properly manage my constrained family budget ... and AXA does not help me.</v>
      </c>
    </row>
    <row r="844" ht="15.75" customHeight="1">
      <c r="A844" s="2">
        <v>5.0</v>
      </c>
      <c r="B844" s="2" t="s">
        <v>2341</v>
      </c>
      <c r="C844" s="2" t="s">
        <v>2342</v>
      </c>
      <c r="D844" s="2" t="s">
        <v>20</v>
      </c>
      <c r="E844" s="2" t="s">
        <v>21</v>
      </c>
      <c r="F844" s="2" t="s">
        <v>15</v>
      </c>
      <c r="G844" s="2" t="s">
        <v>534</v>
      </c>
      <c r="H844" s="2" t="s">
        <v>51</v>
      </c>
      <c r="I844" s="2" t="str">
        <f>IFERROR(__xludf.DUMMYFUNCTION("GOOGLETRANSLATE(C844,""fr"",""en"")"),"Fully satisfied with the prices offered and online service. The telephone reception is also very professional and very satisfactory. I will recommend the olive assurance around me.")</f>
        <v>Fully satisfied with the prices offered and online service. The telephone reception is also very professional and very satisfactory. I will recommend the olive assurance around me.</v>
      </c>
    </row>
    <row r="845" ht="15.75" customHeight="1">
      <c r="A845" s="2">
        <v>2.0</v>
      </c>
      <c r="B845" s="2" t="s">
        <v>2343</v>
      </c>
      <c r="C845" s="2" t="s">
        <v>2344</v>
      </c>
      <c r="D845" s="2" t="s">
        <v>20</v>
      </c>
      <c r="E845" s="2" t="s">
        <v>21</v>
      </c>
      <c r="F845" s="2" t="s">
        <v>15</v>
      </c>
      <c r="G845" s="2" t="s">
        <v>1349</v>
      </c>
      <c r="H845" s="2" t="s">
        <v>42</v>
      </c>
      <c r="I845" s="2" t="str">
        <f>IFERROR(__xludf.DUMMYFUNCTION("GOOGLETRANSLATE(C845,""fr"",""en"")"),"Following a non -responsible accident in September 2020 hell started and yet I really felt like I was listening. 6 months later I received a call on an answering machine of my counselor Justine despite my incessant requests, I even have to find the compan"&amp;"y owner of the vehicle carrying out my own investigation and they even provided the phone number of the boss but the latter has never been contacted. Insurance tells me that to call on the guarantee background, they mache the expert report that she has cl"&amp;"aimed several times for 1 month. Weird in 1 call issued to the expert I receive it after 15 min by email. I never have to do the same interlocutor. And there since the month of January I expect the sending of documents relating to this accident that are s"&amp;"aid to be sent by email the problem is that I only receive satisfaction surveys but no document allowing me to finally be able to Inch a legal action expected by my lawyer. I have the impression of being facing an administrative wall. In fact you should n"&amp;"ot have a problem otherwise you will be really in a hassle")</f>
        <v>Following a non -responsible accident in September 2020 hell started and yet I really felt like I was listening. 6 months later I received a call on an answering machine of my counselor Justine despite my incessant requests, I even have to find the company owner of the vehicle carrying out my own investigation and they even provided the phone number of the boss but the latter has never been contacted. Insurance tells me that to call on the guarantee background, they mache the expert report that she has claimed several times for 1 month. Weird in 1 call issued to the expert I receive it after 15 min by email. I never have to do the same interlocutor. And there since the month of January I expect the sending of documents relating to this accident that are said to be sent by email the problem is that I only receive satisfaction surveys but no document allowing me to finally be able to Inch a legal action expected by my lawyer. I have the impression of being facing an administrative wall. In fact you should not have a problem otherwise you will be really in a hassle</v>
      </c>
    </row>
    <row r="846" ht="15.75" customHeight="1">
      <c r="A846" s="2">
        <v>1.0</v>
      </c>
      <c r="B846" s="2" t="s">
        <v>2345</v>
      </c>
      <c r="C846" s="2" t="s">
        <v>2346</v>
      </c>
      <c r="D846" s="2" t="s">
        <v>41</v>
      </c>
      <c r="E846" s="2" t="s">
        <v>21</v>
      </c>
      <c r="F846" s="2" t="s">
        <v>15</v>
      </c>
      <c r="G846" s="2" t="s">
        <v>1975</v>
      </c>
      <c r="H846" s="2" t="s">
        <v>42</v>
      </c>
      <c r="I846" s="2" t="str">
        <f>IFERROR(__xludf.DUMMYFUNCTION("GOOGLETRANSLATE(C846,""fr"",""en"")"),"I need the new insurance certificate, but I have been displayed as that of last year.
Please send me the new please.
Thanks")</f>
        <v>I need the new insurance certificate, but I have been displayed as that of last year.
Please send me the new please.
Thanks</v>
      </c>
    </row>
    <row r="847" ht="15.75" customHeight="1">
      <c r="A847" s="2">
        <v>5.0</v>
      </c>
      <c r="B847" s="2" t="s">
        <v>2347</v>
      </c>
      <c r="C847" s="2" t="s">
        <v>2348</v>
      </c>
      <c r="D847" s="2" t="s">
        <v>72</v>
      </c>
      <c r="E847" s="2" t="s">
        <v>21</v>
      </c>
      <c r="F847" s="2" t="s">
        <v>15</v>
      </c>
      <c r="G847" s="2" t="s">
        <v>2349</v>
      </c>
      <c r="H847" s="2" t="s">
        <v>797</v>
      </c>
      <c r="I847" s="2" t="str">
        <f>IFERROR(__xludf.DUMMYFUNCTION("GOOGLETRANSLATE(C847,""fr"",""en"")"),"Customer service at a price, top top top!
I have no accident at the moment but the warranty is apparently very good too.
Advisers always very qualified, friendly and precise, clear explanations in the contracts.")</f>
        <v>Customer service at a price, top top top!
I have no accident at the moment but the warranty is apparently very good too.
Advisers always very qualified, friendly and precise, clear explanations in the contracts.</v>
      </c>
    </row>
    <row r="848" ht="15.75" customHeight="1">
      <c r="A848" s="2">
        <v>4.0</v>
      </c>
      <c r="B848" s="2" t="s">
        <v>2350</v>
      </c>
      <c r="C848" s="2" t="s">
        <v>2351</v>
      </c>
      <c r="D848" s="2" t="s">
        <v>2352</v>
      </c>
      <c r="E848" s="2" t="s">
        <v>122</v>
      </c>
      <c r="F848" s="2" t="s">
        <v>15</v>
      </c>
      <c r="G848" s="2" t="s">
        <v>2353</v>
      </c>
      <c r="H848" s="2" t="s">
        <v>38</v>
      </c>
      <c r="I848" s="2" t="str">
        <f>IFERROR(__xludf.DUMMYFUNCTION("GOOGLETRANSLATE(C848,""fr"",""en"")"),"Regarding the reception and the Council of Courters of the Peyrac Insurance agency, I am very satisfied knowing that they have been able to correct and regularize the errors of the robotic management center following a discount.
Hence the interest of fav"&amp;"oring to have in your research, a real human contact (agency with a storefront), especially concerning insurers!
This also suggests that we can hope for a good consideration in the event of a disaster! (in this case, the 5th star satisfaction would be at"&amp;"tributed)")</f>
        <v>Regarding the reception and the Council of Courters of the Peyrac Insurance agency, I am very satisfied knowing that they have been able to correct and regularize the errors of the robotic management center following a discount.
Hence the interest of favoring to have in your research, a real human contact (agency with a storefront), especially concerning insurers!
This also suggests that we can hope for a good consideration in the event of a disaster! (in this case, the 5th star satisfaction would be attributed)</v>
      </c>
    </row>
    <row r="849" ht="15.75" customHeight="1">
      <c r="A849" s="2">
        <v>1.0</v>
      </c>
      <c r="B849" s="2" t="s">
        <v>2354</v>
      </c>
      <c r="C849" s="2" t="s">
        <v>2355</v>
      </c>
      <c r="D849" s="2" t="s">
        <v>344</v>
      </c>
      <c r="E849" s="2" t="s">
        <v>104</v>
      </c>
      <c r="F849" s="2" t="s">
        <v>15</v>
      </c>
      <c r="G849" s="2" t="s">
        <v>2356</v>
      </c>
      <c r="H849" s="2" t="s">
        <v>241</v>
      </c>
      <c r="I849" s="2" t="str">
        <f>IFERROR(__xludf.DUMMYFUNCTION("GOOGLETRANSLATE(C849,""fr"",""en"")"),"I have samples from a loan whose reimbursement has been completed since June.
I can't reach anyone on the phone and no answers to my emails.
I am therefore particularly dissatisfied with this ghost company when you need to reach them but too present for"&amp;" industrial samples.
Didier Deer
Bial57@orange.fr")</f>
        <v>I have samples from a loan whose reimbursement has been completed since June.
I can't reach anyone on the phone and no answers to my emails.
I am therefore particularly dissatisfied with this ghost company when you need to reach them but too present for industrial samples.
Didier Deer
Bial57@orange.fr</v>
      </c>
    </row>
    <row r="850" ht="15.75" customHeight="1">
      <c r="A850" s="2">
        <v>1.0</v>
      </c>
      <c r="B850" s="2" t="s">
        <v>2357</v>
      </c>
      <c r="C850" s="2" t="s">
        <v>2358</v>
      </c>
      <c r="D850" s="2" t="s">
        <v>45</v>
      </c>
      <c r="E850" s="2" t="s">
        <v>14</v>
      </c>
      <c r="F850" s="2" t="s">
        <v>15</v>
      </c>
      <c r="G850" s="2" t="s">
        <v>2359</v>
      </c>
      <c r="H850" s="2" t="s">
        <v>292</v>
      </c>
      <c r="I850" s="2" t="str">
        <f>IFERROR(__xludf.DUMMYFUNCTION("GOOGLETRANSLATE(C850,""fr"",""en"")"),"I am at April with expatriate insurance as well as several colleagues from the same company, for 1.5 years now. We are several disappointed to see rebellious by their practices. Poor calculations on their part and complicated negotiation and time consumin"&amp;"g for the reimbursement of the sums due. Long response time see nonexistent response from them. Recently € 450 in reimbursements have been refused for dermatological costs. Be careful to read the clauses of contracts in detail, the information is biased o"&amp;"n their ""guarantees"" documents, not indicating the incredible list of guarantees.")</f>
        <v>I am at April with expatriate insurance as well as several colleagues from the same company, for 1.5 years now. We are several disappointed to see rebellious by their practices. Poor calculations on their part and complicated negotiation and time consuming for the reimbursement of the sums due. Long response time see nonexistent response from them. Recently € 450 in reimbursements have been refused for dermatological costs. Be careful to read the clauses of contracts in detail, the information is biased on their "guarantees" documents, not indicating the incredible list of guarantees.</v>
      </c>
    </row>
    <row r="851" ht="15.75" customHeight="1">
      <c r="A851" s="2">
        <v>1.0</v>
      </c>
      <c r="B851" s="2" t="s">
        <v>2360</v>
      </c>
      <c r="C851" s="2" t="s">
        <v>2361</v>
      </c>
      <c r="D851" s="2" t="s">
        <v>41</v>
      </c>
      <c r="E851" s="2" t="s">
        <v>21</v>
      </c>
      <c r="F851" s="2" t="s">
        <v>15</v>
      </c>
      <c r="G851" s="2" t="s">
        <v>806</v>
      </c>
      <c r="H851" s="2" t="s">
        <v>23</v>
      </c>
      <c r="I851" s="2" t="str">
        <f>IFERROR(__xludf.DUMMYFUNCTION("GOOGLETRANSLATE(C851,""fr"",""en"")"),"The prices are increasing every year, unjustifiedly, loyal customers are not rewarded, only new customers benefit from interesting rates.")</f>
        <v>The prices are increasing every year, unjustifiedly, loyal customers are not rewarded, only new customers benefit from interesting rates.</v>
      </c>
    </row>
    <row r="852" ht="15.75" customHeight="1">
      <c r="A852" s="2">
        <v>1.0</v>
      </c>
      <c r="B852" s="2" t="s">
        <v>2362</v>
      </c>
      <c r="C852" s="2" t="s">
        <v>2363</v>
      </c>
      <c r="D852" s="2" t="s">
        <v>45</v>
      </c>
      <c r="E852" s="2" t="s">
        <v>14</v>
      </c>
      <c r="F852" s="2" t="s">
        <v>15</v>
      </c>
      <c r="G852" s="2" t="s">
        <v>2364</v>
      </c>
      <c r="H852" s="2" t="s">
        <v>372</v>
      </c>
      <c r="I852" s="2" t="str">
        <f>IFERROR(__xludf.DUMMYFUNCTION("GOOGLETRANSLATE(C852,""fr"",""en"")"),"April insurance that is day of these customers
Not only when you happen to you a problem, this insurance finds all the means so as not to repay you, but in addition impossible to terminate when it increases these prices by more than 5 %
I wanted to modi"&amp;"fy my contract, another refusal due to a request for care which remains stuck in their computer system
I have never seen such unscrupulous insurance, it's a real scandal !!
I have been a customer for more than 2 years and I do not advise anyone APRIL in"&amp;"surance")</f>
        <v>April insurance that is day of these customers
Not only when you happen to you a problem, this insurance finds all the means so as not to repay you, but in addition impossible to terminate when it increases these prices by more than 5 %
I wanted to modify my contract, another refusal due to a request for care which remains stuck in their computer system
I have never seen such unscrupulous insurance, it's a real scandal !!
I have been a customer for more than 2 years and I do not advise anyone APRIL insurance</v>
      </c>
    </row>
    <row r="853" ht="15.75" customHeight="1">
      <c r="A853" s="2">
        <v>4.0</v>
      </c>
      <c r="B853" s="2" t="s">
        <v>2365</v>
      </c>
      <c r="C853" s="2" t="s">
        <v>2366</v>
      </c>
      <c r="D853" s="2" t="s">
        <v>41</v>
      </c>
      <c r="E853" s="2" t="s">
        <v>21</v>
      </c>
      <c r="F853" s="2" t="s">
        <v>15</v>
      </c>
      <c r="G853" s="2" t="s">
        <v>154</v>
      </c>
      <c r="H853" s="2" t="s">
        <v>74</v>
      </c>
      <c r="I853" s="2" t="str">
        <f>IFERROR(__xludf.DUMMYFUNCTION("GOOGLETRANSLATE(C853,""fr"",""en"")"),"It's okay, it suits me. Hoping that the guarantees are well respected. And that customer service is suitable. I have already subscribed before but the prices increased")</f>
        <v>It's okay, it suits me. Hoping that the guarantees are well respected. And that customer service is suitable. I have already subscribed before but the prices increased</v>
      </c>
    </row>
    <row r="854" ht="15.75" customHeight="1">
      <c r="A854" s="2">
        <v>1.0</v>
      </c>
      <c r="B854" s="2" t="s">
        <v>2367</v>
      </c>
      <c r="C854" s="2" t="s">
        <v>2368</v>
      </c>
      <c r="D854" s="2" t="s">
        <v>36</v>
      </c>
      <c r="E854" s="2" t="s">
        <v>58</v>
      </c>
      <c r="F854" s="2" t="s">
        <v>15</v>
      </c>
      <c r="G854" s="2" t="s">
        <v>2369</v>
      </c>
      <c r="H854" s="2" t="s">
        <v>292</v>
      </c>
      <c r="I854" s="2" t="str">
        <f>IFERROR(__xludf.DUMMYFUNCTION("GOOGLETRANSLATE(C854,""fr"",""en"")"),"Flight of break -in jewelry. For a jeweler ring with beautiful emerald (more invoice but a photo) the maif does not take into account our estimate and reimburses us € 200. We have been contributing for 30 years ...")</f>
        <v>Flight of break -in jewelry. For a jeweler ring with beautiful emerald (more invoice but a photo) the maif does not take into account our estimate and reimburses us € 200. We have been contributing for 30 years ...</v>
      </c>
    </row>
    <row r="855" ht="15.75" customHeight="1">
      <c r="A855" s="2">
        <v>5.0</v>
      </c>
      <c r="B855" s="2" t="s">
        <v>2370</v>
      </c>
      <c r="C855" s="2" t="s">
        <v>2371</v>
      </c>
      <c r="D855" s="2" t="s">
        <v>41</v>
      </c>
      <c r="E855" s="2" t="s">
        <v>21</v>
      </c>
      <c r="F855" s="2" t="s">
        <v>15</v>
      </c>
      <c r="G855" s="2" t="s">
        <v>1426</v>
      </c>
      <c r="H855" s="2" t="s">
        <v>28</v>
      </c>
      <c r="I855" s="2" t="str">
        <f>IFERROR(__xludf.DUMMYFUNCTION("GOOGLETRANSLATE(C855,""fr"",""en"")"),"Hello,
I have just subscribed to you, for the moment I am satisfied by the quality of the online advice.
A big thank you to advisor Sophie")</f>
        <v>Hello,
I have just subscribed to you, for the moment I am satisfied by the quality of the online advice.
A big thank you to advisor Sophie</v>
      </c>
    </row>
    <row r="856" ht="15.75" customHeight="1">
      <c r="A856" s="2">
        <v>4.0</v>
      </c>
      <c r="B856" s="2" t="s">
        <v>2372</v>
      </c>
      <c r="C856" s="2" t="s">
        <v>2373</v>
      </c>
      <c r="D856" s="2" t="s">
        <v>20</v>
      </c>
      <c r="E856" s="2" t="s">
        <v>21</v>
      </c>
      <c r="F856" s="2" t="s">
        <v>15</v>
      </c>
      <c r="G856" s="2" t="s">
        <v>1767</v>
      </c>
      <c r="H856" s="2" t="s">
        <v>28</v>
      </c>
      <c r="I856" s="2" t="str">
        <f>IFERROR(__xludf.DUMMYFUNCTION("GOOGLETRANSLATE(C856,""fr"",""en"")"),"Very good advisor, very correct prices on the other hand the site delirious from time to time during online quotes and it is quite painful .......................")</f>
        <v>Very good advisor, very correct prices on the other hand the site delirious from time to time during online quotes and it is quite painful .......................</v>
      </c>
    </row>
    <row r="857" ht="15.75" customHeight="1">
      <c r="A857" s="2">
        <v>1.0</v>
      </c>
      <c r="B857" s="2" t="s">
        <v>2374</v>
      </c>
      <c r="C857" s="2" t="s">
        <v>2375</v>
      </c>
      <c r="D857" s="2" t="s">
        <v>31</v>
      </c>
      <c r="E857" s="2" t="s">
        <v>21</v>
      </c>
      <c r="F857" s="2" t="s">
        <v>15</v>
      </c>
      <c r="G857" s="2" t="s">
        <v>329</v>
      </c>
      <c r="H857" s="2" t="s">
        <v>17</v>
      </c>
      <c r="I857" s="2" t="str">
        <f>IFERROR(__xludf.DUMMYFUNCTION("GOOGLETRANSLATE(C857,""fr"",""en"")"),"Sinister dating from September 2018, still not compensated we are at the end of December, too long response time. Arrogant and haughty telephone interlocutors.
I absolutely do not recommend this insurance.
More expensive")</f>
        <v>Sinister dating from September 2018, still not compensated we are at the end of December, too long response time. Arrogant and haughty telephone interlocutors.
I absolutely do not recommend this insurance.
More expensive</v>
      </c>
    </row>
    <row r="858" ht="15.75" customHeight="1">
      <c r="A858" s="2">
        <v>4.0</v>
      </c>
      <c r="B858" s="2" t="s">
        <v>2376</v>
      </c>
      <c r="C858" s="2" t="s">
        <v>2377</v>
      </c>
      <c r="D858" s="2" t="s">
        <v>41</v>
      </c>
      <c r="E858" s="2" t="s">
        <v>21</v>
      </c>
      <c r="F858" s="2" t="s">
        <v>15</v>
      </c>
      <c r="G858" s="2" t="s">
        <v>2144</v>
      </c>
      <c r="H858" s="2" t="s">
        <v>51</v>
      </c>
      <c r="I858" s="2" t="str">
        <f>IFERROR(__xludf.DUMMYFUNCTION("GOOGLETRANSLATE(C858,""fr"",""en"")"),"I have just subscribed to Direct Insurance so I cannot guarantee good customer service or other but what I can say is that the site is UX Friendly!")</f>
        <v>I have just subscribed to Direct Insurance so I cannot guarantee good customer service or other but what I can say is that the site is UX Friendly!</v>
      </c>
    </row>
    <row r="859" ht="15.75" customHeight="1">
      <c r="A859" s="2">
        <v>2.0</v>
      </c>
      <c r="B859" s="2" t="s">
        <v>2378</v>
      </c>
      <c r="C859" s="2" t="s">
        <v>2379</v>
      </c>
      <c r="D859" s="2" t="s">
        <v>41</v>
      </c>
      <c r="E859" s="2" t="s">
        <v>21</v>
      </c>
      <c r="F859" s="2" t="s">
        <v>15</v>
      </c>
      <c r="G859" s="2" t="s">
        <v>2380</v>
      </c>
      <c r="H859" s="2" t="s">
        <v>576</v>
      </c>
      <c r="I859" s="2" t="str">
        <f>IFERROR(__xludf.DUMMYFUNCTION("GOOGLETRANSLATE(C859,""fr"",""en"")"),"My negative experience with Direct Insurance: Delay of payment by check, revival by email, termination. No call-SMS to warn you. The day after the termination I activate myself to repair my delay in payment: calls and registered mail. Mail withdrawn on Fe"&amp;"bruary 1. We are 27: no answer but a cover letter: I have to pay all year 2017 when I have been terminated since the end of January. 600 euros in the air. In short, 0 service. I do not recommend at all. The insurer of my city with a showcase is slightly m"&amp;"ore expensive over a year, but very responsive and we can chat with them. Never again direct insurance for me. Watch out for the service.")</f>
        <v>My negative experience with Direct Insurance: Delay of payment by check, revival by email, termination. No call-SMS to warn you. The day after the termination I activate myself to repair my delay in payment: calls and registered mail. Mail withdrawn on February 1. We are 27: no answer but a cover letter: I have to pay all year 2017 when I have been terminated since the end of January. 600 euros in the air. In short, 0 service. I do not recommend at all. The insurer of my city with a showcase is slightly more expensive over a year, but very responsive and we can chat with them. Never again direct insurance for me. Watch out for the service.</v>
      </c>
    </row>
    <row r="860" ht="15.75" customHeight="1">
      <c r="A860" s="2">
        <v>2.0</v>
      </c>
      <c r="B860" s="2" t="s">
        <v>2381</v>
      </c>
      <c r="C860" s="2" t="s">
        <v>2382</v>
      </c>
      <c r="D860" s="2" t="s">
        <v>678</v>
      </c>
      <c r="E860" s="2" t="s">
        <v>21</v>
      </c>
      <c r="F860" s="2" t="s">
        <v>15</v>
      </c>
      <c r="G860" s="2" t="s">
        <v>1770</v>
      </c>
      <c r="H860" s="2" t="s">
        <v>576</v>
      </c>
      <c r="I860" s="2" t="str">
        <f>IFERROR(__xludf.DUMMYFUNCTION("GOOGLETRANSLATE(C860,""fr"",""en"")"),"I have subscribed two car insurance, one for the main car, the other for a leisure car (Méhari). For the latter, I declared my 31 -year -old son (who lives in Paris, being in Lyon, so for the occasional occasion) as a second driver, without knowing precis"&amp;"ely his bonus/penalty, but I knew that his coefficient B /M was less than 1 (bonus). The commercial made me a provisional contract with 0.9. When I finally produced a statement where the coefficient was 0.95. Eurofil then immediately and without any other"&amp;" communication, terminated this contract. While: 1) I was not warned that a coefficient greater than 0.9 was not accepted and 2) it could simply have been told that my son was not assurable at home, even temporarily. Instead, I was immediately sent a regi"&amp;"stered letter with acknowledgment of receipt, without any other. Hello the commercial relationship: excellent before the sale (small onion advisor), detestable as soon as we signed! Contempt for customers. I flee at the first opportunity.")</f>
        <v>I have subscribed two car insurance, one for the main car, the other for a leisure car (Méhari). For the latter, I declared my 31 -year -old son (who lives in Paris, being in Lyon, so for the occasional occasion) as a second driver, without knowing precisely his bonus/penalty, but I knew that his coefficient B /M was less than 1 (bonus). The commercial made me a provisional contract with 0.9. When I finally produced a statement where the coefficient was 0.95. Eurofil then immediately and without any other communication, terminated this contract. While: 1) I was not warned that a coefficient greater than 0.9 was not accepted and 2) it could simply have been told that my son was not assurable at home, even temporarily. Instead, I was immediately sent a registered letter with acknowledgment of receipt, without any other. Hello the commercial relationship: excellent before the sale (small onion advisor), detestable as soon as we signed! Contempt for customers. I flee at the first opportunity.</v>
      </c>
    </row>
    <row r="861" ht="15.75" customHeight="1">
      <c r="A861" s="2">
        <v>3.0</v>
      </c>
      <c r="B861" s="2" t="s">
        <v>2383</v>
      </c>
      <c r="C861" s="2" t="s">
        <v>2384</v>
      </c>
      <c r="D861" s="2" t="s">
        <v>41</v>
      </c>
      <c r="E861" s="2" t="s">
        <v>21</v>
      </c>
      <c r="F861" s="2" t="s">
        <v>15</v>
      </c>
      <c r="G861" s="2" t="s">
        <v>2104</v>
      </c>
      <c r="H861" s="2" t="s">
        <v>42</v>
      </c>
      <c r="I861" s="2" t="str">
        <f>IFERROR(__xludf.DUMMYFUNCTION("GOOGLETRANSLATE(C861,""fr"",""en"")"),"I cannot yet judge the service, but the subscription is easy until then.
Only the future will be able to tell me the competence of the services offered and support in the event of a defect.
My opinion can then change regarding satisfaction.")</f>
        <v>I cannot yet judge the service, but the subscription is easy until then.
Only the future will be able to tell me the competence of the services offered and support in the event of a defect.
My opinion can then change regarding satisfaction.</v>
      </c>
    </row>
    <row r="862" ht="15.75" customHeight="1">
      <c r="A862" s="2">
        <v>2.0</v>
      </c>
      <c r="B862" s="2" t="s">
        <v>2385</v>
      </c>
      <c r="C862" s="2" t="s">
        <v>2386</v>
      </c>
      <c r="D862" s="2" t="s">
        <v>108</v>
      </c>
      <c r="E862" s="2" t="s">
        <v>21</v>
      </c>
      <c r="F862" s="2" t="s">
        <v>15</v>
      </c>
      <c r="G862" s="2" t="s">
        <v>2387</v>
      </c>
      <c r="H862" s="2" t="s">
        <v>69</v>
      </c>
      <c r="I862" s="2" t="str">
        <f>IFERROR(__xludf.DUMMYFUNCTION("GOOGLETRANSLATE(C862,""fr"",""en"")"),"Client number: 273835
I am scandalized by your lack of professionalism. Indeed, I subscribed to you an insurance on 10/22/17. I had a month to send you all the necessary documents. Something I did, I have the proof because I took a picture of the site wh"&amp;"en all the documents were received and validated.
I thought then to receive my green card except that 10 days later I have no news of you, I decide then to contact you and this is where I am told that you have been looking for a booklet of a booklet 'Inf"&amp;"ormation with my old insurance but that you do not succeed because ""it is always closed"". I then decide to take care of it and send them an email and I manage to get the famous document less 20 minutes !! Suddenly I send you the information booklet for "&amp;"a second time on 12/29 (as a reminder I had already sent it to you the first time on time and you validated it !!)
So, I thought I had finished it once and for all, but no yesterday I receive a call telling me that my contract is temporarily terminated f"&amp;"or lack of documents provided. I then send you an email to find out which document it is I am answered that you had once again managed to recover the information book with this time the reason for termination noted on it. I asked my insurance an informati"&amp;"on book and he sent it to me immediately? I am not supposed to know how he presents himself. In addition, I have no need for the reason for termination given the Chatel law and that I had been at home for 4 years. So I still don't understand the interest "&amp;"of this document?
So since 11/11/17, when you had validated all the documents sent and after sending you many times asking you if you needed other documents, I am turned in a watery by your services! !
")</f>
        <v>Client number: 273835
I am scandalized by your lack of professionalism. Indeed, I subscribed to you an insurance on 10/22/17. I had a month to send you all the necessary documents. Something I did, I have the proof because I took a picture of the site when all the documents were received and validated.
I thought then to receive my green card except that 10 days later I have no news of you, I decide then to contact you and this is where I am told that you have been looking for a booklet of a booklet 'Information with my old insurance but that you do not succeed because "it is always closed". I then decide to take care of it and send them an email and I manage to get the famous document less 20 minutes !! Suddenly I send you the information booklet for a second time on 12/29 (as a reminder I had already sent it to you the first time on time and you validated it !!)
So, I thought I had finished it once and for all, but no yesterday I receive a call telling me that my contract is temporarily terminated for lack of documents provided. I then send you an email to find out which document it is I am answered that you had once again managed to recover the information book with this time the reason for termination noted on it. I asked my insurance an information book and he sent it to me immediately? I am not supposed to know how he presents himself. In addition, I have no need for the reason for termination given the Chatel law and that I had been at home for 4 years. So I still don't understand the interest of this document?
So since 11/11/17, when you had validated all the documents sent and after sending you many times asking you if you needed other documents, I am turned in a watery by your services! !
</v>
      </c>
    </row>
    <row r="863" ht="15.75" customHeight="1">
      <c r="A863" s="2">
        <v>2.0</v>
      </c>
      <c r="B863" s="2" t="s">
        <v>2388</v>
      </c>
      <c r="C863" s="2" t="s">
        <v>2389</v>
      </c>
      <c r="D863" s="2" t="s">
        <v>678</v>
      </c>
      <c r="E863" s="2" t="s">
        <v>21</v>
      </c>
      <c r="F863" s="2" t="s">
        <v>15</v>
      </c>
      <c r="G863" s="2" t="s">
        <v>2390</v>
      </c>
      <c r="H863" s="2" t="s">
        <v>465</v>
      </c>
      <c r="I863" s="2" t="str">
        <f>IFERROR(__xludf.DUMMYFUNCTION("GOOGLETRANSLATE(C863,""fr"",""en"")"),"Nullissime
Vire for an accident responsible for the secondary driver after 14 years without disaster for moving reasons
Does not defend his insured well
")</f>
        <v>Nullissime
Vire for an accident responsible for the secondary driver after 14 years without disaster for moving reasons
Does not defend his insured well
</v>
      </c>
    </row>
    <row r="864" ht="15.75" customHeight="1">
      <c r="A864" s="2">
        <v>5.0</v>
      </c>
      <c r="B864" s="2" t="s">
        <v>2391</v>
      </c>
      <c r="C864" s="2" t="s">
        <v>2392</v>
      </c>
      <c r="D864" s="2" t="s">
        <v>150</v>
      </c>
      <c r="E864" s="2" t="s">
        <v>122</v>
      </c>
      <c r="F864" s="2" t="s">
        <v>15</v>
      </c>
      <c r="G864" s="2" t="s">
        <v>893</v>
      </c>
      <c r="H864" s="2" t="s">
        <v>47</v>
      </c>
      <c r="I864" s="2" t="str">
        <f>IFERROR(__xludf.DUMMYFUNCTION("GOOGLETRANSLATE(C864,""fr"",""en"")"),"Very convenient
Quote in 10 min which is very easily done when you have all the information necessary for its development
I recommend this site and this insurance to everyone")</f>
        <v>Very convenient
Quote in 10 min which is very easily done when you have all the information necessary for its development
I recommend this site and this insurance to everyone</v>
      </c>
    </row>
    <row r="865" ht="15.75" customHeight="1">
      <c r="A865" s="2">
        <v>5.0</v>
      </c>
      <c r="B865" s="2" t="s">
        <v>2393</v>
      </c>
      <c r="C865" s="2" t="s">
        <v>2394</v>
      </c>
      <c r="D865" s="2" t="s">
        <v>41</v>
      </c>
      <c r="E865" s="2" t="s">
        <v>21</v>
      </c>
      <c r="F865" s="2" t="s">
        <v>15</v>
      </c>
      <c r="G865" s="2" t="s">
        <v>1841</v>
      </c>
      <c r="H865" s="2" t="s">
        <v>51</v>
      </c>
      <c r="I865" s="2" t="str">
        <f>IFERROR(__xludf.DUMMYFUNCTION("GOOGLETRANSLATE(C865,""fr"",""en"")"),"Speed ​​Poir Subscribe
Simplicity to subscribe
It's perfect
No complaints
To see in use
We can return to the quote several times and take the time to subscribe to we want")</f>
        <v>Speed ​​Poir Subscribe
Simplicity to subscribe
It's perfect
No complaints
To see in use
We can return to the quote several times and take the time to subscribe to we want</v>
      </c>
    </row>
    <row r="866" ht="15.75" customHeight="1">
      <c r="A866" s="2">
        <v>1.0</v>
      </c>
      <c r="B866" s="2" t="s">
        <v>2395</v>
      </c>
      <c r="C866" s="2" t="s">
        <v>2396</v>
      </c>
      <c r="D866" s="2" t="s">
        <v>395</v>
      </c>
      <c r="E866" s="2" t="s">
        <v>195</v>
      </c>
      <c r="F866" s="2" t="s">
        <v>15</v>
      </c>
      <c r="G866" s="2" t="s">
        <v>688</v>
      </c>
      <c r="H866" s="2" t="s">
        <v>689</v>
      </c>
      <c r="I866" s="2" t="str">
        <f>IFERROR(__xludf.DUMMYFUNCTION("GOOGLETRANSLATE(C866,""fr"",""en"")"),"Reading the comments, I now understand why I find it hard to get in touch with my pension organization.")</f>
        <v>Reading the comments, I now understand why I find it hard to get in touch with my pension organization.</v>
      </c>
    </row>
    <row r="867" ht="15.75" customHeight="1">
      <c r="A867" s="2">
        <v>1.0</v>
      </c>
      <c r="B867" s="2" t="s">
        <v>2397</v>
      </c>
      <c r="C867" s="2" t="s">
        <v>2398</v>
      </c>
      <c r="D867" s="2" t="s">
        <v>108</v>
      </c>
      <c r="E867" s="2" t="s">
        <v>21</v>
      </c>
      <c r="F867" s="2" t="s">
        <v>15</v>
      </c>
      <c r="G867" s="2" t="s">
        <v>2399</v>
      </c>
      <c r="H867" s="2" t="s">
        <v>660</v>
      </c>
      <c r="I867" s="2" t="str">
        <f>IFERROR(__xludf.DUMMYFUNCTION("GOOGLETRANSLATE(C867,""fr"",""en"")"),"Since my termination in September 2020, active assurance to continue to take me for three months. I have alerted them several times by phone and email. Since then, despite a first formal notice, we are in February and I have still not been reimbursed. Peo"&amp;"ple on the phone do not follow the files. What do I have to do to be reimbursed? Go to court!!!!")</f>
        <v>Since my termination in September 2020, active assurance to continue to take me for three months. I have alerted them several times by phone and email. Since then, despite a first formal notice, we are in February and I have still not been reimbursed. People on the phone do not follow the files. What do I have to do to be reimbursed? Go to court!!!!</v>
      </c>
    </row>
    <row r="868" ht="15.75" customHeight="1">
      <c r="A868" s="2">
        <v>1.0</v>
      </c>
      <c r="B868" s="2" t="s">
        <v>2400</v>
      </c>
      <c r="C868" s="2" t="s">
        <v>2401</v>
      </c>
      <c r="D868" s="2" t="s">
        <v>41</v>
      </c>
      <c r="E868" s="2" t="s">
        <v>21</v>
      </c>
      <c r="F868" s="2" t="s">
        <v>15</v>
      </c>
      <c r="G868" s="2" t="s">
        <v>73</v>
      </c>
      <c r="H868" s="2" t="s">
        <v>74</v>
      </c>
      <c r="I868" s="2" t="str">
        <f>IFERROR(__xludf.DUMMYFUNCTION("GOOGLETRANSLATE(C868,""fr"",""en"")"),"Direct insurance, car insurance that I would not even like my worst enemy !!!
 My vehicle has been stopped since August 8, we are on August 31, I still do not have the opinion of the expert,
I have subscribed to any risk insurance for a modus, I pay"&amp;" € 650 a year when I have been permit for 20 years.
Without vehicle to work, I am in a merrrrde not possible.")</f>
        <v>Direct insurance, car insurance that I would not even like my worst enemy !!!
 My vehicle has been stopped since August 8, we are on August 31, I still do not have the opinion of the expert,
I have subscribed to any risk insurance for a modus, I pay € 650 a year when I have been permit for 20 years.
Without vehicle to work, I am in a merrrrde not possible.</v>
      </c>
    </row>
    <row r="869" ht="15.75" customHeight="1">
      <c r="A869" s="2">
        <v>3.0</v>
      </c>
      <c r="B869" s="2" t="s">
        <v>2402</v>
      </c>
      <c r="C869" s="2" t="s">
        <v>2403</v>
      </c>
      <c r="D869" s="2" t="s">
        <v>13</v>
      </c>
      <c r="E869" s="2" t="s">
        <v>14</v>
      </c>
      <c r="F869" s="2" t="s">
        <v>15</v>
      </c>
      <c r="G869" s="2" t="s">
        <v>2305</v>
      </c>
      <c r="H869" s="2" t="s">
        <v>209</v>
      </c>
      <c r="I869" s="2" t="str">
        <f>IFERROR(__xludf.DUMMYFUNCTION("GOOGLETRANSLATE(C869,""fr"",""en"")"),"Telephone call with Sarah concerning the termination of my contract.")</f>
        <v>Telephone call with Sarah concerning the termination of my contract.</v>
      </c>
    </row>
    <row r="870" ht="15.75" customHeight="1">
      <c r="A870" s="2">
        <v>4.0</v>
      </c>
      <c r="B870" s="2" t="s">
        <v>2404</v>
      </c>
      <c r="C870" s="2" t="s">
        <v>2405</v>
      </c>
      <c r="D870" s="2" t="s">
        <v>121</v>
      </c>
      <c r="E870" s="2" t="s">
        <v>122</v>
      </c>
      <c r="F870" s="2" t="s">
        <v>15</v>
      </c>
      <c r="G870" s="2" t="s">
        <v>2110</v>
      </c>
      <c r="H870" s="2" t="s">
        <v>38</v>
      </c>
      <c r="I870" s="2" t="str">
        <f>IFERROR(__xludf.DUMMYFUNCTION("GOOGLETRANSLATE(C870,""fr"",""en"")"),"I am quite happy with our insurance, that said I have never declared a claim so I do not know the care, but concerning the payment, we are addressed an email to make the payment of the deadline, it is pretty good.
Could you set up insurance for vehicle"&amp;"s that run less than 2000 km per year?
I would like a commercial gesture to be made following the Pandemic of the COVID 19, because I do not already use my 2 wheels much on the year less than 2000 kms/year, then with the restrictions of schedules and O"&amp;"uts, my vehicle is necessarily in the garage.")</f>
        <v>I am quite happy with our insurance, that said I have never declared a claim so I do not know the care, but concerning the payment, we are addressed an email to make the payment of the deadline, it is pretty good.
Could you set up insurance for vehicles that run less than 2000 km per year?
I would like a commercial gesture to be made following the Pandemic of the COVID 19, because I do not already use my 2 wheels much on the year less than 2000 kms/year, then with the restrictions of schedules and Outs, my vehicle is necessarily in the garage.</v>
      </c>
    </row>
    <row r="871" ht="15.75" customHeight="1">
      <c r="A871" s="2">
        <v>1.0</v>
      </c>
      <c r="B871" s="2" t="s">
        <v>2406</v>
      </c>
      <c r="C871" s="2" t="s">
        <v>2407</v>
      </c>
      <c r="D871" s="2" t="s">
        <v>20</v>
      </c>
      <c r="E871" s="2" t="s">
        <v>21</v>
      </c>
      <c r="F871" s="2" t="s">
        <v>15</v>
      </c>
      <c r="G871" s="2" t="s">
        <v>575</v>
      </c>
      <c r="H871" s="2" t="s">
        <v>576</v>
      </c>
      <c r="I871" s="2" t="str">
        <f>IFERROR(__xludf.DUMMYFUNCTION("GOOGLETRANSLATE(C871,""fr"",""en"")"),"Customer service not serious to avoid. An advisor who tells you date -to -5min and forget you 1 hour until the time of closing without giving any news.
I have called my request three times never to treat
VERY DISAPPOINTED")</f>
        <v>Customer service not serious to avoid. An advisor who tells you date -to -5min and forget you 1 hour until the time of closing without giving any news.
I have called my request three times never to treat
VERY DISAPPOINTED</v>
      </c>
    </row>
    <row r="872" ht="15.75" customHeight="1">
      <c r="A872" s="2">
        <v>1.0</v>
      </c>
      <c r="B872" s="2" t="s">
        <v>2408</v>
      </c>
      <c r="C872" s="2" t="s">
        <v>2409</v>
      </c>
      <c r="D872" s="2" t="s">
        <v>31</v>
      </c>
      <c r="E872" s="2" t="s">
        <v>58</v>
      </c>
      <c r="F872" s="2" t="s">
        <v>15</v>
      </c>
      <c r="G872" s="2" t="s">
        <v>2410</v>
      </c>
      <c r="H872" s="2" t="s">
        <v>17</v>
      </c>
      <c r="I872" s="2" t="str">
        <f>IFERROR(__xludf.DUMMYFUNCTION("GOOGLETRANSLATE(C872,""fr"",""en"")"),"Hello,
The Macif is an insurance that is only there to collect the money from the insured !!! Following a burglary that occurred in April 2018, an expertise was carried out or rather sloppy ... A derisory sum was paid to us. I have repeatedly sent letter"&amp;"s, because my phone calls remained unanswered, to know why a dilapidated rate of 80 % was applied while in our insurance contract it is stipulated up to 70 %, why In some cases it is the new value that is applied and other times the used value. The latest"&amp;" invoices transmitted to the expert have not even been taken into account when they are well nominative, as asked for us !!! The Macif never wanted to give an explanation. The only answer given is to commission an expert at our expense, if we want to cont"&amp;"est the costing. To believe that insurers get fat thanks to the experts and have them fattened. This is scandalous !!! I specify that we have been at home for 30 years (4 vehicles insured at home and home) with a disaster. The Macif has no consideration f"&amp;"or its insured, it is time that we leave their home !!!")</f>
        <v>Hello,
The Macif is an insurance that is only there to collect the money from the insured !!! Following a burglary that occurred in April 2018, an expertise was carried out or rather sloppy ... A derisory sum was paid to us. I have repeatedly sent letters, because my phone calls remained unanswered, to know why a dilapidated rate of 80 % was applied while in our insurance contract it is stipulated up to 70 %, why In some cases it is the new value that is applied and other times the used value. The latest invoices transmitted to the expert have not even been taken into account when they are well nominative, as asked for us !!! The Macif never wanted to give an explanation. The only answer given is to commission an expert at our expense, if we want to contest the costing. To believe that insurers get fat thanks to the experts and have them fattened. This is scandalous !!! I specify that we have been at home for 30 years (4 vehicles insured at home and home) with a disaster. The Macif has no consideration for its insured, it is time that we leave their home !!!</v>
      </c>
    </row>
    <row r="873" ht="15.75" customHeight="1">
      <c r="A873" s="2">
        <v>3.0</v>
      </c>
      <c r="B873" s="2" t="s">
        <v>2411</v>
      </c>
      <c r="C873" s="2" t="s">
        <v>2412</v>
      </c>
      <c r="D873" s="2" t="s">
        <v>20</v>
      </c>
      <c r="E873" s="2" t="s">
        <v>21</v>
      </c>
      <c r="F873" s="2" t="s">
        <v>15</v>
      </c>
      <c r="G873" s="2" t="s">
        <v>2413</v>
      </c>
      <c r="H873" s="2" t="s">
        <v>47</v>
      </c>
      <c r="I873" s="2" t="str">
        <f>IFERROR(__xludf.DUMMYFUNCTION("GOOGLETRANSLATE(C873,""fr"",""en"")"),"A little excessive but better guaranteed price than the competitor, nice person, I think it is a good insurance company and complete thank you in advance")</f>
        <v>A little excessive but better guaranteed price than the competitor, nice person, I think it is a good insurance company and complete thank you in advance</v>
      </c>
    </row>
    <row r="874" ht="15.75" customHeight="1">
      <c r="A874" s="2">
        <v>1.0</v>
      </c>
      <c r="B874" s="2" t="s">
        <v>2414</v>
      </c>
      <c r="C874" s="2" t="s">
        <v>2415</v>
      </c>
      <c r="D874" s="2" t="s">
        <v>605</v>
      </c>
      <c r="E874" s="2" t="s">
        <v>195</v>
      </c>
      <c r="F874" s="2" t="s">
        <v>15</v>
      </c>
      <c r="G874" s="2" t="s">
        <v>572</v>
      </c>
      <c r="H874" s="2" t="s">
        <v>309</v>
      </c>
      <c r="I874" s="2" t="str">
        <f>IFERROR(__xludf.DUMMYFUNCTION("GOOGLETRANSLATE(C874,""fr"",""en"")"),"My work stoppage was not taken care of. 1 month without employee, without any care of the AG2R.")</f>
        <v>My work stoppage was not taken care of. 1 month without employee, without any care of the AG2R.</v>
      </c>
    </row>
    <row r="875" ht="15.75" customHeight="1">
      <c r="A875" s="2">
        <v>4.0</v>
      </c>
      <c r="B875" s="2" t="s">
        <v>2416</v>
      </c>
      <c r="C875" s="2" t="s">
        <v>2417</v>
      </c>
      <c r="D875" s="2" t="s">
        <v>41</v>
      </c>
      <c r="E875" s="2" t="s">
        <v>21</v>
      </c>
      <c r="F875" s="2" t="s">
        <v>15</v>
      </c>
      <c r="G875" s="2" t="s">
        <v>2418</v>
      </c>
      <c r="H875" s="2" t="s">
        <v>23</v>
      </c>
      <c r="I875" s="2" t="str">
        <f>IFERROR(__xludf.DUMMYFUNCTION("GOOGLETRANSLATE(C875,""fr"",""en"")"),"Simple and effective to subscribe, declare a disaster. Insurance accessible to all with good value for money. The application is easy to use.")</f>
        <v>Simple and effective to subscribe, declare a disaster. Insurance accessible to all with good value for money. The application is easy to use.</v>
      </c>
    </row>
    <row r="876" ht="15.75" customHeight="1">
      <c r="A876" s="2">
        <v>2.0</v>
      </c>
      <c r="B876" s="2" t="s">
        <v>2419</v>
      </c>
      <c r="C876" s="2" t="s">
        <v>2420</v>
      </c>
      <c r="D876" s="2" t="s">
        <v>67</v>
      </c>
      <c r="E876" s="2" t="s">
        <v>21</v>
      </c>
      <c r="F876" s="2" t="s">
        <v>15</v>
      </c>
      <c r="G876" s="2" t="s">
        <v>2421</v>
      </c>
      <c r="H876" s="2" t="s">
        <v>88</v>
      </c>
      <c r="I876" s="2" t="str">
        <f>IFERROR(__xludf.DUMMYFUNCTION("GOOGLETRANSLATE(C876,""fr"",""en"")"),"I have been insured for 20 years at the MAAF (car, motorcycle, housing) and no commercial gesture when I have never had a claim, I find it a shame and I find the customer relationship very impersonal ...")</f>
        <v>I have been insured for 20 years at the MAAF (car, motorcycle, housing) and no commercial gesture when I have never had a claim, I find it a shame and I find the customer relationship very impersonal ...</v>
      </c>
    </row>
    <row r="877" ht="15.75" customHeight="1">
      <c r="A877" s="2">
        <v>1.0</v>
      </c>
      <c r="B877" s="2" t="s">
        <v>2422</v>
      </c>
      <c r="C877" s="2" t="s">
        <v>2423</v>
      </c>
      <c r="D877" s="2" t="s">
        <v>164</v>
      </c>
      <c r="E877" s="2" t="s">
        <v>58</v>
      </c>
      <c r="F877" s="2" t="s">
        <v>15</v>
      </c>
      <c r="G877" s="2" t="s">
        <v>2424</v>
      </c>
      <c r="H877" s="2" t="s">
        <v>309</v>
      </c>
      <c r="I877" s="2" t="str">
        <f>IFERROR(__xludf.DUMMYFUNCTION("GOOGLETRANSLATE(C877,""fr"",""en"")"),"Insurance that does everything to make the termination complicated and difficult, termination impossible online or on the phone, no button or site to be able to terminate, they do not even appear online, advisers who will reject the fault on you, the cont"&amp;"racts are renewed indefinitely . No reimbursement possible, even if you have never benefited from insurance, no refund for accommodation left months ago, we even continue to take you a month after termination.")</f>
        <v>Insurance that does everything to make the termination complicated and difficult, termination impossible online or on the phone, no button or site to be able to terminate, they do not even appear online, advisers who will reject the fault on you, the contracts are renewed indefinitely . No reimbursement possible, even if you have never benefited from insurance, no refund for accommodation left months ago, we even continue to take you a month after termination.</v>
      </c>
    </row>
    <row r="878" ht="15.75" customHeight="1">
      <c r="A878" s="2">
        <v>1.0</v>
      </c>
      <c r="B878" s="2" t="s">
        <v>2425</v>
      </c>
      <c r="C878" s="2" t="s">
        <v>2426</v>
      </c>
      <c r="D878" s="2" t="s">
        <v>41</v>
      </c>
      <c r="E878" s="2" t="s">
        <v>21</v>
      </c>
      <c r="F878" s="2" t="s">
        <v>15</v>
      </c>
      <c r="G878" s="2" t="s">
        <v>537</v>
      </c>
      <c r="H878" s="2" t="s">
        <v>42</v>
      </c>
      <c r="I878" s="2" t="str">
        <f>IFERROR(__xludf.DUMMYFUNCTION("GOOGLETRANSLATE(C878,""fr"",""en"")"),"I am not all satisfied.
I declared a vandalism of my car which went to a parking accident during my discussion with a counselor just so as not to repair the car. At the end he did not want to give me the car, an adviser who tells me that she is repatriat"&amp;"ed to Garagiste X and another who at Garage Y.
I really didn't expect that.")</f>
        <v>I am not all satisfied.
I declared a vandalism of my car which went to a parking accident during my discussion with a counselor just so as not to repair the car. At the end he did not want to give me the car, an adviser who tells me that she is repatriated to Garagiste X and another who at Garage Y.
I really didn't expect that.</v>
      </c>
    </row>
    <row r="879" ht="15.75" customHeight="1">
      <c r="A879" s="2">
        <v>4.0</v>
      </c>
      <c r="B879" s="2" t="s">
        <v>2427</v>
      </c>
      <c r="C879" s="2" t="s">
        <v>2428</v>
      </c>
      <c r="D879" s="2" t="s">
        <v>45</v>
      </c>
      <c r="E879" s="2" t="s">
        <v>14</v>
      </c>
      <c r="F879" s="2" t="s">
        <v>15</v>
      </c>
      <c r="G879" s="2" t="s">
        <v>2429</v>
      </c>
      <c r="H879" s="2" t="s">
        <v>269</v>
      </c>
      <c r="I879" s="2" t="str">
        <f>IFERROR(__xludf.DUMMYFUNCTION("GOOGLETRANSLATE(C879,""fr"",""en"")"),"If I had relying that in comments I would not have insured myself. While the price was more attractive.")</f>
        <v>If I had relying that in comments I would not have insured myself. While the price was more attractive.</v>
      </c>
    </row>
    <row r="880" ht="15.75" customHeight="1">
      <c r="A880" s="2">
        <v>4.0</v>
      </c>
      <c r="B880" s="2" t="s">
        <v>2430</v>
      </c>
      <c r="C880" s="2" t="s">
        <v>2431</v>
      </c>
      <c r="D880" s="2" t="s">
        <v>121</v>
      </c>
      <c r="E880" s="2" t="s">
        <v>122</v>
      </c>
      <c r="F880" s="2" t="s">
        <v>15</v>
      </c>
      <c r="G880" s="2" t="s">
        <v>2432</v>
      </c>
      <c r="H880" s="2" t="s">
        <v>93</v>
      </c>
      <c r="I880" s="2" t="str">
        <f>IFERROR(__xludf.DUMMYFUNCTION("GOOGLETRANSLATE(C880,""fr"",""en"")"),"Beautiful company with real customer relationship.")</f>
        <v>Beautiful company with real customer relationship.</v>
      </c>
    </row>
    <row r="881" ht="15.75" customHeight="1">
      <c r="A881" s="2">
        <v>1.0</v>
      </c>
      <c r="B881" s="2" t="s">
        <v>2433</v>
      </c>
      <c r="C881" s="2" t="s">
        <v>2434</v>
      </c>
      <c r="D881" s="2" t="s">
        <v>31</v>
      </c>
      <c r="E881" s="2" t="s">
        <v>21</v>
      </c>
      <c r="F881" s="2" t="s">
        <v>15</v>
      </c>
      <c r="G881" s="2" t="s">
        <v>2435</v>
      </c>
      <c r="H881" s="2" t="s">
        <v>1130</v>
      </c>
      <c r="I881" s="2" t="str">
        <f>IFERROR(__xludf.DUMMYFUNCTION("GOOGLETRANSLATE(C881,""fr"",""en"")"),"Hello ,
On 02/13/2019 I was stolen my 2 license plates and they broke a window for those who could open the car it was an attempted theft abroad (low country) I am insured in France So I had the Macif assistance from Belgium since I have the car that on "&amp;"March 6 because the car was recovering by the police like there was no plaque and it was a flight attempt. Today I have the car on the edge is displayed service now and control the lighting of the police lights !!!! I reminded the assistance so that I can"&amp;" bring the car back to the garage. I have an appointment that the 14Mars and do not want to make an appointment with the expert before I bring the car back to the garage its means you still wait !!!! I am very disappointed.
We pay every month all risks a"&amp;"nd when we have problems they are not either they say you do not have this protection, we can do nothing for you, tell us that we can do for you each call a month I must repeat the problem")</f>
        <v>Hello ,
On 02/13/2019 I was stolen my 2 license plates and they broke a window for those who could open the car it was an attempted theft abroad (low country) I am insured in France So I had the Macif assistance from Belgium since I have the car that on March 6 because the car was recovering by the police like there was no plaque and it was a flight attempt. Today I have the car on the edge is displayed service now and control the lighting of the police lights !!!! I reminded the assistance so that I can bring the car back to the garage. I have an appointment that the 14Mars and do not want to make an appointment with the expert before I bring the car back to the garage its means you still wait !!!! I am very disappointed.
We pay every month all risks and when we have problems they are not either they say you do not have this protection, we can do nothing for you, tell us that we can do for you each call a month I must repeat the problem</v>
      </c>
    </row>
    <row r="882" ht="15.75" customHeight="1">
      <c r="A882" s="2">
        <v>1.0</v>
      </c>
      <c r="B882" s="2" t="s">
        <v>2436</v>
      </c>
      <c r="C882" s="2" t="s">
        <v>2437</v>
      </c>
      <c r="D882" s="2" t="s">
        <v>395</v>
      </c>
      <c r="E882" s="2" t="s">
        <v>21</v>
      </c>
      <c r="F882" s="2" t="s">
        <v>15</v>
      </c>
      <c r="G882" s="2" t="s">
        <v>2438</v>
      </c>
      <c r="H882" s="2" t="s">
        <v>269</v>
      </c>
      <c r="I882" s="2" t="str">
        <f>IFERROR(__xludf.DUMMYFUNCTION("GOOGLETRANSLATE(C882,""fr"",""en"")"),"This will be 4 years old on March 29, 2020 I await the reimbursement of my car following non -responsible accident and body compensation for my ex -husband.
We are still waiting.
We have been insured for years for AXA with several contracts.
I do not r"&amp;"ecommend this Axa Fior and Brandolin insurance in Langon 33210.
Very disapointed")</f>
        <v>This will be 4 years old on March 29, 2020 I await the reimbursement of my car following non -responsible accident and body compensation for my ex -husband.
We are still waiting.
We have been insured for years for AXA with several contracts.
I do not recommend this Axa Fior and Brandolin insurance in Langon 33210.
Very disapointed</v>
      </c>
    </row>
    <row r="883" ht="15.75" customHeight="1">
      <c r="A883" s="2">
        <v>2.0</v>
      </c>
      <c r="B883" s="2" t="s">
        <v>2439</v>
      </c>
      <c r="C883" s="2" t="s">
        <v>2440</v>
      </c>
      <c r="D883" s="2" t="s">
        <v>72</v>
      </c>
      <c r="E883" s="2" t="s">
        <v>21</v>
      </c>
      <c r="F883" s="2" t="s">
        <v>15</v>
      </c>
      <c r="G883" s="2" t="s">
        <v>1574</v>
      </c>
      <c r="H883" s="2" t="s">
        <v>610</v>
      </c>
      <c r="I883" s="2" t="str">
        <f>IFERROR(__xludf.DUMMYFUNCTION("GOOGLETRANSLATE(C883,""fr"",""en"")"),"I was terminated because I had 2 ice creams (windshield) and a hanging in the parking lot of my work (not responsible with known third parties = no fees for my insurance) in 2 years. 0 responsible accident in 19 years of license and I am cataloged as a ba"&amp;"d driver, I am a little [a lot] disgusted. In addition, once to terminate insurance (regardless of claims), many insurance refuses you. An insurer I asked for a quote told me that I was the third in this case since the start of the year. Conclusion: A cor"&amp;"rect price but you must not have a claim, basically insurance that is useless if not to fuck you in the M ...")</f>
        <v>I was terminated because I had 2 ice creams (windshield) and a hanging in the parking lot of my work (not responsible with known third parties = no fees for my insurance) in 2 years. 0 responsible accident in 19 years of license and I am cataloged as a bad driver, I am a little [a lot] disgusted. In addition, once to terminate insurance (regardless of claims), many insurance refuses you. An insurer I asked for a quote told me that I was the third in this case since the start of the year. Conclusion: A correct price but you must not have a claim, basically insurance that is useless if not to fuck you in the M ...</v>
      </c>
    </row>
    <row r="884" ht="15.75" customHeight="1">
      <c r="A884" s="2">
        <v>4.0</v>
      </c>
      <c r="B884" s="2" t="s">
        <v>2441</v>
      </c>
      <c r="C884" s="2" t="s">
        <v>2442</v>
      </c>
      <c r="D884" s="2" t="s">
        <v>41</v>
      </c>
      <c r="E884" s="2" t="s">
        <v>21</v>
      </c>
      <c r="F884" s="2" t="s">
        <v>15</v>
      </c>
      <c r="G884" s="2" t="s">
        <v>2443</v>
      </c>
      <c r="H884" s="2" t="s">
        <v>1949</v>
      </c>
      <c r="I884" s="2" t="str">
        <f>IFERROR(__xludf.DUMMYFUNCTION("GOOGLETRANSLATE(C884,""fr"",""en"")"),"Compared to risk coverage (all risks, 0km assistance, driver's protection) I must say that this insurer is fairly well placed for correct services and also prices.")</f>
        <v>Compared to risk coverage (all risks, 0km assistance, driver's protection) I must say that this insurer is fairly well placed for correct services and also prices.</v>
      </c>
    </row>
    <row r="885" ht="15.75" customHeight="1">
      <c r="A885" s="2">
        <v>3.0</v>
      </c>
      <c r="B885" s="2" t="s">
        <v>2444</v>
      </c>
      <c r="C885" s="2" t="s">
        <v>2445</v>
      </c>
      <c r="D885" s="2" t="s">
        <v>20</v>
      </c>
      <c r="E885" s="2" t="s">
        <v>21</v>
      </c>
      <c r="F885" s="2" t="s">
        <v>15</v>
      </c>
      <c r="G885" s="2" t="s">
        <v>157</v>
      </c>
      <c r="H885" s="2" t="s">
        <v>28</v>
      </c>
      <c r="I885" s="2" t="str">
        <f>IFERROR(__xludf.DUMMYFUNCTION("GOOGLETRANSLATE(C885,""fr"",""en"")"),"The price is attractive for the purchase of a first vehicle,
The service is good for subscription, hoping that claims will be just as well managed.")</f>
        <v>The price is attractive for the purchase of a first vehicle,
The service is good for subscription, hoping that claims will be just as well managed.</v>
      </c>
    </row>
    <row r="886" ht="15.75" customHeight="1">
      <c r="A886" s="2">
        <v>4.0</v>
      </c>
      <c r="B886" s="2" t="s">
        <v>2446</v>
      </c>
      <c r="C886" s="2" t="s">
        <v>2447</v>
      </c>
      <c r="D886" s="2" t="s">
        <v>20</v>
      </c>
      <c r="E886" s="2" t="s">
        <v>21</v>
      </c>
      <c r="F886" s="2" t="s">
        <v>15</v>
      </c>
      <c r="G886" s="2" t="s">
        <v>2161</v>
      </c>
      <c r="H886" s="2" t="s">
        <v>134</v>
      </c>
      <c r="I886" s="2" t="str">
        <f>IFERROR(__xludf.DUMMYFUNCTION("GOOGLETRANSLATE(C886,""fr"",""en"")"),"I am satisfied with the telephone service.
The advisers are attentive and very pleasant.
The prices are correct but unfortunately a little high for a young driver.
")</f>
        <v>I am satisfied with the telephone service.
The advisers are attentive and very pleasant.
The prices are correct but unfortunately a little high for a young driver.
</v>
      </c>
    </row>
    <row r="887" ht="15.75" customHeight="1">
      <c r="A887" s="2">
        <v>3.0</v>
      </c>
      <c r="B887" s="2" t="s">
        <v>2448</v>
      </c>
      <c r="C887" s="2" t="s">
        <v>2449</v>
      </c>
      <c r="D887" s="2" t="s">
        <v>72</v>
      </c>
      <c r="E887" s="2" t="s">
        <v>21</v>
      </c>
      <c r="F887" s="2" t="s">
        <v>15</v>
      </c>
      <c r="G887" s="2" t="s">
        <v>2450</v>
      </c>
      <c r="H887" s="2" t="s">
        <v>309</v>
      </c>
      <c r="I887" s="2" t="str">
        <f>IFERROR(__xludf.DUMMYFUNCTION("GOOGLETRANSLATE(C887,""fr"",""en"")"),"I have been assured for several years at the GMF but I have changed insurer following a declaration of a loss treated with 3 months late. The contributions are reasonable but the sinister service is unreachable by phone but also by email that I sent them "&amp;"several times and remained unanswered.")</f>
        <v>I have been assured for several years at the GMF but I have changed insurer following a declaration of a loss treated with 3 months late. The contributions are reasonable but the sinister service is unreachable by phone but also by email that I sent them several times and remained unanswered.</v>
      </c>
    </row>
    <row r="888" ht="15.75" customHeight="1">
      <c r="A888" s="2">
        <v>2.0</v>
      </c>
      <c r="B888" s="2" t="s">
        <v>2451</v>
      </c>
      <c r="C888" s="2" t="s">
        <v>2452</v>
      </c>
      <c r="D888" s="2" t="s">
        <v>45</v>
      </c>
      <c r="E888" s="2" t="s">
        <v>14</v>
      </c>
      <c r="F888" s="2" t="s">
        <v>15</v>
      </c>
      <c r="G888" s="2" t="s">
        <v>2453</v>
      </c>
      <c r="H888" s="2" t="s">
        <v>144</v>
      </c>
      <c r="I888" s="2" t="str">
        <f>IFERROR(__xludf.DUMMYFUNCTION("GOOGLETRANSLATE(C888,""fr"",""en"")"),"Dental quote for an onlay sent: response € 160 of reimbursement
Corresponding invoice sent: response 20 € refund
Conclusion: to flee if you are not captive like me (mutual employer)")</f>
        <v>Dental quote for an onlay sent: response € 160 of reimbursement
Corresponding invoice sent: response 20 € refund
Conclusion: to flee if you are not captive like me (mutual employer)</v>
      </c>
    </row>
    <row r="889" ht="15.75" customHeight="1">
      <c r="A889" s="2">
        <v>5.0</v>
      </c>
      <c r="B889" s="2" t="s">
        <v>2454</v>
      </c>
      <c r="C889" s="2" t="s">
        <v>2455</v>
      </c>
      <c r="D889" s="2" t="s">
        <v>150</v>
      </c>
      <c r="E889" s="2" t="s">
        <v>122</v>
      </c>
      <c r="F889" s="2" t="s">
        <v>15</v>
      </c>
      <c r="G889" s="2" t="s">
        <v>47</v>
      </c>
      <c r="H889" s="2" t="s">
        <v>47</v>
      </c>
      <c r="I889" s="2" t="str">
        <f>IFERROR(__xludf.DUMMYFUNCTION("GOOGLETRANSLATE(C889,""fr"",""en"")"),"Hypersport insurance with the guarantees equivalent to insurers whose names we will be silent. Excellent value. To see in time.")</f>
        <v>Hypersport insurance with the guarantees equivalent to insurers whose names we will be silent. Excellent value. To see in time.</v>
      </c>
    </row>
    <row r="890" ht="15.75" customHeight="1">
      <c r="A890" s="2">
        <v>1.0</v>
      </c>
      <c r="B890" s="2" t="s">
        <v>2456</v>
      </c>
      <c r="C890" s="2" t="s">
        <v>2457</v>
      </c>
      <c r="D890" s="2" t="s">
        <v>13</v>
      </c>
      <c r="E890" s="2" t="s">
        <v>14</v>
      </c>
      <c r="F890" s="2" t="s">
        <v>15</v>
      </c>
      <c r="G890" s="2" t="s">
        <v>2458</v>
      </c>
      <c r="H890" s="2" t="s">
        <v>610</v>
      </c>
      <c r="I890" s="2" t="str">
        <f>IFERROR(__xludf.DUMMYFUNCTION("GOOGLETRANSLATE(C890,""fr"",""en"")"),"Telephone sales techniques are unacceptable (they disturb people registered on Bloctel by claiming an anomaly on the health file). They ask for the date of birth and pretends to be in relation to the CPAM. Who are we laughing at?")</f>
        <v>Telephone sales techniques are unacceptable (they disturb people registered on Bloctel by claiming an anomaly on the health file). They ask for the date of birth and pretends to be in relation to the CPAM. Who are we laughing at?</v>
      </c>
    </row>
    <row r="891" ht="15.75" customHeight="1">
      <c r="A891" s="2">
        <v>5.0</v>
      </c>
      <c r="B891" s="2" t="s">
        <v>2459</v>
      </c>
      <c r="C891" s="2" t="s">
        <v>2460</v>
      </c>
      <c r="D891" s="2" t="s">
        <v>41</v>
      </c>
      <c r="E891" s="2" t="s">
        <v>21</v>
      </c>
      <c r="F891" s="2" t="s">
        <v>15</v>
      </c>
      <c r="G891" s="2" t="s">
        <v>1329</v>
      </c>
      <c r="H891" s="2" t="s">
        <v>74</v>
      </c>
      <c r="I891" s="2" t="str">
        <f>IFERROR(__xludf.DUMMYFUNCTION("GOOGLETRANSLATE(C891,""fr"",""en"")"),"RAS, Simple and efficient
I highly recommend
The quote was clear and the validation rapid
Listening, responsive and good customization of the quote is possible
")</f>
        <v>RAS, Simple and efficient
I highly recommend
The quote was clear and the validation rapid
Listening, responsive and good customization of the quote is possible
</v>
      </c>
    </row>
    <row r="892" ht="15.75" customHeight="1">
      <c r="A892" s="2">
        <v>5.0</v>
      </c>
      <c r="B892" s="2" t="s">
        <v>2461</v>
      </c>
      <c r="C892" s="2" t="s">
        <v>2462</v>
      </c>
      <c r="D892" s="2" t="s">
        <v>20</v>
      </c>
      <c r="E892" s="2" t="s">
        <v>21</v>
      </c>
      <c r="F892" s="2" t="s">
        <v>15</v>
      </c>
      <c r="G892" s="2" t="s">
        <v>1667</v>
      </c>
      <c r="H892" s="2" t="s">
        <v>60</v>
      </c>
      <c r="I892" s="2" t="str">
        <f>IFERROR(__xludf.DUMMYFUNCTION("GOOGLETRANSLATE(C892,""fr"",""en"")"),"I have been with this insurer for two years. I noticed not only an excellent value for money but an effective and sympathetic follow -up, both on the subscription, renewal as in the loss management. I highly recommend.")</f>
        <v>I have been with this insurer for two years. I noticed not only an excellent value for money but an effective and sympathetic follow -up, both on the subscription, renewal as in the loss management. I highly recommend.</v>
      </c>
    </row>
    <row r="893" ht="15.75" customHeight="1">
      <c r="A893" s="2">
        <v>3.0</v>
      </c>
      <c r="B893" s="2" t="s">
        <v>2463</v>
      </c>
      <c r="C893" s="2" t="s">
        <v>2464</v>
      </c>
      <c r="D893" s="2" t="s">
        <v>592</v>
      </c>
      <c r="E893" s="2" t="s">
        <v>14</v>
      </c>
      <c r="F893" s="2" t="s">
        <v>15</v>
      </c>
      <c r="G893" s="2" t="s">
        <v>685</v>
      </c>
      <c r="H893" s="2" t="s">
        <v>74</v>
      </c>
      <c r="I893" s="2" t="str">
        <f>IFERROR(__xludf.DUMMYFUNCTION("GOOGLETRANSLATE(C893,""fr"",""en"")"),"Overall satisfied with the services, whether by telephone or online.
However: dissatisfaction with prices, namely, among other things, an increase in contribution of 38% between 2020 and 2021. . . .never seen ! ! !
In my opinion we pay the cost of setti"&amp;"ng up the famous concepts of the 100% care concerning hearing, dental and telescope; However to have correct care and equipment concerning these expense stations. . .rien has really changed. . Because in this concept of care 100% we offer you the minimum "&amp;"and result: this has contributed to the increase in contributions which does not go in the direction of members.
")</f>
        <v>Overall satisfied with the services, whether by telephone or online.
However: dissatisfaction with prices, namely, among other things, an increase in contribution of 38% between 2020 and 2021. . . .never seen ! ! !
In my opinion we pay the cost of setting up the famous concepts of the 100% care concerning hearing, dental and telescope; However to have correct care and equipment concerning these expense stations. . .rien has really changed. . Because in this concept of care 100% we offer you the minimum and result: this has contributed to the increase in contributions which does not go in the direction of members.
</v>
      </c>
    </row>
    <row r="894" ht="15.75" customHeight="1">
      <c r="A894" s="2">
        <v>4.0</v>
      </c>
      <c r="B894" s="2" t="s">
        <v>2465</v>
      </c>
      <c r="C894" s="2" t="s">
        <v>2466</v>
      </c>
      <c r="D894" s="2" t="s">
        <v>20</v>
      </c>
      <c r="E894" s="2" t="s">
        <v>21</v>
      </c>
      <c r="F894" s="2" t="s">
        <v>15</v>
      </c>
      <c r="G894" s="2" t="s">
        <v>2467</v>
      </c>
      <c r="H894" s="2" t="s">
        <v>689</v>
      </c>
      <c r="I894" s="2" t="str">
        <f>IFERROR(__xludf.DUMMYFUNCTION("GOOGLETRANSLATE(C894,""fr"",""en"")"),"This is not my first insurance, but it is the first that offers me this level of responsiveness. The big plus? The quality and limpidity of exchanges borrowed in good humor.
I am very satisfied and confident, and I hope for a long time.
G.S.")</f>
        <v>This is not my first insurance, but it is the first that offers me this level of responsiveness. The big plus? The quality and limpidity of exchanges borrowed in good humor.
I am very satisfied and confident, and I hope for a long time.
G.S.</v>
      </c>
    </row>
    <row r="895" ht="15.75" customHeight="1">
      <c r="A895" s="2">
        <v>5.0</v>
      </c>
      <c r="B895" s="2" t="s">
        <v>2468</v>
      </c>
      <c r="C895" s="2" t="s">
        <v>2469</v>
      </c>
      <c r="D895" s="2" t="s">
        <v>20</v>
      </c>
      <c r="E895" s="2" t="s">
        <v>21</v>
      </c>
      <c r="F895" s="2" t="s">
        <v>15</v>
      </c>
      <c r="G895" s="2" t="s">
        <v>779</v>
      </c>
      <c r="H895" s="2" t="s">
        <v>23</v>
      </c>
      <c r="I895" s="2" t="str">
        <f>IFERROR(__xludf.DUMMYFUNCTION("GOOGLETRANSLATE(C895,""fr"",""en"")"),"Advised by my mother I decided to subscribe and am very satisfied with the guaranteed/price ratio as well as very kind, efficient and attentive customer service")</f>
        <v>Advised by my mother I decided to subscribe and am very satisfied with the guaranteed/price ratio as well as very kind, efficient and attentive customer service</v>
      </c>
    </row>
    <row r="896" ht="15.75" customHeight="1">
      <c r="A896" s="2">
        <v>3.0</v>
      </c>
      <c r="B896" s="2" t="s">
        <v>2470</v>
      </c>
      <c r="C896" s="2" t="s">
        <v>2471</v>
      </c>
      <c r="D896" s="2" t="s">
        <v>20</v>
      </c>
      <c r="E896" s="2" t="s">
        <v>21</v>
      </c>
      <c r="F896" s="2" t="s">
        <v>15</v>
      </c>
      <c r="G896" s="2" t="s">
        <v>1426</v>
      </c>
      <c r="H896" s="2" t="s">
        <v>28</v>
      </c>
      <c r="I896" s="2" t="str">
        <f>IFERROR(__xludf.DUMMYFUNCTION("GOOGLETRANSLATE(C896,""fr"",""en"")"),"Very complex procedures to ensure and to make an almost impossible quote and to pay especially when you have no French credit card")</f>
        <v>Very complex procedures to ensure and to make an almost impossible quote and to pay especially when you have no French credit card</v>
      </c>
    </row>
    <row r="897" ht="15.75" customHeight="1">
      <c r="A897" s="2">
        <v>4.0</v>
      </c>
      <c r="B897" s="2" t="s">
        <v>2472</v>
      </c>
      <c r="C897" s="2" t="s">
        <v>2473</v>
      </c>
      <c r="D897" s="2" t="s">
        <v>41</v>
      </c>
      <c r="E897" s="2" t="s">
        <v>21</v>
      </c>
      <c r="F897" s="2" t="s">
        <v>15</v>
      </c>
      <c r="G897" s="2" t="s">
        <v>2207</v>
      </c>
      <c r="H897" s="2" t="s">
        <v>51</v>
      </c>
      <c r="I897" s="2" t="str">
        <f>IFERROR(__xludf.DUMMYFUNCTION("GOOGLETRANSLATE(C897,""fr"",""en"")"),"The site is simple and effective. I am satisfied with the prices.
Small negative point: a spelling mistake in my family name on my insurance
")</f>
        <v>The site is simple and effective. I am satisfied with the prices.
Small negative point: a spelling mistake in my family name on my insurance
</v>
      </c>
    </row>
    <row r="898" ht="15.75" customHeight="1">
      <c r="A898" s="2">
        <v>1.0</v>
      </c>
      <c r="B898" s="2" t="s">
        <v>2474</v>
      </c>
      <c r="C898" s="2" t="s">
        <v>2475</v>
      </c>
      <c r="D898" s="2" t="s">
        <v>216</v>
      </c>
      <c r="E898" s="2" t="s">
        <v>195</v>
      </c>
      <c r="F898" s="2" t="s">
        <v>15</v>
      </c>
      <c r="G898" s="2" t="s">
        <v>2476</v>
      </c>
      <c r="H898" s="2" t="s">
        <v>372</v>
      </c>
      <c r="I898" s="2" t="str">
        <f>IFERROR(__xludf.DUMMYFUNCTION("GOOGLETRANSLATE(C898,""fr"",""en"")"),"Catastrophic! After a move abroad I made a request to buy back the VIVACCIO insurance subscribed for my gall (still minor) and it is worthy of Kafka, I am told that the registered mail comprising with all the parts to been lost .. then I am asked for a mu"&amp;"ltitude of other pieces, some requested in double and surely already received, the speech changes constantly, I despair of recovering my money.
I do not think that the CNP is in legality. Should we go through the legal paths?")</f>
        <v>Catastrophic! After a move abroad I made a request to buy back the VIVACCIO insurance subscribed for my gall (still minor) and it is worthy of Kafka, I am told that the registered mail comprising with all the parts to been lost .. then I am asked for a multitude of other pieces, some requested in double and surely already received, the speech changes constantly, I despair of recovering my money.
I do not think that the CNP is in legality. Should we go through the legal paths?</v>
      </c>
    </row>
    <row r="899" ht="15.75" customHeight="1">
      <c r="A899" s="2">
        <v>2.0</v>
      </c>
      <c r="B899" s="2" t="s">
        <v>2477</v>
      </c>
      <c r="C899" s="2" t="s">
        <v>2478</v>
      </c>
      <c r="D899" s="2" t="s">
        <v>41</v>
      </c>
      <c r="E899" s="2" t="s">
        <v>21</v>
      </c>
      <c r="F899" s="2" t="s">
        <v>15</v>
      </c>
      <c r="G899" s="2" t="s">
        <v>254</v>
      </c>
      <c r="H899" s="2" t="s">
        <v>42</v>
      </c>
      <c r="I899" s="2" t="str">
        <f>IFERROR(__xludf.DUMMYFUNCTION("GOOGLETRANSLATE(C899,""fr"",""en"")"),"Incompetent service, the versions varies according to the interlocutors, we receive false information while we are in disaster and we find ourselves paying everything from our pocket, the telephonic service strolls us from number in numbers with informati"&amp;"on still contradictory. Direct Assurances Douane from its Depannage service and vice versa. On contract for years, huge disappointment on service and follow -up. No response to requests etc ...")</f>
        <v>Incompetent service, the versions varies according to the interlocutors, we receive false information while we are in disaster and we find ourselves paying everything from our pocket, the telephonic service strolls us from number in numbers with information still contradictory. Direct Assurances Douane from its Depannage service and vice versa. On contract for years, huge disappointment on service and follow -up. No response to requests etc ...</v>
      </c>
    </row>
    <row r="900" ht="15.75" customHeight="1">
      <c r="A900" s="2">
        <v>5.0</v>
      </c>
      <c r="B900" s="2" t="s">
        <v>2479</v>
      </c>
      <c r="C900" s="2" t="s">
        <v>2480</v>
      </c>
      <c r="D900" s="2" t="s">
        <v>20</v>
      </c>
      <c r="E900" s="2" t="s">
        <v>21</v>
      </c>
      <c r="F900" s="2" t="s">
        <v>15</v>
      </c>
      <c r="G900" s="2" t="s">
        <v>1923</v>
      </c>
      <c r="H900" s="2" t="s">
        <v>309</v>
      </c>
      <c r="I900" s="2" t="str">
        <f>IFERROR(__xludf.DUMMYFUNCTION("GOOGLETRANSLATE(C900,""fr"",""en"")"),"100% online insurance with very competitive rates and excellent customer service. Insured for 2 years, I recommend this insurance for the quality of the services offered.")</f>
        <v>100% online insurance with very competitive rates and excellent customer service. Insured for 2 years, I recommend this insurance for the quality of the services offered.</v>
      </c>
    </row>
    <row r="901" ht="15.75" customHeight="1">
      <c r="A901" s="2">
        <v>3.0</v>
      </c>
      <c r="B901" s="2" t="s">
        <v>2481</v>
      </c>
      <c r="C901" s="2" t="s">
        <v>2482</v>
      </c>
      <c r="D901" s="2" t="s">
        <v>72</v>
      </c>
      <c r="E901" s="2" t="s">
        <v>21</v>
      </c>
      <c r="F901" s="2" t="s">
        <v>15</v>
      </c>
      <c r="G901" s="2" t="s">
        <v>381</v>
      </c>
      <c r="H901" s="2" t="s">
        <v>51</v>
      </c>
      <c r="I901" s="2" t="str">
        <f>IFERROR(__xludf.DUMMYFUNCTION("GOOGLETRANSLATE(C901,""fr"",""en"")"),"Practical local agency
The costs of monthly payment could be offered especially when we dedicate several contracts for our case 6 contracts !!!")</f>
        <v>Practical local agency
The costs of monthly payment could be offered especially when we dedicate several contracts for our case 6 contracts !!!</v>
      </c>
    </row>
    <row r="902" ht="15.75" customHeight="1">
      <c r="A902" s="2">
        <v>4.0</v>
      </c>
      <c r="B902" s="2" t="s">
        <v>2483</v>
      </c>
      <c r="C902" s="2" t="s">
        <v>2484</v>
      </c>
      <c r="D902" s="2" t="s">
        <v>91</v>
      </c>
      <c r="E902" s="2" t="s">
        <v>14</v>
      </c>
      <c r="F902" s="2" t="s">
        <v>15</v>
      </c>
      <c r="G902" s="2" t="s">
        <v>335</v>
      </c>
      <c r="H902" s="2" t="s">
        <v>134</v>
      </c>
      <c r="I902" s="2" t="str">
        <f>IFERROR(__xludf.DUMMYFUNCTION("GOOGLETRANSLATE(C902,""fr"",""en"")"),"Hello, I am satisfied with the management of my request for documents by Maria who was pleasant, competent and responsive. Thanks to her.")</f>
        <v>Hello, I am satisfied with the management of my request for documents by Maria who was pleasant, competent and responsive. Thanks to her.</v>
      </c>
    </row>
    <row r="903" ht="15.75" customHeight="1">
      <c r="A903" s="2">
        <v>2.0</v>
      </c>
      <c r="B903" s="2" t="s">
        <v>2485</v>
      </c>
      <c r="C903" s="2" t="s">
        <v>2486</v>
      </c>
      <c r="D903" s="2" t="s">
        <v>41</v>
      </c>
      <c r="E903" s="2" t="s">
        <v>21</v>
      </c>
      <c r="F903" s="2" t="s">
        <v>15</v>
      </c>
      <c r="G903" s="2" t="s">
        <v>2217</v>
      </c>
      <c r="H903" s="2" t="s">
        <v>78</v>
      </c>
      <c r="I903" s="2" t="str">
        <f>IFERROR(__xludf.DUMMYFUNCTION("GOOGLETRANSLATE(C903,""fr"",""en"")"),"The reason for which I chose Direct Insurance was its price, being my first vehicle, I wanted to be able to pay my insurance without it digging too much in my budget but apart from the financial aspect, the rest n ' is not terrible, the franchises are pha"&amp;"raonic and customer service is a wound.
Indeed, I terminated my contract after a move abroad served by registered letter. The termination has been taken into account but my reimbursement check was sent to my old address although I have mean that I had no"&amp;"t lived in the accommodation for several months.
After calling customer service, they announced that they do not send mail abroad and that if I have no address in France, I cannot receive mail from them.
When I tried to explain to them the absurdity of "&amp;"the situation since I do not actually live in France and therefore has no address, the customer manager simply hung up on the nose.
Telephone numbers are not reachable from a foreign line either.")</f>
        <v>The reason for which I chose Direct Insurance was its price, being my first vehicle, I wanted to be able to pay my insurance without it digging too much in my budget but apart from the financial aspect, the rest n ' is not terrible, the franchises are pharaonic and customer service is a wound.
Indeed, I terminated my contract after a move abroad served by registered letter. The termination has been taken into account but my reimbursement check was sent to my old address although I have mean that I had not lived in the accommodation for several months.
After calling customer service, they announced that they do not send mail abroad and that if I have no address in France, I cannot receive mail from them.
When I tried to explain to them the absurdity of the situation since I do not actually live in France and therefore has no address, the customer manager simply hung up on the nose.
Telephone numbers are not reachable from a foreign line either.</v>
      </c>
    </row>
    <row r="904" ht="15.75" customHeight="1">
      <c r="A904" s="2">
        <v>4.0</v>
      </c>
      <c r="B904" s="2" t="s">
        <v>2487</v>
      </c>
      <c r="C904" s="2" t="s">
        <v>2488</v>
      </c>
      <c r="D904" s="2" t="s">
        <v>41</v>
      </c>
      <c r="E904" s="2" t="s">
        <v>21</v>
      </c>
      <c r="F904" s="2" t="s">
        <v>15</v>
      </c>
      <c r="G904" s="2" t="s">
        <v>2489</v>
      </c>
      <c r="H904" s="2" t="s">
        <v>55</v>
      </c>
      <c r="I904" s="2" t="str">
        <f>IFERROR(__xludf.DUMMYFUNCTION("GOOGLETRANSLATE(C904,""fr"",""en"")"),"The price suits me. I declared a claim, I returned the bill on April 14 and I have still not been settled thank you for forwarding. Regards Philippe Souchon")</f>
        <v>The price suits me. I declared a claim, I returned the bill on April 14 and I have still not been settled thank you for forwarding. Regards Philippe Souchon</v>
      </c>
    </row>
    <row r="905" ht="15.75" customHeight="1">
      <c r="A905" s="2">
        <v>2.0</v>
      </c>
      <c r="B905" s="2" t="s">
        <v>2490</v>
      </c>
      <c r="C905" s="2" t="s">
        <v>2491</v>
      </c>
      <c r="D905" s="2" t="s">
        <v>20</v>
      </c>
      <c r="E905" s="2" t="s">
        <v>21</v>
      </c>
      <c r="F905" s="2" t="s">
        <v>15</v>
      </c>
      <c r="G905" s="2" t="s">
        <v>2492</v>
      </c>
      <c r="H905" s="2" t="s">
        <v>241</v>
      </c>
      <c r="I905" s="2" t="str">
        <f>IFERROR(__xludf.DUMMYFUNCTION("GOOGLETRANSLATE(C905,""fr"",""en"")"),"Until now, I was rather satisfied. This year, I gave in a breaking vehicle, with proof of the sale, I send the docs and I call many times for the termination, nothing helps! ""Only on the due date"" is their answer, recalls: my vehicle no longer exists an"&amp;"d all steps taken !!!!!
Recently, I recall and the advisor takes me for a ""neuneu"" and does not want to know anything!
Too bad, I had this insurance in high esteem !!!!
Too bad, and very very decu ............")</f>
        <v>Until now, I was rather satisfied. This year, I gave in a breaking vehicle, with proof of the sale, I send the docs and I call many times for the termination, nothing helps! "Only on the due date" is their answer, recalls: my vehicle no longer exists and all steps taken !!!!!
Recently, I recall and the advisor takes me for a "neuneu" and does not want to know anything!
Too bad, I had this insurance in high esteem !!!!
Too bad, and very very decu ............</v>
      </c>
    </row>
    <row r="906" ht="15.75" customHeight="1">
      <c r="A906" s="2">
        <v>4.0</v>
      </c>
      <c r="B906" s="2" t="s">
        <v>2493</v>
      </c>
      <c r="C906" s="2" t="s">
        <v>2494</v>
      </c>
      <c r="D906" s="2" t="s">
        <v>72</v>
      </c>
      <c r="E906" s="2" t="s">
        <v>21</v>
      </c>
      <c r="F906" s="2" t="s">
        <v>15</v>
      </c>
      <c r="G906" s="2" t="s">
        <v>1287</v>
      </c>
      <c r="H906" s="2" t="s">
        <v>23</v>
      </c>
      <c r="I906" s="2" t="str">
        <f>IFERROR(__xludf.DUMMYFUNCTION("GOOGLETRANSLATE(C906,""fr"",""en"")"),"I am satisfied with the service and find that GMF staff are well responsive to my questions as well as my requests.
Thank you.
Best regards.")</f>
        <v>I am satisfied with the service and find that GMF staff are well responsive to my questions as well as my requests.
Thank you.
Best regards.</v>
      </c>
    </row>
    <row r="907" ht="15.75" customHeight="1">
      <c r="A907" s="2">
        <v>1.0</v>
      </c>
      <c r="B907" s="2" t="s">
        <v>2495</v>
      </c>
      <c r="C907" s="2" t="s">
        <v>2496</v>
      </c>
      <c r="D907" s="2" t="s">
        <v>41</v>
      </c>
      <c r="E907" s="2" t="s">
        <v>21</v>
      </c>
      <c r="F907" s="2" t="s">
        <v>15</v>
      </c>
      <c r="G907" s="2" t="s">
        <v>2497</v>
      </c>
      <c r="H907" s="2" t="s">
        <v>38</v>
      </c>
      <c r="I907" s="2" t="str">
        <f>IFERROR(__xludf.DUMMYFUNCTION("GOOGLETRANSLATE(C907,""fr"",""en"")"),"I wanted to pass my car contract at the cheapest because my vehicle spent more time in the garage than between my hands and they made me pay a year of insurance I strongly advise them
 Here is their policy ...")</f>
        <v>I wanted to pass my car contract at the cheapest because my vehicle spent more time in the garage than between my hands and they made me pay a year of insurance I strongly advise them
 Here is their policy ...</v>
      </c>
    </row>
    <row r="908" ht="15.75" customHeight="1">
      <c r="A908" s="2">
        <v>2.0</v>
      </c>
      <c r="B908" s="2" t="s">
        <v>2498</v>
      </c>
      <c r="C908" s="2" t="s">
        <v>2499</v>
      </c>
      <c r="D908" s="2" t="s">
        <v>45</v>
      </c>
      <c r="E908" s="2" t="s">
        <v>14</v>
      </c>
      <c r="F908" s="2" t="s">
        <v>15</v>
      </c>
      <c r="G908" s="2" t="s">
        <v>2129</v>
      </c>
      <c r="H908" s="2" t="s">
        <v>55</v>
      </c>
      <c r="I908" s="2" t="str">
        <f>IFERROR(__xludf.DUMMYFUNCTION("GOOGLETRANSLATE(C908,""fr"",""en"")"),"I saw incompetent people but here we arrive at an unrivaled point ...
Naze from Naze
I lost 1 year of mutual health reimbursement because the link between the security and mutual was not made (card received and I was told that it was OK)
Zero zero")</f>
        <v>I saw incompetent people but here we arrive at an unrivaled point ...
Naze from Naze
I lost 1 year of mutual health reimbursement because the link between the security and mutual was not made (card received and I was told that it was OK)
Zero zero</v>
      </c>
    </row>
    <row r="909" ht="15.75" customHeight="1">
      <c r="A909" s="2">
        <v>4.0</v>
      </c>
      <c r="B909" s="2" t="s">
        <v>2500</v>
      </c>
      <c r="C909" s="2" t="s">
        <v>2501</v>
      </c>
      <c r="D909" s="2" t="s">
        <v>592</v>
      </c>
      <c r="E909" s="2" t="s">
        <v>14</v>
      </c>
      <c r="F909" s="2" t="s">
        <v>15</v>
      </c>
      <c r="G909" s="2" t="s">
        <v>983</v>
      </c>
      <c r="H909" s="2" t="s">
        <v>134</v>
      </c>
      <c r="I909" s="2" t="str">
        <f>IFERROR(__xludf.DUMMYFUNCTION("GOOGLETRANSLATE(C909,""fr"",""en"")"),"Very welcoming and very professional staff. I confirm. The person who receives us today is effective and has resulted in our expectations. I wanted to specify it. Thanks")</f>
        <v>Very welcoming and very professional staff. I confirm. The person who receives us today is effective and has resulted in our expectations. I wanted to specify it. Thanks</v>
      </c>
    </row>
    <row r="910" ht="15.75" customHeight="1">
      <c r="A910" s="2">
        <v>1.0</v>
      </c>
      <c r="B910" s="2" t="s">
        <v>2502</v>
      </c>
      <c r="C910" s="2" t="s">
        <v>2503</v>
      </c>
      <c r="D910" s="2" t="s">
        <v>212</v>
      </c>
      <c r="E910" s="2" t="s">
        <v>21</v>
      </c>
      <c r="F910" s="2" t="s">
        <v>15</v>
      </c>
      <c r="G910" s="2" t="s">
        <v>157</v>
      </c>
      <c r="H910" s="2" t="s">
        <v>28</v>
      </c>
      <c r="I910" s="2" t="str">
        <f>IFERROR(__xludf.DUMMYFUNCTION("GOOGLETRANSLATE(C910,""fr"",""en"")"),"Always so incompetent. Whether it is to settle a disaster and now have just a certificate ... 3 weeks that I am told that I am sent by email. Or they have a problem of email or ...... they take me For a c .... e.
It's likely because I came across a perso"&amp;"n who was insolent twice see vulgar. By the way, any, it is a service company to be trusted?")</f>
        <v>Always so incompetent. Whether it is to settle a disaster and now have just a certificate ... 3 weeks that I am told that I am sent by email. Or they have a problem of email or ...... they take me For a c .... e.
It's likely because I came across a person who was insolent twice see vulgar. By the way, any, it is a service company to be trusted?</v>
      </c>
    </row>
    <row r="911" ht="15.75" customHeight="1">
      <c r="A911" s="2">
        <v>4.0</v>
      </c>
      <c r="B911" s="2" t="s">
        <v>2504</v>
      </c>
      <c r="C911" s="2" t="s">
        <v>2505</v>
      </c>
      <c r="D911" s="2" t="s">
        <v>41</v>
      </c>
      <c r="E911" s="2" t="s">
        <v>21</v>
      </c>
      <c r="F911" s="2" t="s">
        <v>15</v>
      </c>
      <c r="G911" s="2" t="s">
        <v>1648</v>
      </c>
      <c r="H911" s="2" t="s">
        <v>74</v>
      </c>
      <c r="I911" s="2" t="str">
        <f>IFERROR(__xludf.DUMMYFUNCTION("GOOGLETRANSLATE(C911,""fr"",""en"")"),"Very good for your online services. both for prices and for the ease of use of your site.
I will recommend you to those around me")</f>
        <v>Very good for your online services. both for prices and for the ease of use of your site.
I will recommend you to those around me</v>
      </c>
    </row>
    <row r="912" ht="15.75" customHeight="1">
      <c r="A912" s="2">
        <v>4.0</v>
      </c>
      <c r="B912" s="2" t="s">
        <v>2506</v>
      </c>
      <c r="C912" s="2" t="s">
        <v>2507</v>
      </c>
      <c r="D912" s="2" t="s">
        <v>20</v>
      </c>
      <c r="E912" s="2" t="s">
        <v>21</v>
      </c>
      <c r="F912" s="2" t="s">
        <v>15</v>
      </c>
      <c r="G912" s="2" t="s">
        <v>1253</v>
      </c>
      <c r="H912" s="2" t="s">
        <v>55</v>
      </c>
      <c r="I912" s="2" t="str">
        <f>IFERROR(__xludf.DUMMYFUNCTION("GOOGLETRANSLATE(C912,""fr"",""en"")"),"Satisfied with the quality of the advisor I had on the phone, the person was very pleasant and turned me well for the choice of my insurance.")</f>
        <v>Satisfied with the quality of the advisor I had on the phone, the person was very pleasant and turned me well for the choice of my insurance.</v>
      </c>
    </row>
    <row r="913" ht="15.75" customHeight="1">
      <c r="A913" s="2">
        <v>4.0</v>
      </c>
      <c r="B913" s="2" t="s">
        <v>2508</v>
      </c>
      <c r="C913" s="2" t="s">
        <v>2509</v>
      </c>
      <c r="D913" s="2" t="s">
        <v>41</v>
      </c>
      <c r="E913" s="2" t="s">
        <v>21</v>
      </c>
      <c r="F913" s="2" t="s">
        <v>15</v>
      </c>
      <c r="G913" s="2" t="s">
        <v>1426</v>
      </c>
      <c r="H913" s="2" t="s">
        <v>28</v>
      </c>
      <c r="I913" s="2" t="str">
        <f>IFERROR(__xludf.DUMMYFUNCTION("GOOGLETRANSLATE(C913,""fr"",""en"")"),"I am satisfied with the service provided
Prices suit me
Good responsiveness
Pleasant and patient advisor
Thank you
Cordially,
")</f>
        <v>I am satisfied with the service provided
Prices suit me
Good responsiveness
Pleasant and patient advisor
Thank you
Cordially,
</v>
      </c>
    </row>
    <row r="914" ht="15.75" customHeight="1">
      <c r="A914" s="2">
        <v>4.0</v>
      </c>
      <c r="B914" s="2" t="s">
        <v>2510</v>
      </c>
      <c r="C914" s="2" t="s">
        <v>2511</v>
      </c>
      <c r="D914" s="2" t="s">
        <v>41</v>
      </c>
      <c r="E914" s="2" t="s">
        <v>21</v>
      </c>
      <c r="F914" s="2" t="s">
        <v>15</v>
      </c>
      <c r="G914" s="2" t="s">
        <v>1956</v>
      </c>
      <c r="H914" s="2" t="s">
        <v>51</v>
      </c>
      <c r="I914" s="2" t="str">
        <f>IFERROR(__xludf.DUMMYFUNCTION("GOOGLETRANSLATE(C914,""fr"",""en"")"),"Simple practice, of great price
Staff available quickly by phone
Very satisfied our cars are insured at Direct Insurance
Continue like that")</f>
        <v>Simple practice, of great price
Staff available quickly by phone
Very satisfied our cars are insured at Direct Insurance
Continue like that</v>
      </c>
    </row>
    <row r="915" ht="15.75" customHeight="1">
      <c r="A915" s="2">
        <v>3.0</v>
      </c>
      <c r="B915" s="2" t="s">
        <v>2512</v>
      </c>
      <c r="C915" s="2" t="s">
        <v>2513</v>
      </c>
      <c r="D915" s="2" t="s">
        <v>41</v>
      </c>
      <c r="E915" s="2" t="s">
        <v>21</v>
      </c>
      <c r="F915" s="2" t="s">
        <v>15</v>
      </c>
      <c r="G915" s="2" t="s">
        <v>341</v>
      </c>
      <c r="H915" s="2" t="s">
        <v>51</v>
      </c>
      <c r="I915" s="2" t="str">
        <f>IFERROR(__xludf.DUMMYFUNCTION("GOOGLETRANSLATE(C915,""fr"",""en"")"),"I am not happy to have to pay two monthly payments in advance. But take them seem correct, to see in time what it will give. The more the cash bac to recover.")</f>
        <v>I am not happy to have to pay two monthly payments in advance. But take them seem correct, to see in time what it will give. The more the cash bac to recover.</v>
      </c>
    </row>
    <row r="916" ht="15.75" customHeight="1">
      <c r="A916" s="2">
        <v>5.0</v>
      </c>
      <c r="B916" s="2" t="s">
        <v>2514</v>
      </c>
      <c r="C916" s="2" t="s">
        <v>2515</v>
      </c>
      <c r="D916" s="2" t="s">
        <v>20</v>
      </c>
      <c r="E916" s="2" t="s">
        <v>21</v>
      </c>
      <c r="F916" s="2" t="s">
        <v>15</v>
      </c>
      <c r="G916" s="2" t="s">
        <v>2516</v>
      </c>
      <c r="H916" s="2" t="s">
        <v>1068</v>
      </c>
      <c r="I916" s="2" t="str">
        <f>IFERROR(__xludf.DUMMYFUNCTION("GOOGLETRANSLATE(C916,""fr"",""en"")"),"I am satisfied with the procedure for signing the contract following quote found by the insurance comparator site despite some computer difficulties ...")</f>
        <v>I am satisfied with the procedure for signing the contract following quote found by the insurance comparator site despite some computer difficulties ...</v>
      </c>
    </row>
    <row r="917" ht="15.75" customHeight="1">
      <c r="A917" s="2">
        <v>1.0</v>
      </c>
      <c r="B917" s="2" t="s">
        <v>2517</v>
      </c>
      <c r="C917" s="2" t="s">
        <v>2518</v>
      </c>
      <c r="D917" s="2" t="s">
        <v>164</v>
      </c>
      <c r="E917" s="2" t="s">
        <v>58</v>
      </c>
      <c r="F917" s="2" t="s">
        <v>15</v>
      </c>
      <c r="G917" s="2" t="s">
        <v>363</v>
      </c>
      <c r="H917" s="2" t="s">
        <v>51</v>
      </c>
      <c r="I917" s="2" t="str">
        <f>IFERROR(__xludf.DUMMYFUNCTION("GOOGLETRANSLATE(C917,""fr"",""en"")"),"Hello
I do not recommend
unreachable CASI advisor
Really disappointed
I had a claim since August 18 we are on September 4 I am still awaiting an answer
If I don't have to know the progress of my file no one calls me
")</f>
        <v>Hello
I do not recommend
unreachable CASI advisor
Really disappointed
I had a claim since August 18 we are on September 4 I am still awaiting an answer
If I don't have to know the progress of my file no one calls me
</v>
      </c>
    </row>
    <row r="918" ht="15.75" customHeight="1">
      <c r="A918" s="2">
        <v>3.0</v>
      </c>
      <c r="B918" s="2" t="s">
        <v>2519</v>
      </c>
      <c r="C918" s="2" t="s">
        <v>2520</v>
      </c>
      <c r="D918" s="2" t="s">
        <v>41</v>
      </c>
      <c r="E918" s="2" t="s">
        <v>21</v>
      </c>
      <c r="F918" s="2" t="s">
        <v>15</v>
      </c>
      <c r="G918" s="2" t="s">
        <v>1818</v>
      </c>
      <c r="H918" s="2" t="s">
        <v>74</v>
      </c>
      <c r="I918" s="2" t="str">
        <f>IFERROR(__xludf.DUMMYFUNCTION("GOOGLETRANSLATE(C918,""fr"",""en"")"),"Hello I. Am satisfied with the service and the prices and the efficiency of Direct Insurance Thank you very much for you for your services and the speed to process files")</f>
        <v>Hello I. Am satisfied with the service and the prices and the efficiency of Direct Insurance Thank you very much for you for your services and the speed to process files</v>
      </c>
    </row>
    <row r="919" ht="15.75" customHeight="1">
      <c r="A919" s="2">
        <v>4.0</v>
      </c>
      <c r="B919" s="2" t="s">
        <v>2521</v>
      </c>
      <c r="C919" s="2" t="s">
        <v>2522</v>
      </c>
      <c r="D919" s="2" t="s">
        <v>41</v>
      </c>
      <c r="E919" s="2" t="s">
        <v>21</v>
      </c>
      <c r="F919" s="2" t="s">
        <v>15</v>
      </c>
      <c r="G919" s="2" t="s">
        <v>217</v>
      </c>
      <c r="H919" s="2" t="s">
        <v>134</v>
      </c>
      <c r="I919" s="2" t="str">
        <f>IFERROR(__xludf.DUMMYFUNCTION("GOOGLETRANSLATE(C919,""fr"",""en"")"),"I am satisfied with the service. Very good value for money. Site to offer to many future customers. Hoping that it is not a ""mirage"".")</f>
        <v>I am satisfied with the service. Very good value for money. Site to offer to many future customers. Hoping that it is not a "mirage".</v>
      </c>
    </row>
    <row r="920" ht="15.75" customHeight="1">
      <c r="A920" s="2">
        <v>4.0</v>
      </c>
      <c r="B920" s="2" t="s">
        <v>2523</v>
      </c>
      <c r="C920" s="2" t="s">
        <v>2524</v>
      </c>
      <c r="D920" s="2" t="s">
        <v>91</v>
      </c>
      <c r="E920" s="2" t="s">
        <v>14</v>
      </c>
      <c r="F920" s="2" t="s">
        <v>15</v>
      </c>
      <c r="G920" s="2" t="s">
        <v>945</v>
      </c>
      <c r="H920" s="2" t="s">
        <v>51</v>
      </c>
      <c r="I920" s="2" t="str">
        <f>IFERROR(__xludf.DUMMYFUNCTION("GOOGLETRANSLATE(C920,""fr"",""en"")"),"Hello,
The answers to my questions were clear, when I had a hard time asking them.
Bravo for the patience and kindness of Mariama.
Stone loves")</f>
        <v>Hello,
The answers to my questions were clear, when I had a hard time asking them.
Bravo for the patience and kindness of Mariama.
Stone loves</v>
      </c>
    </row>
    <row r="921" ht="15.75" customHeight="1">
      <c r="A921" s="2">
        <v>1.0</v>
      </c>
      <c r="B921" s="2" t="s">
        <v>2525</v>
      </c>
      <c r="C921" s="2" t="s">
        <v>2526</v>
      </c>
      <c r="D921" s="2" t="s">
        <v>31</v>
      </c>
      <c r="E921" s="2" t="s">
        <v>21</v>
      </c>
      <c r="F921" s="2" t="s">
        <v>15</v>
      </c>
      <c r="G921" s="2" t="s">
        <v>247</v>
      </c>
      <c r="H921" s="2" t="s">
        <v>47</v>
      </c>
      <c r="I921" s="2" t="str">
        <f>IFERROR(__xludf.DUMMYFUNCTION("GOOGLETRANSLATE(C921,""fr"",""en"")"),"With my contract assistance breakdown 0 km, 3 different interlocutors who must each time inquire, with a waiting time of 15 minutes to obtain a semblance of response and to send me in a garage which will not repair my motorcycle , instead of sending me to"&amp;" the brand's garage (of course this one is 60km), which ended up being done, but not without discussing with the 3rd interlocutor who did not understand me, 20 seconds before each Answer, I think he must have a translator. Founded by the brand's garage im"&amp;"mediately repaired, and no need for the assurance of repatriating myself to my home, conclusion, very difficult to be ""heard"" that lasted 2 hours before leaving with the convenience store at the right garage")</f>
        <v>With my contract assistance breakdown 0 km, 3 different interlocutors who must each time inquire, with a waiting time of 15 minutes to obtain a semblance of response and to send me in a garage which will not repair my motorcycle , instead of sending me to the brand's garage (of course this one is 60km), which ended up being done, but not without discussing with the 3rd interlocutor who did not understand me, 20 seconds before each Answer, I think he must have a translator. Founded by the brand's garage immediately repaired, and no need for the assurance of repatriating myself to my home, conclusion, very difficult to be "heard" that lasted 2 hours before leaving with the convenience store at the right garage</v>
      </c>
    </row>
    <row r="922" ht="15.75" customHeight="1">
      <c r="A922" s="2">
        <v>4.0</v>
      </c>
      <c r="B922" s="2" t="s">
        <v>2527</v>
      </c>
      <c r="C922" s="2" t="s">
        <v>2528</v>
      </c>
      <c r="D922" s="2" t="s">
        <v>20</v>
      </c>
      <c r="E922" s="2" t="s">
        <v>21</v>
      </c>
      <c r="F922" s="2" t="s">
        <v>15</v>
      </c>
      <c r="G922" s="2" t="s">
        <v>606</v>
      </c>
      <c r="H922" s="2" t="s">
        <v>47</v>
      </c>
      <c r="I922" s="2" t="str">
        <f>IFERROR(__xludf.DUMMYFUNCTION("GOOGLETRANSLATE(C922,""fr"",""en"")"),"I am satisfied with the fairly well done service and customer area.
I was in telephone contact with one of your collaborators who was attentive and very friendly. I have nevertheless passed through the Furets.com site, the offers being more interesting.
"&amp;"
And I find the deductible in the event of a rather high windshield replacement.")</f>
        <v>I am satisfied with the fairly well done service and customer area.
I was in telephone contact with one of your collaborators who was attentive and very friendly. I have nevertheless passed through the Furets.com site, the offers being more interesting.
And I find the deductible in the event of a rather high windshield replacement.</v>
      </c>
    </row>
    <row r="923" ht="15.75" customHeight="1">
      <c r="A923" s="2">
        <v>4.0</v>
      </c>
      <c r="B923" s="2" t="s">
        <v>2529</v>
      </c>
      <c r="C923" s="2" t="s">
        <v>2530</v>
      </c>
      <c r="D923" s="2" t="s">
        <v>13</v>
      </c>
      <c r="E923" s="2" t="s">
        <v>14</v>
      </c>
      <c r="F923" s="2" t="s">
        <v>15</v>
      </c>
      <c r="G923" s="2" t="s">
        <v>392</v>
      </c>
      <c r="H923" s="2" t="s">
        <v>74</v>
      </c>
      <c r="I923" s="2" t="str">
        <f>IFERROR(__xludf.DUMMYFUNCTION("GOOGLETRANSLATE(C923,""fr"",""en"")"),"Hello you are looking for health insurance you must go to Santiane It's been five years since I am there and I only have to rent from their services we always find high prices but when we need it is different j I was hospitalized for five weeks without ha"&amp;"ving to spend the slightest cents The speed of reimbursements is perfect the contact is very good except a little complicated to go into telephone relation I recommend it to you")</f>
        <v>Hello you are looking for health insurance you must go to Santiane It's been five years since I am there and I only have to rent from their services we always find high prices but when we need it is different j I was hospitalized for five weeks without having to spend the slightest cents The speed of reimbursements is perfect the contact is very good except a little complicated to go into telephone relation I recommend it to you</v>
      </c>
    </row>
    <row r="924" ht="15.75" customHeight="1">
      <c r="A924" s="2">
        <v>2.0</v>
      </c>
      <c r="B924" s="2" t="s">
        <v>2531</v>
      </c>
      <c r="C924" s="2" t="s">
        <v>2532</v>
      </c>
      <c r="D924" s="2" t="s">
        <v>108</v>
      </c>
      <c r="E924" s="2" t="s">
        <v>21</v>
      </c>
      <c r="F924" s="2" t="s">
        <v>15</v>
      </c>
      <c r="G924" s="2" t="s">
        <v>2533</v>
      </c>
      <c r="H924" s="2" t="s">
        <v>231</v>
      </c>
      <c r="I924" s="2" t="str">
        <f>IFERROR(__xludf.DUMMYFUNCTION("GOOGLETRANSLATE(C924,""fr"",""en"")"),"I wanted to change my son's contract to ensure his new car, their system is made to make you have, it does not change the vehicle you must resume another contract !!
We therefore took another contract for the new vehicle and terminated by mail scanned th"&amp;"e first, excluding my son sent the certificate of sale to the prefecture and did not keep copies, the insurance also requires a copy of The gray card barred !! As if we kept that by selling a car. The old contract was on my rib, the new on my son's rib, s"&amp;"o I block the samples
2 months after they always ask us for the regulation of the old contract and even adds costs, when I answer the emails I have an answer and when I explain the case no one answers, he just asks us to call A surcharged number, which i"&amp;"s out of the question.
I realize now that on the Internet everyone complains of not being able to terminate their contract. The system is therefore generalized and made to make people pay.
In short, I launch legal proceedings.")</f>
        <v>I wanted to change my son's contract to ensure his new car, their system is made to make you have, it does not change the vehicle you must resume another contract !!
We therefore took another contract for the new vehicle and terminated by mail scanned the first, excluding my son sent the certificate of sale to the prefecture and did not keep copies, the insurance also requires a copy of The gray card barred !! As if we kept that by selling a car. The old contract was on my rib, the new on my son's rib, so I block the samples
2 months after they always ask us for the regulation of the old contract and even adds costs, when I answer the emails I have an answer and when I explain the case no one answers, he just asks us to call A surcharged number, which is out of the question.
I realize now that on the Internet everyone complains of not being able to terminate their contract. The system is therefore generalized and made to make people pay.
In short, I launch legal proceedings.</v>
      </c>
    </row>
    <row r="925" ht="15.75" customHeight="1">
      <c r="A925" s="2">
        <v>5.0</v>
      </c>
      <c r="B925" s="2" t="s">
        <v>2534</v>
      </c>
      <c r="C925" s="2" t="s">
        <v>2535</v>
      </c>
      <c r="D925" s="2" t="s">
        <v>41</v>
      </c>
      <c r="E925" s="2" t="s">
        <v>21</v>
      </c>
      <c r="F925" s="2" t="s">
        <v>15</v>
      </c>
      <c r="G925" s="2" t="s">
        <v>51</v>
      </c>
      <c r="H925" s="2" t="s">
        <v>51</v>
      </c>
      <c r="I925" s="2" t="str">
        <f>IFERROR(__xludf.DUMMYFUNCTION("GOOGLETRANSLATE(C925,""fr"",""en"")"),"The subscription is fast and the price attractive.
No complaints the day after the subscription
My opinion may be more complete afterwards once the first exchanges with the insurer have taken place")</f>
        <v>The subscription is fast and the price attractive.
No complaints the day after the subscription
My opinion may be more complete afterwards once the first exchanges with the insurer have taken place</v>
      </c>
    </row>
    <row r="926" ht="15.75" customHeight="1">
      <c r="A926" s="2">
        <v>4.0</v>
      </c>
      <c r="B926" s="2" t="s">
        <v>2536</v>
      </c>
      <c r="C926" s="2" t="s">
        <v>2537</v>
      </c>
      <c r="D926" s="2" t="s">
        <v>150</v>
      </c>
      <c r="E926" s="2" t="s">
        <v>122</v>
      </c>
      <c r="F926" s="2" t="s">
        <v>15</v>
      </c>
      <c r="G926" s="2" t="s">
        <v>237</v>
      </c>
      <c r="H926" s="2" t="s">
        <v>74</v>
      </c>
      <c r="I926" s="2" t="str">
        <f>IFERROR(__xludf.DUMMYFUNCTION("GOOGLETRANSLATE(C926,""fr"",""en"")"),"
Very good and fast satisfaction in terms of price.
See the continuation at the level of insurance if satisfaction no reason I think everything will be fine")</f>
        <v>
Very good and fast satisfaction in terms of price.
See the continuation at the level of insurance if satisfaction no reason I think everything will be fine</v>
      </c>
    </row>
    <row r="927" ht="15.75" customHeight="1">
      <c r="A927" s="2">
        <v>4.0</v>
      </c>
      <c r="B927" s="2" t="s">
        <v>2538</v>
      </c>
      <c r="C927" s="2" t="s">
        <v>2539</v>
      </c>
      <c r="D927" s="2" t="s">
        <v>41</v>
      </c>
      <c r="E927" s="2" t="s">
        <v>21</v>
      </c>
      <c r="F927" s="2" t="s">
        <v>15</v>
      </c>
      <c r="G927" s="2" t="s">
        <v>2540</v>
      </c>
      <c r="H927" s="2" t="s">
        <v>231</v>
      </c>
      <c r="I927" s="2" t="str">
        <f>IFERROR(__xludf.DUMMYFUNCTION("GOOGLETRANSLATE(C927,""fr"",""en"")"),"Speed ​​of the answer and simplicity of the process, in terms of the price it is suitable, to see if we continue definitively with Direct Insurance")</f>
        <v>Speed ​​of the answer and simplicity of the process, in terms of the price it is suitable, to see if we continue definitively with Direct Insurance</v>
      </c>
    </row>
    <row r="928" ht="15.75" customHeight="1">
      <c r="A928" s="2">
        <v>1.0</v>
      </c>
      <c r="B928" s="2" t="s">
        <v>2541</v>
      </c>
      <c r="C928" s="2" t="s">
        <v>2542</v>
      </c>
      <c r="D928" s="2" t="s">
        <v>194</v>
      </c>
      <c r="E928" s="2" t="s">
        <v>195</v>
      </c>
      <c r="F928" s="2" t="s">
        <v>15</v>
      </c>
      <c r="G928" s="2" t="s">
        <v>2543</v>
      </c>
      <c r="H928" s="2" t="s">
        <v>78</v>
      </c>
      <c r="I928" s="2" t="str">
        <f>IFERROR(__xludf.DUMMYFUNCTION("GOOGLETRANSLATE(C928,""fr"",""en"")"),"Currently in a hassle, I am disabled and I have asked for a help Solidarity Handicap to set up my car to drive. I received a letter at the end of October asking me for the agreement or refusal of the CPAM. I addressed on November 4 by letter followed and "&amp;"I saw that ITERIAL received my mail on November 8. Well, I receive the same letter dated November 18 Requiring me the same thing. When at the platform we call you come across a person who does not say his name and more are moderately kind, when the answer"&amp;" he looks at her on their computer. Morality I asked for this help in September and I still have no final response. In addition, I have currently been on sick leave for more than 3 months, I have to send my documents for the maintenance of salary and bonu"&amp;"ses, I am very afraid that it works as badly as my request for help help. Thank you intermeau for putting me in a huge hassle being a familyman and father of two very young children.")</f>
        <v>Currently in a hassle, I am disabled and I have asked for a help Solidarity Handicap to set up my car to drive. I received a letter at the end of October asking me for the agreement or refusal of the CPAM. I addressed on November 4 by letter followed and I saw that ITERIAL received my mail on November 8. Well, I receive the same letter dated November 18 Requiring me the same thing. When at the platform we call you come across a person who does not say his name and more are moderately kind, when the answer he looks at her on their computer. Morality I asked for this help in September and I still have no final response. In addition, I have currently been on sick leave for more than 3 months, I have to send my documents for the maintenance of salary and bonuses, I am very afraid that it works as badly as my request for help help. Thank you intermeau for putting me in a huge hassle being a familyman and father of two very young children.</v>
      </c>
    </row>
    <row r="929" ht="15.75" customHeight="1">
      <c r="A929" s="2">
        <v>2.0</v>
      </c>
      <c r="B929" s="2" t="s">
        <v>2544</v>
      </c>
      <c r="C929" s="2" t="s">
        <v>2545</v>
      </c>
      <c r="D929" s="2" t="s">
        <v>91</v>
      </c>
      <c r="E929" s="2" t="s">
        <v>14</v>
      </c>
      <c r="F929" s="2" t="s">
        <v>15</v>
      </c>
      <c r="G929" s="2" t="s">
        <v>722</v>
      </c>
      <c r="H929" s="2" t="s">
        <v>134</v>
      </c>
      <c r="I929" s="2" t="str">
        <f>IFERROR(__xludf.DUMMYFUNCTION("GOOGLETRANSLATE(C929,""fr"",""en"")"),"Widad kindly answered my questions, I had not yet received my provisional paid third party card or my schedule (in fact found because classified as unwanted in my mailbox) I will not be assured until the end of the month of August, so I do not yet know if"&amp;" this health insurance suits me;")</f>
        <v>Widad kindly answered my questions, I had not yet received my provisional paid third party card or my schedule (in fact found because classified as unwanted in my mailbox) I will not be assured until the end of the month of August, so I do not yet know if this health insurance suits me;</v>
      </c>
    </row>
    <row r="930" ht="15.75" customHeight="1">
      <c r="A930" s="2">
        <v>1.0</v>
      </c>
      <c r="B930" s="2" t="s">
        <v>2546</v>
      </c>
      <c r="C930" s="2" t="s">
        <v>2547</v>
      </c>
      <c r="D930" s="2" t="s">
        <v>206</v>
      </c>
      <c r="E930" s="2" t="s">
        <v>207</v>
      </c>
      <c r="F930" s="2" t="s">
        <v>15</v>
      </c>
      <c r="G930" s="2" t="s">
        <v>1832</v>
      </c>
      <c r="H930" s="2" t="s">
        <v>23</v>
      </c>
      <c r="I930" s="2" t="str">
        <f>IFERROR(__xludf.DUMMYFUNCTION("GOOGLETRANSLATE(C930,""fr"",""en"")"),"First of all, how is there that there is so much ""doubtful advice"" ??? I find it weird. In short. My dog, 10 years old, has been provided since 7 1/2 at Assur O'Poil. I am reimbursed up to 60 %. My dog ​​is not sick, so I give him an annual visit costin"&amp;"g 46 euros and had an 89 euros descaling this year (May 12 and May 21). I exhibit my leaves on May 21, not to forget. On June 14, having no new ones and no trace of receiving the sheets on my customer account, I call. My interlocutor tells me that I will "&amp;"receive my sheets in return, apparently there is something missing, the leaves have been shipped since June 2-3 !!! On the 15th, I send an email: no answer !!! today, June 17, still nothing. Insurance to avoid as much as the monthly payments went from 23 "&amp;"to 27 euros ... without warning me. They are good for taking our money but to repay it is something else !!! I leave this insurance. This opinion is not doubtful but very real of an angry client ...")</f>
        <v>First of all, how is there that there is so much "doubtful advice" ??? I find it weird. In short. My dog, 10 years old, has been provided since 7 1/2 at Assur O'Poil. I am reimbursed up to 60 %. My dog ​​is not sick, so I give him an annual visit costing 46 euros and had an 89 euros descaling this year (May 12 and May 21). I exhibit my leaves on May 21, not to forget. On June 14, having no new ones and no trace of receiving the sheets on my customer account, I call. My interlocutor tells me that I will receive my sheets in return, apparently there is something missing, the leaves have been shipped since June 2-3 !!! On the 15th, I send an email: no answer !!! today, June 17, still nothing. Insurance to avoid as much as the monthly payments went from 23 to 27 euros ... without warning me. They are good for taking our money but to repay it is something else !!! I leave this insurance. This opinion is not doubtful but very real of an angry client ...</v>
      </c>
    </row>
    <row r="931" ht="15.75" customHeight="1">
      <c r="A931" s="2">
        <v>2.0</v>
      </c>
      <c r="B931" s="2" t="s">
        <v>2548</v>
      </c>
      <c r="C931" s="2" t="s">
        <v>2549</v>
      </c>
      <c r="D931" s="2" t="s">
        <v>658</v>
      </c>
      <c r="E931" s="2" t="s">
        <v>195</v>
      </c>
      <c r="F931" s="2" t="s">
        <v>15</v>
      </c>
      <c r="G931" s="2" t="s">
        <v>1139</v>
      </c>
      <c r="H931" s="2" t="s">
        <v>320</v>
      </c>
      <c r="I931" s="2" t="str">
        <f>IFERROR(__xludf.DUMMYFUNCTION("GOOGLETRANSLATE(C931,""fr"",""en"")"),"No communication possible with services (brain death). For 3 weeks no online advisor, customer service an hour's waiting and still no one. I tried everything I'm looking for another company ...")</f>
        <v>No communication possible with services (brain death). For 3 weeks no online advisor, customer service an hour's waiting and still no one. I tried everything I'm looking for another company ...</v>
      </c>
    </row>
    <row r="932" ht="15.75" customHeight="1">
      <c r="A932" s="2">
        <v>2.0</v>
      </c>
      <c r="B932" s="2" t="s">
        <v>2550</v>
      </c>
      <c r="C932" s="2" t="s">
        <v>2551</v>
      </c>
      <c r="D932" s="2" t="s">
        <v>41</v>
      </c>
      <c r="E932" s="2" t="s">
        <v>21</v>
      </c>
      <c r="F932" s="2" t="s">
        <v>15</v>
      </c>
      <c r="G932" s="2" t="s">
        <v>1829</v>
      </c>
      <c r="H932" s="2" t="s">
        <v>28</v>
      </c>
      <c r="I932" s="2" t="str">
        <f>IFERROR(__xludf.DUMMYFUNCTION("GOOGLETRANSLATE(C932,""fr"",""en"")"),"I have to pay 16 euros for declaring a fitting donation not responsible
I pay 40 euros in file frai designed them do not pay
nobody talk to me about but advantage bonus
")</f>
        <v>I have to pay 16 euros for declaring a fitting donation not responsible
I pay 40 euros in file frai designed them do not pay
nobody talk to me about but advantage bonus
</v>
      </c>
    </row>
    <row r="933" ht="15.75" customHeight="1">
      <c r="A933" s="2">
        <v>2.0</v>
      </c>
      <c r="B933" s="2" t="s">
        <v>2552</v>
      </c>
      <c r="C933" s="2" t="s">
        <v>2553</v>
      </c>
      <c r="D933" s="2" t="s">
        <v>67</v>
      </c>
      <c r="E933" s="2" t="s">
        <v>21</v>
      </c>
      <c r="F933" s="2" t="s">
        <v>15</v>
      </c>
      <c r="G933" s="2" t="s">
        <v>436</v>
      </c>
      <c r="H933" s="2" t="s">
        <v>436</v>
      </c>
      <c r="I933" s="2" t="str">
        <f>IFERROR(__xludf.DUMMYFUNCTION("GOOGLETRANSLATE(C933,""fr"",""en"")"),"After spending 3 weeks obtaining auto and scooter quotes, I am refused to subscribe to an agency (wood dove) for a reason that had absolutely not been mentioned during the various calls. Not very serious!")</f>
        <v>After spending 3 weeks obtaining auto and scooter quotes, I am refused to subscribe to an agency (wood dove) for a reason that had absolutely not been mentioned during the various calls. Not very serious!</v>
      </c>
    </row>
    <row r="934" ht="15.75" customHeight="1">
      <c r="A934" s="2">
        <v>4.0</v>
      </c>
      <c r="B934" s="2" t="s">
        <v>2554</v>
      </c>
      <c r="C934" s="2" t="s">
        <v>2555</v>
      </c>
      <c r="D934" s="2" t="s">
        <v>20</v>
      </c>
      <c r="E934" s="2" t="s">
        <v>21</v>
      </c>
      <c r="F934" s="2" t="s">
        <v>15</v>
      </c>
      <c r="G934" s="2" t="s">
        <v>606</v>
      </c>
      <c r="H934" s="2" t="s">
        <v>47</v>
      </c>
      <c r="I934" s="2" t="str">
        <f>IFERROR(__xludf.DUMMYFUNCTION("GOOGLETRANSLATE(C934,""fr"",""en"")"),"The advisor who received me was of exemplary friendliness and rare efficiency. He knew how to answer all my questions with patience, delicacy and good humor. Thanks")</f>
        <v>The advisor who received me was of exemplary friendliness and rare efficiency. He knew how to answer all my questions with patience, delicacy and good humor. Thanks</v>
      </c>
    </row>
    <row r="935" ht="15.75" customHeight="1">
      <c r="A935" s="2">
        <v>5.0</v>
      </c>
      <c r="B935" s="2" t="s">
        <v>2556</v>
      </c>
      <c r="C935" s="2" t="s">
        <v>2557</v>
      </c>
      <c r="D935" s="2" t="s">
        <v>41</v>
      </c>
      <c r="E935" s="2" t="s">
        <v>21</v>
      </c>
      <c r="F935" s="2" t="s">
        <v>15</v>
      </c>
      <c r="G935" s="2" t="s">
        <v>1253</v>
      </c>
      <c r="H935" s="2" t="s">
        <v>55</v>
      </c>
      <c r="I935" s="2" t="str">
        <f>IFERROR(__xludf.DUMMYFUNCTION("GOOGLETRANSLATE(C935,""fr"",""en"")"),"Very well r at very well satisfaction price nothing more to complain about, listening advisers I advise direct insurance. website the top I thank")</f>
        <v>Very well r at very well satisfaction price nothing more to complain about, listening advisers I advise direct insurance. website the top I thank</v>
      </c>
    </row>
    <row r="936" ht="15.75" customHeight="1">
      <c r="A936" s="2">
        <v>3.0</v>
      </c>
      <c r="B936" s="2" t="s">
        <v>2558</v>
      </c>
      <c r="C936" s="2" t="s">
        <v>2559</v>
      </c>
      <c r="D936" s="2" t="s">
        <v>20</v>
      </c>
      <c r="E936" s="2" t="s">
        <v>21</v>
      </c>
      <c r="F936" s="2" t="s">
        <v>15</v>
      </c>
      <c r="G936" s="2" t="s">
        <v>444</v>
      </c>
      <c r="H936" s="2" t="s">
        <v>51</v>
      </c>
      <c r="I936" s="2" t="str">
        <f>IFERROR(__xludf.DUMMYFUNCTION("GOOGLETRANSLATE(C936,""fr"",""en"")"),"Correct value for money to see in the long term because it is my first contract with you. I hope your policy is distinguished from other insurances.")</f>
        <v>Correct value for money to see in the long term because it is my first contract with you. I hope your policy is distinguished from other insurances.</v>
      </c>
    </row>
    <row r="937" ht="15.75" customHeight="1">
      <c r="A937" s="2">
        <v>3.0</v>
      </c>
      <c r="B937" s="2" t="s">
        <v>2560</v>
      </c>
      <c r="C937" s="2" t="s">
        <v>2561</v>
      </c>
      <c r="D937" s="2" t="s">
        <v>36</v>
      </c>
      <c r="E937" s="2" t="s">
        <v>58</v>
      </c>
      <c r="F937" s="2" t="s">
        <v>15</v>
      </c>
      <c r="G937" s="2" t="s">
        <v>2562</v>
      </c>
      <c r="H937" s="2" t="s">
        <v>478</v>
      </c>
      <c r="I937" s="2" t="str">
        <f>IFERROR(__xludf.DUMMYFUNCTION("GOOGLETRANSLATE(C937,""fr"",""en"")"),"Passing the age by 28 years The maif increases its price by more than 50 %! After request for an explanation we lose the young price from this age! The maif then becomes the most expensive on the market largely the maaf!")</f>
        <v>Passing the age by 28 years The maif increases its price by more than 50 %! After request for an explanation we lose the young price from this age! The maif then becomes the most expensive on the market largely the maaf!</v>
      </c>
    </row>
    <row r="938" ht="15.75" customHeight="1">
      <c r="A938" s="2">
        <v>1.0</v>
      </c>
      <c r="B938" s="2" t="s">
        <v>2563</v>
      </c>
      <c r="C938" s="2" t="s">
        <v>2564</v>
      </c>
      <c r="D938" s="2" t="s">
        <v>194</v>
      </c>
      <c r="E938" s="2" t="s">
        <v>195</v>
      </c>
      <c r="F938" s="2" t="s">
        <v>15</v>
      </c>
      <c r="G938" s="2" t="s">
        <v>1577</v>
      </c>
      <c r="H938" s="2" t="s">
        <v>110</v>
      </c>
      <c r="I938" s="2" t="str">
        <f>IFERROR(__xludf.DUMMYFUNCTION("GOOGLETRANSLATE(C938,""fr"",""en"")"),"After having reclaimed me 4 times a stop now I am ballad by telling me that my file is being processed .... and that since April2018 .... Medames Etmessieurs d intermere, you know that I am surviving with 730 euros then the pasta e and potatoes I can't ta"&amp;"ke it anymore .... look at my file so that I can percovial a supplement of invalidity. When you do the article so that we would adhere to your mutual insurance dragging in length and reluctant to compensate us in the event of a claim !!!!!")</f>
        <v>After having reclaimed me 4 times a stop now I am ballad by telling me that my file is being processed .... and that since April2018 .... Medames Etmessieurs d intermere, you know that I am surviving with 730 euros then the pasta e and potatoes I can't take it anymore .... look at my file so that I can percovial a supplement of invalidity. When you do the article so that we would adhere to your mutual insurance dragging in length and reluctant to compensate us in the event of a claim !!!!!</v>
      </c>
    </row>
    <row r="939" ht="15.75" customHeight="1">
      <c r="A939" s="2">
        <v>5.0</v>
      </c>
      <c r="B939" s="2" t="s">
        <v>2565</v>
      </c>
      <c r="C939" s="2" t="s">
        <v>2566</v>
      </c>
      <c r="D939" s="2" t="s">
        <v>20</v>
      </c>
      <c r="E939" s="2" t="s">
        <v>21</v>
      </c>
      <c r="F939" s="2" t="s">
        <v>15</v>
      </c>
      <c r="G939" s="2" t="s">
        <v>1956</v>
      </c>
      <c r="H939" s="2" t="s">
        <v>51</v>
      </c>
      <c r="I939" s="2" t="str">
        <f>IFERROR(__xludf.DUMMYFUNCTION("GOOGLETRANSLATE(C939,""fr"",""en"")"),"The kindness, courtesy and availability of the advisor, the answer to my questions, and the value for money in short, I recommend without hesitation the olive assurance.")</f>
        <v>The kindness, courtesy and availability of the advisor, the answer to my questions, and the value for money in short, I recommend without hesitation the olive assurance.</v>
      </c>
    </row>
    <row r="940" ht="15.75" customHeight="1">
      <c r="A940" s="2">
        <v>5.0</v>
      </c>
      <c r="B940" s="2" t="s">
        <v>2567</v>
      </c>
      <c r="C940" s="2" t="s">
        <v>2568</v>
      </c>
      <c r="D940" s="2" t="s">
        <v>13</v>
      </c>
      <c r="E940" s="2" t="s">
        <v>14</v>
      </c>
      <c r="F940" s="2" t="s">
        <v>15</v>
      </c>
      <c r="G940" s="2" t="s">
        <v>2438</v>
      </c>
      <c r="H940" s="2" t="s">
        <v>269</v>
      </c>
      <c r="I940" s="2" t="str">
        <f>IFERROR(__xludf.DUMMYFUNCTION("GOOGLETRANSLATE(C940,""fr"",""en"")"),"I am delighted Neoliane is very good")</f>
        <v>I am delighted Neoliane is very good</v>
      </c>
    </row>
    <row r="941" ht="15.75" customHeight="1">
      <c r="A941" s="2">
        <v>4.0</v>
      </c>
      <c r="B941" s="2" t="s">
        <v>2569</v>
      </c>
      <c r="C941" s="2" t="s">
        <v>2570</v>
      </c>
      <c r="D941" s="2" t="s">
        <v>41</v>
      </c>
      <c r="E941" s="2" t="s">
        <v>21</v>
      </c>
      <c r="F941" s="2" t="s">
        <v>15</v>
      </c>
      <c r="G941" s="2" t="s">
        <v>761</v>
      </c>
      <c r="H941" s="2" t="s">
        <v>134</v>
      </c>
      <c r="I941" s="2" t="str">
        <f>IFERROR(__xludf.DUMMYFUNCTION("GOOGLETRANSLATE(C941,""fr"",""en"")"),"I am satisfied, the monthly price of my insurance is similar to the price charged by competition and the services offered are completely satisfactory.")</f>
        <v>I am satisfied, the monthly price of my insurance is similar to the price charged by competition and the services offered are completely satisfactory.</v>
      </c>
    </row>
    <row r="942" ht="15.75" customHeight="1">
      <c r="A942" s="2">
        <v>4.0</v>
      </c>
      <c r="B942" s="2" t="s">
        <v>2571</v>
      </c>
      <c r="C942" s="2" t="s">
        <v>2572</v>
      </c>
      <c r="D942" s="2" t="s">
        <v>41</v>
      </c>
      <c r="E942" s="2" t="s">
        <v>21</v>
      </c>
      <c r="F942" s="2" t="s">
        <v>15</v>
      </c>
      <c r="G942" s="2" t="s">
        <v>1233</v>
      </c>
      <c r="H942" s="2" t="s">
        <v>134</v>
      </c>
      <c r="I942" s="2" t="str">
        <f>IFERROR(__xludf.DUMMYFUNCTION("GOOGLETRANSLATE(C942,""fr"",""en"")"),"I am satisfied the price suits me fast and effective thank you very much I can even advise friends see you very soon really fast as insurance")</f>
        <v>I am satisfied the price suits me fast and effective thank you very much I can even advise friends see you very soon really fast as insurance</v>
      </c>
    </row>
    <row r="943" ht="15.75" customHeight="1">
      <c r="A943" s="2">
        <v>1.0</v>
      </c>
      <c r="B943" s="2" t="s">
        <v>2573</v>
      </c>
      <c r="C943" s="2" t="s">
        <v>2574</v>
      </c>
      <c r="D943" s="2" t="s">
        <v>41</v>
      </c>
      <c r="E943" s="2" t="s">
        <v>21</v>
      </c>
      <c r="F943" s="2" t="s">
        <v>15</v>
      </c>
      <c r="G943" s="2" t="s">
        <v>1242</v>
      </c>
      <c r="H943" s="2" t="s">
        <v>55</v>
      </c>
      <c r="I943" s="2" t="str">
        <f>IFERROR(__xludf.DUMMYFUNCTION("GOOGLETRANSLATE(C943,""fr"",""en"")"),"Contract not in accordance with telephone conversation; A guarantee withdrawn in the meantime, (serenity pack) but unchanged price. But I realized it. Pitiful commercial operation")</f>
        <v>Contract not in accordance with telephone conversation; A guarantee withdrawn in the meantime, (serenity pack) but unchanged price. But I realized it. Pitiful commercial operation</v>
      </c>
    </row>
    <row r="944" ht="15.75" customHeight="1">
      <c r="A944" s="2">
        <v>5.0</v>
      </c>
      <c r="B944" s="2" t="s">
        <v>2575</v>
      </c>
      <c r="C944" s="2" t="s">
        <v>2576</v>
      </c>
      <c r="D944" s="2" t="s">
        <v>150</v>
      </c>
      <c r="E944" s="2" t="s">
        <v>122</v>
      </c>
      <c r="F944" s="2" t="s">
        <v>15</v>
      </c>
      <c r="G944" s="2" t="s">
        <v>1914</v>
      </c>
      <c r="H944" s="2" t="s">
        <v>28</v>
      </c>
      <c r="I944" s="2" t="str">
        <f>IFERROR(__xludf.DUMMYFUNCTION("GOOGLETRANSLATE(C944,""fr"",""en"")"),"I am satisfied very good price thank you very much I highly recommend this insurance prices are correct thank you very much I recommend the prices are attractive")</f>
        <v>I am satisfied very good price thank you very much I highly recommend this insurance prices are correct thank you very much I recommend the prices are attractive</v>
      </c>
    </row>
    <row r="945" ht="15.75" customHeight="1">
      <c r="A945" s="2">
        <v>5.0</v>
      </c>
      <c r="B945" s="2" t="s">
        <v>2577</v>
      </c>
      <c r="C945" s="2" t="s">
        <v>2578</v>
      </c>
      <c r="D945" s="2" t="s">
        <v>20</v>
      </c>
      <c r="E945" s="2" t="s">
        <v>21</v>
      </c>
      <c r="F945" s="2" t="s">
        <v>15</v>
      </c>
      <c r="G945" s="2" t="s">
        <v>2579</v>
      </c>
      <c r="H945" s="2" t="s">
        <v>47</v>
      </c>
      <c r="I945" s="2" t="str">
        <f>IFERROR(__xludf.DUMMYFUNCTION("GOOGLETRANSLATE(C945,""fr"",""en"")"),"I am very satisfied and it is very fast recommend
And the price is very correct
I am satisfied and it's fast and the price is very correct nike")</f>
        <v>I am very satisfied and it is very fast recommend
And the price is very correct
I am satisfied and it's fast and the price is very correct nike</v>
      </c>
    </row>
    <row r="946" ht="15.75" customHeight="1">
      <c r="A946" s="2">
        <v>4.0</v>
      </c>
      <c r="B946" s="2" t="s">
        <v>2580</v>
      </c>
      <c r="C946" s="2" t="s">
        <v>2581</v>
      </c>
      <c r="D946" s="2" t="s">
        <v>41</v>
      </c>
      <c r="E946" s="2" t="s">
        <v>21</v>
      </c>
      <c r="F946" s="2" t="s">
        <v>15</v>
      </c>
      <c r="G946" s="2" t="s">
        <v>1311</v>
      </c>
      <c r="H946" s="2" t="s">
        <v>42</v>
      </c>
      <c r="I946" s="2" t="str">
        <f>IFERROR(__xludf.DUMMYFUNCTION("GOOGLETRANSLATE(C946,""fr"",""en"")"),"I am satisfied with the service and the prices. The advisers are very professional and attentive to the customer. Very responsive during a change of contract without tons of documents to fill out.
Simple and efficient.")</f>
        <v>I am satisfied with the service and the prices. The advisers are very professional and attentive to the customer. Very responsive during a change of contract without tons of documents to fill out.
Simple and efficient.</v>
      </c>
    </row>
    <row r="947" ht="15.75" customHeight="1">
      <c r="A947" s="2">
        <v>3.0</v>
      </c>
      <c r="B947" s="2" t="s">
        <v>2582</v>
      </c>
      <c r="C947" s="2" t="s">
        <v>2583</v>
      </c>
      <c r="D947" s="2" t="s">
        <v>41</v>
      </c>
      <c r="E947" s="2" t="s">
        <v>21</v>
      </c>
      <c r="F947" s="2" t="s">
        <v>15</v>
      </c>
      <c r="G947" s="2" t="s">
        <v>244</v>
      </c>
      <c r="H947" s="2" t="s">
        <v>23</v>
      </c>
      <c r="I947" s="2" t="str">
        <f>IFERROR(__xludf.DUMMYFUNCTION("GOOGLETRANSLATE(C947,""fr"",""en"")"),"I find that the prices are dear given the context.
And this year again, I am surprised by the amount knowing that I did not have an accident on N-1. Not only did I expect to pay less than last year but above all I expected to pay less than my first year "&amp;"when I was very young driver ... I am a little disappointed.
Afterwards I am generally satisfied with the service because when you have no problem and so you don't need to ask you Ben necessarily everything is fine.")</f>
        <v>I find that the prices are dear given the context.
And this year again, I am surprised by the amount knowing that I did not have an accident on N-1. Not only did I expect to pay less than last year but above all I expected to pay less than my first year when I was very young driver ... I am a little disappointed.
Afterwards I am generally satisfied with the service because when you have no problem and so you don't need to ask you Ben necessarily everything is fine.</v>
      </c>
    </row>
    <row r="948" ht="15.75" customHeight="1">
      <c r="A948" s="2">
        <v>1.0</v>
      </c>
      <c r="B948" s="2" t="s">
        <v>2584</v>
      </c>
      <c r="C948" s="2" t="s">
        <v>2585</v>
      </c>
      <c r="D948" s="2" t="s">
        <v>67</v>
      </c>
      <c r="E948" s="2" t="s">
        <v>21</v>
      </c>
      <c r="F948" s="2" t="s">
        <v>15</v>
      </c>
      <c r="G948" s="2" t="s">
        <v>2586</v>
      </c>
      <c r="H948" s="2" t="s">
        <v>282</v>
      </c>
      <c r="I948" s="2" t="str">
        <f>IFERROR(__xludf.DUMMYFUNCTION("GOOGLETRANSLATE(C948,""fr"",""en"")"),"I am very very disappointed with the maaf at home for 3 years never had a problem ah but as soon as my sampling does not pass on my account but I go to the checkery agency and as soon as my check and cashes start on a set Lady of the agency refuses me the"&amp;" right to take care because I had an uninstatement again at home he never verron us again he thinks of money before customers")</f>
        <v>I am very very disappointed with the maaf at home for 3 years never had a problem ah but as soon as my sampling does not pass on my account but I go to the checkery agency and as soon as my check and cashes start on a set Lady of the agency refuses me the right to take care because I had an uninstatement again at home he never verron us again he thinks of money before customers</v>
      </c>
    </row>
    <row r="949" ht="15.75" customHeight="1">
      <c r="A949" s="2">
        <v>4.0</v>
      </c>
      <c r="B949" s="2" t="s">
        <v>2587</v>
      </c>
      <c r="C949" s="2" t="s">
        <v>2588</v>
      </c>
      <c r="D949" s="2" t="s">
        <v>41</v>
      </c>
      <c r="E949" s="2" t="s">
        <v>21</v>
      </c>
      <c r="F949" s="2" t="s">
        <v>15</v>
      </c>
      <c r="G949" s="2" t="s">
        <v>2589</v>
      </c>
      <c r="H949" s="2" t="s">
        <v>320</v>
      </c>
      <c r="I949" s="2" t="str">
        <f>IFERROR(__xludf.DUMMYFUNCTION("GOOGLETRANSLATE(C949,""fr"",""en"")"),"I can only be satisfied. My goal is to pay the cheapest possible. As for the use of my contract, I can not say anything about it, I have never had the opportunity to request my insurer for damage. For the moment it is the only insurer I have found and whi"&amp;"ch allows me to ensure my leasing vehicle at third party maximum, all the others are all risks.")</f>
        <v>I can only be satisfied. My goal is to pay the cheapest possible. As for the use of my contract, I can not say anything about it, I have never had the opportunity to request my insurer for damage. For the moment it is the only insurer I have found and which allows me to ensure my leasing vehicle at third party maximum, all the others are all risks.</v>
      </c>
    </row>
    <row r="950" ht="15.75" customHeight="1">
      <c r="A950" s="2">
        <v>2.0</v>
      </c>
      <c r="B950" s="2" t="s">
        <v>2590</v>
      </c>
      <c r="C950" s="2" t="s">
        <v>2591</v>
      </c>
      <c r="D950" s="2" t="s">
        <v>41</v>
      </c>
      <c r="E950" s="2" t="s">
        <v>21</v>
      </c>
      <c r="F950" s="2" t="s">
        <v>15</v>
      </c>
      <c r="G950" s="2" t="s">
        <v>531</v>
      </c>
      <c r="H950" s="2" t="s">
        <v>134</v>
      </c>
      <c r="I950" s="2" t="str">
        <f>IFERROR(__xludf.DUMMYFUNCTION("GOOGLETRANSLATE(C950,""fr"",""en"")"),"I have just been the victim of a catalytic pot flight, my car is no longer usable, the sinister service tells me that I am not covered. I find that there is always an excuse not to be covered.")</f>
        <v>I have just been the victim of a catalytic pot flight, my car is no longer usable, the sinister service tells me that I am not covered. I find that there is always an excuse not to be covered.</v>
      </c>
    </row>
    <row r="951" ht="15.75" customHeight="1">
      <c r="A951" s="2">
        <v>3.0</v>
      </c>
      <c r="B951" s="2" t="s">
        <v>2592</v>
      </c>
      <c r="C951" s="2" t="s">
        <v>2593</v>
      </c>
      <c r="D951" s="2" t="s">
        <v>31</v>
      </c>
      <c r="E951" s="2" t="s">
        <v>21</v>
      </c>
      <c r="F951" s="2" t="s">
        <v>15</v>
      </c>
      <c r="G951" s="2" t="s">
        <v>1305</v>
      </c>
      <c r="H951" s="2" t="s">
        <v>436</v>
      </c>
      <c r="I951" s="2" t="str">
        <f>IFERROR(__xludf.DUMMYFUNCTION("GOOGLETRANSLATE(C951,""fr"",""en"")"),"After a twisted incident and a 50/50, the Macif stops my contract while I have been at home for a long time and I paid an exorbitant sum. This was done without any explanation. In addition, they believe that the last incident is illegible and they did not"&amp;" return the observation to me.")</f>
        <v>After a twisted incident and a 50/50, the Macif stops my contract while I have been at home for a long time and I paid an exorbitant sum. This was done without any explanation. In addition, they believe that the last incident is illegible and they did not return the observation to me.</v>
      </c>
    </row>
    <row r="952" ht="15.75" customHeight="1">
      <c r="A952" s="2">
        <v>5.0</v>
      </c>
      <c r="B952" s="2" t="s">
        <v>2594</v>
      </c>
      <c r="C952" s="2" t="s">
        <v>2595</v>
      </c>
      <c r="D952" s="2" t="s">
        <v>103</v>
      </c>
      <c r="E952" s="2" t="s">
        <v>104</v>
      </c>
      <c r="F952" s="2" t="s">
        <v>15</v>
      </c>
      <c r="G952" s="2" t="s">
        <v>2418</v>
      </c>
      <c r="H952" s="2" t="s">
        <v>23</v>
      </c>
      <c r="I952" s="2" t="str">
        <f>IFERROR(__xludf.DUMMYFUNCTION("GOOGLETRANSLATE(C952,""fr"",""en"")"),"I am very satisfied with the service. The advisor is super responsive and available. The prices are very competitive compared to a loan insurance note.")</f>
        <v>I am very satisfied with the service. The advisor is super responsive and available. The prices are very competitive compared to a loan insurance note.</v>
      </c>
    </row>
    <row r="953" ht="15.75" customHeight="1">
      <c r="A953" s="2">
        <v>1.0</v>
      </c>
      <c r="B953" s="2" t="s">
        <v>2596</v>
      </c>
      <c r="C953" s="2" t="s">
        <v>2597</v>
      </c>
      <c r="D953" s="2" t="s">
        <v>212</v>
      </c>
      <c r="E953" s="2" t="s">
        <v>922</v>
      </c>
      <c r="F953" s="2" t="s">
        <v>15</v>
      </c>
      <c r="G953" s="2" t="s">
        <v>285</v>
      </c>
      <c r="H953" s="2" t="s">
        <v>23</v>
      </c>
      <c r="I953" s="2" t="str">
        <f>IFERROR(__xludf.DUMMYFUNCTION("GOOGLETRANSLATE(C953,""fr"",""en"")"),"Perp anchor. They tell us about how in such! Ask you 2 × the same papers (RIB, photocopying identity card) ask you for a whole bunch of things to unlock money .... at least one month waiting ... do not ask the question of our need. Do not do so many ways "&amp;"to cash the monthly payments, when it was. ??")</f>
        <v>Perp anchor. They tell us about how in such! Ask you 2 × the same papers (RIB, photocopying identity card) ask you for a whole bunch of things to unlock money .... at least one month waiting ... do not ask the question of our need. Do not do so many ways to cash the monthly payments, when it was. ??</v>
      </c>
    </row>
    <row r="954" ht="15.75" customHeight="1">
      <c r="A954" s="2">
        <v>4.0</v>
      </c>
      <c r="B954" s="2" t="s">
        <v>2598</v>
      </c>
      <c r="C954" s="2" t="s">
        <v>2599</v>
      </c>
      <c r="D954" s="2" t="s">
        <v>121</v>
      </c>
      <c r="E954" s="2" t="s">
        <v>122</v>
      </c>
      <c r="F954" s="2" t="s">
        <v>15</v>
      </c>
      <c r="G954" s="2" t="s">
        <v>1207</v>
      </c>
      <c r="H954" s="2" t="s">
        <v>134</v>
      </c>
      <c r="I954" s="2" t="str">
        <f>IFERROR(__xludf.DUMMYFUNCTION("GOOGLETRANSLATE(C954,""fr"",""en"")"),"Super cool, prices lower than competition! I'm waiting to see what it gives but I think it's a good thing !!!
Thank you very much AMV Insurance")</f>
        <v>Super cool, prices lower than competition! I'm waiting to see what it gives but I think it's a good thing !!!
Thank you very much AMV Insurance</v>
      </c>
    </row>
    <row r="955" ht="15.75" customHeight="1">
      <c r="A955" s="2">
        <v>5.0</v>
      </c>
      <c r="B955" s="2" t="s">
        <v>2600</v>
      </c>
      <c r="C955" s="2" t="s">
        <v>2601</v>
      </c>
      <c r="D955" s="2" t="s">
        <v>150</v>
      </c>
      <c r="E955" s="2" t="s">
        <v>122</v>
      </c>
      <c r="F955" s="2" t="s">
        <v>15</v>
      </c>
      <c r="G955" s="2" t="s">
        <v>490</v>
      </c>
      <c r="H955" s="2" t="s">
        <v>55</v>
      </c>
      <c r="I955" s="2" t="str">
        <f>IFERROR(__xludf.DUMMYFUNCTION("GOOGLETRANSLATE(C955,""fr"",""en"")"),"Perfect and very friendly, I have not tested in the event of a disaster but I easily attach them to process my file and the prices are very competitive compared to other insurers")</f>
        <v>Perfect and very friendly, I have not tested in the event of a disaster but I easily attach them to process my file and the prices are very competitive compared to other insurers</v>
      </c>
    </row>
    <row r="956" ht="15.75" customHeight="1">
      <c r="A956" s="2">
        <v>5.0</v>
      </c>
      <c r="B956" s="2" t="s">
        <v>2602</v>
      </c>
      <c r="C956" s="2" t="s">
        <v>2603</v>
      </c>
      <c r="D956" s="2" t="s">
        <v>20</v>
      </c>
      <c r="E956" s="2" t="s">
        <v>21</v>
      </c>
      <c r="F956" s="2" t="s">
        <v>15</v>
      </c>
      <c r="G956" s="2" t="s">
        <v>332</v>
      </c>
      <c r="H956" s="2" t="s">
        <v>28</v>
      </c>
      <c r="I956" s="2" t="str">
        <f>IFERROR(__xludf.DUMMYFUNCTION("GOOGLETRANSLATE(C956,""fr"",""en"")"),"The price is very attractive, the quote complies with the price I have paid. I just hope everything will go well if a problem arrives (let's never hope)")</f>
        <v>The price is very attractive, the quote complies with the price I have paid. I just hope everything will go well if a problem arrives (let's never hope)</v>
      </c>
    </row>
    <row r="957" ht="15.75" customHeight="1">
      <c r="A957" s="2">
        <v>1.0</v>
      </c>
      <c r="B957" s="2" t="s">
        <v>2604</v>
      </c>
      <c r="C957" s="2" t="s">
        <v>2605</v>
      </c>
      <c r="D957" s="2" t="s">
        <v>41</v>
      </c>
      <c r="E957" s="2" t="s">
        <v>21</v>
      </c>
      <c r="F957" s="2" t="s">
        <v>15</v>
      </c>
      <c r="G957" s="2" t="s">
        <v>1242</v>
      </c>
      <c r="H957" s="2" t="s">
        <v>55</v>
      </c>
      <c r="I957" s="2" t="str">
        <f>IFERROR(__xludf.DUMMYFUNCTION("GOOGLETRANSLATE(C957,""fr"",""en"")"),"Very difficult to understand the invoicing of the different options and to modify your contract. Documents do not include enough information ER is difficult to find.")</f>
        <v>Very difficult to understand the invoicing of the different options and to modify your contract. Documents do not include enough information ER is difficult to find.</v>
      </c>
    </row>
    <row r="958" ht="15.75" customHeight="1">
      <c r="A958" s="2">
        <v>1.0</v>
      </c>
      <c r="B958" s="2" t="s">
        <v>2606</v>
      </c>
      <c r="C958" s="2" t="s">
        <v>2607</v>
      </c>
      <c r="D958" s="2" t="s">
        <v>108</v>
      </c>
      <c r="E958" s="2" t="s">
        <v>21</v>
      </c>
      <c r="F958" s="2" t="s">
        <v>15</v>
      </c>
      <c r="G958" s="2" t="s">
        <v>2608</v>
      </c>
      <c r="H958" s="2" t="s">
        <v>726</v>
      </c>
      <c r="I958" s="2" t="str">
        <f>IFERROR(__xludf.DUMMYFUNCTION("GOOGLETRANSLATE(C958,""fr"",""en"")"),"For a month already, I called Active Insurance on their surcharge number once a week to ask that the green card will send me. Each time, I was made to send it during the week. But I have still received nothing to date. I do not understand this attitude. I"&amp;" am starting to seriously think of terminating this contract. Besides, I do not recommend this insurer!")</f>
        <v>For a month already, I called Active Insurance on their surcharge number once a week to ask that the green card will send me. Each time, I was made to send it during the week. But I have still received nothing to date. I do not understand this attitude. I am starting to seriously think of terminating this contract. Besides, I do not recommend this insurer!</v>
      </c>
    </row>
    <row r="959" ht="15.75" customHeight="1">
      <c r="A959" s="2">
        <v>5.0</v>
      </c>
      <c r="B959" s="2" t="s">
        <v>2609</v>
      </c>
      <c r="C959" s="2" t="s">
        <v>2610</v>
      </c>
      <c r="D959" s="2" t="s">
        <v>121</v>
      </c>
      <c r="E959" s="2" t="s">
        <v>122</v>
      </c>
      <c r="F959" s="2" t="s">
        <v>15</v>
      </c>
      <c r="G959" s="2" t="s">
        <v>1027</v>
      </c>
      <c r="H959" s="2" t="s">
        <v>74</v>
      </c>
      <c r="I959" s="2" t="str">
        <f>IFERROR(__xludf.DUMMYFUNCTION("GOOGLETRANSLATE(C959,""fr"",""en"")"),"Good price, among one of the cheapest for the same services offered everywhere.
No additional and optional options concerning:
- franchise buyout
- vehicle loan with breakdown assistance
- increased value
To see in time, if there is a possible pr"&amp;"oblem, if they answer present.")</f>
        <v>Good price, among one of the cheapest for the same services offered everywhere.
No additional and optional options concerning:
- franchise buyout
- vehicle loan with breakdown assistance
- increased value
To see in time, if there is a possible problem, if they answer present.</v>
      </c>
    </row>
    <row r="960" ht="15.75" customHeight="1">
      <c r="A960" s="2">
        <v>5.0</v>
      </c>
      <c r="B960" s="2" t="s">
        <v>2611</v>
      </c>
      <c r="C960" s="2" t="s">
        <v>2612</v>
      </c>
      <c r="D960" s="2" t="s">
        <v>20</v>
      </c>
      <c r="E960" s="2" t="s">
        <v>21</v>
      </c>
      <c r="F960" s="2" t="s">
        <v>15</v>
      </c>
      <c r="G960" s="2" t="s">
        <v>779</v>
      </c>
      <c r="H960" s="2" t="s">
        <v>23</v>
      </c>
      <c r="I960" s="2" t="str">
        <f>IFERROR(__xludf.DUMMYFUNCTION("GOOGLETRANSLATE(C960,""fr"",""en"")"),"I am very satisfied in terms of price, the advisers are very professional. Good reception and very responsive. I am not disappointed at the moment. I recommend this insurance.")</f>
        <v>I am very satisfied in terms of price, the advisers are very professional. Good reception and very responsive. I am not disappointed at the moment. I recommend this insurance.</v>
      </c>
    </row>
    <row r="961" ht="15.75" customHeight="1">
      <c r="A961" s="2">
        <v>1.0</v>
      </c>
      <c r="B961" s="2" t="s">
        <v>2613</v>
      </c>
      <c r="C961" s="2" t="s">
        <v>2614</v>
      </c>
      <c r="D961" s="2" t="s">
        <v>26</v>
      </c>
      <c r="E961" s="2" t="s">
        <v>14</v>
      </c>
      <c r="F961" s="2" t="s">
        <v>15</v>
      </c>
      <c r="G961" s="2" t="s">
        <v>2615</v>
      </c>
      <c r="H961" s="2" t="s">
        <v>197</v>
      </c>
      <c r="I961" s="2" t="str">
        <f>IFERROR(__xludf.DUMMYFUNCTION("GOOGLETRANSLATE(C961,""fr"",""en"")"),"Incompetent customer service as possible! Long refund, and chaotic subscription! I have never had so much problem for the subscription of a product, incomprehensible!")</f>
        <v>Incompetent customer service as possible! Long refund, and chaotic subscription! I have never had so much problem for the subscription of a product, incomprehensible!</v>
      </c>
    </row>
    <row r="962" ht="15.75" customHeight="1">
      <c r="A962" s="2">
        <v>5.0</v>
      </c>
      <c r="B962" s="2" t="s">
        <v>2616</v>
      </c>
      <c r="C962" s="2" t="s">
        <v>2617</v>
      </c>
      <c r="D962" s="2" t="s">
        <v>41</v>
      </c>
      <c r="E962" s="2" t="s">
        <v>21</v>
      </c>
      <c r="F962" s="2" t="s">
        <v>15</v>
      </c>
      <c r="G962" s="2" t="s">
        <v>779</v>
      </c>
      <c r="H962" s="2" t="s">
        <v>23</v>
      </c>
      <c r="I962" s="2" t="str">
        <f>IFERROR(__xludf.DUMMYFUNCTION("GOOGLETRANSLATE(C962,""fr"",""en"")"),"Simple fast practice
satisfied with information as well as prices
The site is easy readable
efficient customer service listening and easy to reach")</f>
        <v>Simple fast practice
satisfied with information as well as prices
The site is easy readable
efficient customer service listening and easy to reach</v>
      </c>
    </row>
    <row r="963" ht="15.75" customHeight="1">
      <c r="A963" s="2">
        <v>4.0</v>
      </c>
      <c r="B963" s="2" t="s">
        <v>2618</v>
      </c>
      <c r="C963" s="2" t="s">
        <v>2619</v>
      </c>
      <c r="D963" s="2" t="s">
        <v>20</v>
      </c>
      <c r="E963" s="2" t="s">
        <v>21</v>
      </c>
      <c r="F963" s="2" t="s">
        <v>15</v>
      </c>
      <c r="G963" s="2" t="s">
        <v>2620</v>
      </c>
      <c r="H963" s="2" t="s">
        <v>74</v>
      </c>
      <c r="I963" s="2" t="str">
        <f>IFERROR(__xludf.DUMMYFUNCTION("GOOGLETRANSLATE(C963,""fr"",""en"")"),"Thanks. I am very satisfied with the service and the speed of your answers. The prices are very interesting. Thank you again for your proposals. Cordially.")</f>
        <v>Thanks. I am very satisfied with the service and the speed of your answers. The prices are very interesting. Thank you again for your proposals. Cordially.</v>
      </c>
    </row>
    <row r="964" ht="15.75" customHeight="1">
      <c r="A964" s="2">
        <v>4.0</v>
      </c>
      <c r="B964" s="2" t="s">
        <v>2621</v>
      </c>
      <c r="C964" s="2" t="s">
        <v>2622</v>
      </c>
      <c r="D964" s="2" t="s">
        <v>13</v>
      </c>
      <c r="E964" s="2" t="s">
        <v>14</v>
      </c>
      <c r="F964" s="2" t="s">
        <v>15</v>
      </c>
      <c r="G964" s="2" t="s">
        <v>663</v>
      </c>
      <c r="H964" s="2" t="s">
        <v>497</v>
      </c>
      <c r="I964" s="2" t="str">
        <f>IFERROR(__xludf.DUMMYFUNCTION("GOOGLETRANSLATE(C964,""fr"",""en"")"),"Good service, good support by advisers
Good service, good support by advisers
Good service, good support by advisers
Good service, good support by advisers")</f>
        <v>Good service, good support by advisers
Good service, good support by advisers
Good service, good support by advisers
Good service, good support by advisers</v>
      </c>
    </row>
    <row r="965" ht="15.75" customHeight="1">
      <c r="A965" s="2">
        <v>1.0</v>
      </c>
      <c r="B965" s="2" t="s">
        <v>2623</v>
      </c>
      <c r="C965" s="2" t="s">
        <v>2624</v>
      </c>
      <c r="D965" s="2" t="s">
        <v>2625</v>
      </c>
      <c r="E965" s="2" t="s">
        <v>58</v>
      </c>
      <c r="F965" s="2" t="s">
        <v>15</v>
      </c>
      <c r="G965" s="2" t="s">
        <v>2626</v>
      </c>
      <c r="H965" s="2" t="s">
        <v>144</v>
      </c>
      <c r="I965" s="2" t="str">
        <f>IFERROR(__xludf.DUMMYFUNCTION("GOOGLETRANSLATE(C965,""fr"",""en"")"),"Hello,
On November 20, we were the victim of a burglary, 1 month later on December 20, we had the passage of the expert who told us that we would be contacted in 10 15 days maximum by insurance to finally be compensated . 23 days later still nothing, for"&amp;"ced to call more than 20 times a day to never come across an adviser and when we lucky we finally have someone online we are told that the person in charge of our file is on lunch break But that he will make us immediately after, the poor man has to get l"&amp;"ost on his plate because we are still waiting for his call ...")</f>
        <v>Hello,
On November 20, we were the victim of a burglary, 1 month later on December 20, we had the passage of the expert who told us that we would be contacted in 10 15 days maximum by insurance to finally be compensated . 23 days later still nothing, forced to call more than 20 times a day to never come across an adviser and when we lucky we finally have someone online we are told that the person in charge of our file is on lunch break But that he will make us immediately after, the poor man has to get lost on his plate because we are still waiting for his call ...</v>
      </c>
    </row>
    <row r="966" ht="15.75" customHeight="1">
      <c r="A966" s="2">
        <v>2.0</v>
      </c>
      <c r="B966" s="2" t="s">
        <v>2627</v>
      </c>
      <c r="C966" s="2" t="s">
        <v>2628</v>
      </c>
      <c r="D966" s="2" t="s">
        <v>164</v>
      </c>
      <c r="E966" s="2" t="s">
        <v>58</v>
      </c>
      <c r="F966" s="2" t="s">
        <v>15</v>
      </c>
      <c r="G966" s="2" t="s">
        <v>1292</v>
      </c>
      <c r="H966" s="2" t="s">
        <v>23</v>
      </c>
      <c r="I966" s="2" t="str">
        <f>IFERROR(__xludf.DUMMYFUNCTION("GOOGLETRANSLATE(C966,""fr"",""en"")"),"Continue to collect contracts canceled in time. Put more than 2 weeks to reimburse. Find normal to keep the money all this time without even apologizing which on annual premiums represents a good amount and can put the insured in financial difficulty.")</f>
        <v>Continue to collect contracts canceled in time. Put more than 2 weeks to reimburse. Find normal to keep the money all this time without even apologizing which on annual premiums represents a good amount and can put the insured in financial difficulty.</v>
      </c>
    </row>
    <row r="967" ht="15.75" customHeight="1">
      <c r="A967" s="2">
        <v>4.0</v>
      </c>
      <c r="B967" s="2" t="s">
        <v>2629</v>
      </c>
      <c r="C967" s="2" t="s">
        <v>2630</v>
      </c>
      <c r="D967" s="2" t="s">
        <v>41</v>
      </c>
      <c r="E967" s="2" t="s">
        <v>21</v>
      </c>
      <c r="F967" s="2" t="s">
        <v>15</v>
      </c>
      <c r="G967" s="2" t="s">
        <v>426</v>
      </c>
      <c r="H967" s="2" t="s">
        <v>74</v>
      </c>
      <c r="I967" s="2" t="str">
        <f>IFERROR(__xludf.DUMMYFUNCTION("GOOGLETRANSLATE(C967,""fr"",""en"")"),"I am satisfied with the direct site and the semplicit of the procedure I prefer the monthly payment all risk more like that I opted for the third party.")</f>
        <v>I am satisfied with the direct site and the semplicit of the procedure I prefer the monthly payment all risk more like that I opted for the third party.</v>
      </c>
    </row>
    <row r="968" ht="15.75" customHeight="1">
      <c r="A968" s="2">
        <v>1.0</v>
      </c>
      <c r="B968" s="2" t="s">
        <v>2631</v>
      </c>
      <c r="C968" s="2" t="s">
        <v>2632</v>
      </c>
      <c r="D968" s="2" t="s">
        <v>20</v>
      </c>
      <c r="E968" s="2" t="s">
        <v>21</v>
      </c>
      <c r="F968" s="2" t="s">
        <v>15</v>
      </c>
      <c r="G968" s="2" t="s">
        <v>2633</v>
      </c>
      <c r="H968" s="2" t="s">
        <v>416</v>
      </c>
      <c r="I968" s="2" t="str">
        <f>IFERROR(__xludf.DUMMYFUNCTION("GOOGLETRANSLATE(C968,""fr"",""en"")"),"LIES
I make a quote that falls to 664 euros per year in all risk the advisor calls me and asks me if the information is right and there she comes out my quote but which has doubled and which goes to 1200 euros per year
I redid the quote at the same time"&amp;" as it is sure so we put the same things and there I fall on 664 euros and it 1200
I am reminded to find out my satisfaction with a quote that doubles from the price announce you take us for pigeons or what?
Its meaning false advertising has full nose a"&amp;"ll its")</f>
        <v>LIES
I make a quote that falls to 664 euros per year in all risk the advisor calls me and asks me if the information is right and there she comes out my quote but which has doubled and which goes to 1200 euros per year
I redid the quote at the same time as it is sure so we put the same things and there I fall on 664 euros and it 1200
I am reminded to find out my satisfaction with a quote that doubles from the price announce you take us for pigeons or what?
Its meaning false advertising has full nose all its</v>
      </c>
    </row>
    <row r="969" ht="15.75" customHeight="1">
      <c r="A969" s="2">
        <v>1.0</v>
      </c>
      <c r="B969" s="2" t="s">
        <v>2634</v>
      </c>
      <c r="C969" s="2" t="s">
        <v>2635</v>
      </c>
      <c r="D969" s="2" t="s">
        <v>605</v>
      </c>
      <c r="E969" s="2" t="s">
        <v>195</v>
      </c>
      <c r="F969" s="2" t="s">
        <v>15</v>
      </c>
      <c r="G969" s="2" t="s">
        <v>2636</v>
      </c>
      <c r="H969" s="2" t="s">
        <v>282</v>
      </c>
      <c r="I969" s="2" t="str">
        <f>IFERROR(__xludf.DUMMYFUNCTION("GOOGLETRANSLATE(C969,""fr"",""en"")"),"I have been in AT for 3 years
AG2R processed my file only 1 year and a half after my work stoppage for a salary supplement to zero euro
Their calculation method is made in order to pay nothing
AG2R makes deductions on our contributions wages but does n"&amp;"ot reveal anything when we are in
National agreements
I don't think I am a grumpy and I have always been courteous to such but their customer service is incompetent
Obsequious advisers
I ask for information on my file I am packing up and the advisor"&amp;" tells me that anyway their company is strong
Services are compartmentalized to the extreme
This situation is difficult
Serious work accident and behind the provident service does not ensure anything
")</f>
        <v>I have been in AT for 3 years
AG2R processed my file only 1 year and a half after my work stoppage for a salary supplement to zero euro
Their calculation method is made in order to pay nothing
AG2R makes deductions on our contributions wages but does not reveal anything when we are in
National agreements
I don't think I am a grumpy and I have always been courteous to such but their customer service is incompetent
Obsequious advisers
I ask for information on my file I am packing up and the advisor tells me that anyway their company is strong
Services are compartmentalized to the extreme
This situation is difficult
Serious work accident and behind the provident service does not ensure anything
</v>
      </c>
    </row>
    <row r="970" ht="15.75" customHeight="1">
      <c r="A970" s="2">
        <v>1.0</v>
      </c>
      <c r="B970" s="2" t="s">
        <v>2637</v>
      </c>
      <c r="C970" s="2" t="s">
        <v>2638</v>
      </c>
      <c r="D970" s="2" t="s">
        <v>41</v>
      </c>
      <c r="E970" s="2" t="s">
        <v>21</v>
      </c>
      <c r="F970" s="2" t="s">
        <v>15</v>
      </c>
      <c r="G970" s="2" t="s">
        <v>2639</v>
      </c>
      <c r="H970" s="2" t="s">
        <v>726</v>
      </c>
      <c r="I970" s="2" t="str">
        <f>IFERROR(__xludf.DUMMYFUNCTION("GOOGLETRANSLATE(C970,""fr"",""en"")"),"I just had an accident, 10 days later I still have no news from my car (Peugeot 3008), I pay more than 1300 euros in subscription per year. By calling insurance assistance (minimum 30 min of waiting), I am explained to me that he does not find garages and"&amp;" that they can do nothing, my car is always in a hangar of the tug, this one called me because it was surprised that my car was still at home, he confirmed to me that the other cars having an accident on the same day had left for a garage for 4-5 days. Al"&amp;"so I have no loan car, while I have subscribed to the tranquility pack which guarantees us a loan car, but here they lend us the car only once the repairs started, already that it has not yet In a garage, the expert must pass and then the work begins, so "&amp;"I'm not ready to have my car ... and moreover it depends on the availability of garage cars ....
A yes I forgot to say that I signed a contract with the regular tour option, that is to say that I use my car for my profession.
I have the impression that "&amp;"we pay my head, well it is no longer an impression.")</f>
        <v>I just had an accident, 10 days later I still have no news from my car (Peugeot 3008), I pay more than 1300 euros in subscription per year. By calling insurance assistance (minimum 30 min of waiting), I am explained to me that he does not find garages and that they can do nothing, my car is always in a hangar of the tug, this one called me because it was surprised that my car was still at home, he confirmed to me that the other cars having an accident on the same day had left for a garage for 4-5 days. Also I have no loan car, while I have subscribed to the tranquility pack which guarantees us a loan car, but here they lend us the car only once the repairs started, already that it has not yet In a garage, the expert must pass and then the work begins, so I'm not ready to have my car ... and moreover it depends on the availability of garage cars ....
A yes I forgot to say that I signed a contract with the regular tour option, that is to say that I use my car for my profession.
I have the impression that we pay my head, well it is no longer an impression.</v>
      </c>
    </row>
    <row r="971" ht="15.75" customHeight="1">
      <c r="A971" s="2">
        <v>1.0</v>
      </c>
      <c r="B971" s="2" t="s">
        <v>2640</v>
      </c>
      <c r="C971" s="2" t="s">
        <v>2641</v>
      </c>
      <c r="D971" s="2" t="s">
        <v>26</v>
      </c>
      <c r="E971" s="2" t="s">
        <v>14</v>
      </c>
      <c r="F971" s="2" t="s">
        <v>15</v>
      </c>
      <c r="G971" s="2" t="s">
        <v>2291</v>
      </c>
      <c r="H971" s="2" t="s">
        <v>28</v>
      </c>
      <c r="I971" s="2" t="str">
        <f>IFERROR(__xludf.DUMMYFUNCTION("GOOGLETRANSLATE(C971,""fr"",""en"")"),"Very disappointing service! I contact them by phone, I am returned to the site. I send the requested documents and no response. By phone we do not answer my questions related to the reimbursement of medical acts and we try to sell me loan insurance. Unnec"&amp;"essary service. Loss of trustworthy. What a regret to be a member of mutual harmony. Since April 23 (almost a month) I have not had a response to my request for an estimate of care. I strongly advise against this mutual, not serious!")</f>
        <v>Very disappointing service! I contact them by phone, I am returned to the site. I send the requested documents and no response. By phone we do not answer my questions related to the reimbursement of medical acts and we try to sell me loan insurance. Unnecessary service. Loss of trustworthy. What a regret to be a member of mutual harmony. Since April 23 (almost a month) I have not had a response to my request for an estimate of care. I strongly advise against this mutual, not serious!</v>
      </c>
    </row>
    <row r="972" ht="15.75" customHeight="1">
      <c r="A972" s="2">
        <v>2.0</v>
      </c>
      <c r="B972" s="2" t="s">
        <v>2642</v>
      </c>
      <c r="C972" s="2" t="s">
        <v>2643</v>
      </c>
      <c r="D972" s="2" t="s">
        <v>41</v>
      </c>
      <c r="E972" s="2" t="s">
        <v>21</v>
      </c>
      <c r="F972" s="2" t="s">
        <v>15</v>
      </c>
      <c r="G972" s="2" t="s">
        <v>490</v>
      </c>
      <c r="H972" s="2" t="s">
        <v>55</v>
      </c>
      <c r="I972" s="2" t="str">
        <f>IFERROR(__xludf.DUMMYFUNCTION("GOOGLETRANSLATE(C972,""fr"",""en"")"),"I have just contacted one of your advisers, I ask for a quote any risk, the person announces me € 122 any risk, and offers me an option connected to € 128 say that I can be reimbursed up to € 64 per me function of my conduct.
Hang the conversation the ge"&amp;"ntleman tells me
I sent you a link by SMS you can pay directly,
I pay and 2 minutes later I discovered that he sent me a third -party contract.
I can't find this type of error normal, if I was not paying attention to that, the leasing company would hav"&amp;"e refused to give me the car tomorrow.
Thanks anyway")</f>
        <v>I have just contacted one of your advisers, I ask for a quote any risk, the person announces me € 122 any risk, and offers me an option connected to € 128 say that I can be reimbursed up to € 64 per me function of my conduct.
Hang the conversation the gentleman tells me
I sent you a link by SMS you can pay directly,
I pay and 2 minutes later I discovered that he sent me a third -party contract.
I can't find this type of error normal, if I was not paying attention to that, the leasing company would have refused to give me the car tomorrow.
Thanks anyway</v>
      </c>
    </row>
    <row r="973" ht="15.75" customHeight="1">
      <c r="A973" s="2">
        <v>5.0</v>
      </c>
      <c r="B973" s="2" t="s">
        <v>2644</v>
      </c>
      <c r="C973" s="2" t="s">
        <v>2645</v>
      </c>
      <c r="D973" s="2" t="s">
        <v>103</v>
      </c>
      <c r="E973" s="2" t="s">
        <v>104</v>
      </c>
      <c r="F973" s="2" t="s">
        <v>15</v>
      </c>
      <c r="G973" s="2" t="s">
        <v>945</v>
      </c>
      <c r="H973" s="2" t="s">
        <v>51</v>
      </c>
      <c r="I973" s="2" t="str">
        <f>IFERROR(__xludf.DUMMYFUNCTION("GOOGLETRANSLATE(C973,""fr"",""en"")"),"Thank you to my advisor Benjamin A. who is always very kind and very professional. I have already recommended Zen Up and everyone is satisfied with it.")</f>
        <v>Thank you to my advisor Benjamin A. who is always very kind and very professional. I have already recommended Zen Up and everyone is satisfied with it.</v>
      </c>
    </row>
    <row r="974" ht="15.75" customHeight="1">
      <c r="A974" s="2">
        <v>3.0</v>
      </c>
      <c r="B974" s="2" t="s">
        <v>2646</v>
      </c>
      <c r="C974" s="2" t="s">
        <v>2647</v>
      </c>
      <c r="D974" s="2" t="s">
        <v>36</v>
      </c>
      <c r="E974" s="2" t="s">
        <v>21</v>
      </c>
      <c r="F974" s="2" t="s">
        <v>15</v>
      </c>
      <c r="G974" s="2" t="s">
        <v>2648</v>
      </c>
      <c r="H974" s="2" t="s">
        <v>17</v>
      </c>
      <c r="I974" s="2" t="str">
        <f>IFERROR(__xludf.DUMMYFUNCTION("GOOGLETRANSLATE(C974,""fr"",""en"")"),"Unfolitery welcome made by a person who does not support the dialogue and the remarks of their interlocutors.
Do not make you want to take out a credit ...")</f>
        <v>Unfolitery welcome made by a person who does not support the dialogue and the remarks of their interlocutors.
Do not make you want to take out a credit ...</v>
      </c>
    </row>
    <row r="975" ht="15.75" customHeight="1">
      <c r="A975" s="2">
        <v>1.0</v>
      </c>
      <c r="B975" s="2" t="s">
        <v>2649</v>
      </c>
      <c r="C975" s="2" t="s">
        <v>2650</v>
      </c>
      <c r="D975" s="2" t="s">
        <v>2011</v>
      </c>
      <c r="E975" s="2" t="s">
        <v>122</v>
      </c>
      <c r="F975" s="2" t="s">
        <v>15</v>
      </c>
      <c r="G975" s="2" t="s">
        <v>2651</v>
      </c>
      <c r="H975" s="2" t="s">
        <v>726</v>
      </c>
      <c r="I975" s="2" t="str">
        <f>IFERROR(__xludf.DUMMYFUNCTION("GOOGLETRANSLATE(C975,""fr"",""en"")"),"Hello, I have been a customer at Euroassurance for several years for my two wheels. I first took this insurance because at the price level, they seemed to me best placed .... I had no claim during the first two years and everything went very well (they le"&amp;"vied my contributions normally And I received the insurance vignettes in time) until the day I had a disaster in which my responsibility was not engaged .... except that the opposing vehicle M left its contact details but not its references Insurance ...."&amp;". I obviously never was able to contact this person in bad faith, of which I had the name and first names .... and I therefore transmitted the registration plate number and the identity of the driver of the vehicle to Euroassurance, who indicated that he "&amp;"would not take any steps to find the insurer of this vehicle and that I had to pay the franchise in its entirety (while they have the possibility of calling on the file will act for this kind of case). ..... I therefore asked what they Make me send me a r"&amp;"efund on an expert report so that I myself did the repairs of my vehicle because I did not want to pay a franchise for a claim in which I am not responsible and they refused this request. I find it absurd that they are there to take the contributions on t"&amp;"he other hand when it is necessary to pay there is no one left !! I therefore do not recommend this insurance because I think their management of claims is far too bad !! And will therefore send my termination letter soon!")</f>
        <v>Hello, I have been a customer at Euroassurance for several years for my two wheels. I first took this insurance because at the price level, they seemed to me best placed .... I had no claim during the first two years and everything went very well (they levied my contributions normally And I received the insurance vignettes in time) until the day I had a disaster in which my responsibility was not engaged .... except that the opposing vehicle M left its contact details but not its references Insurance ..... I obviously never was able to contact this person in bad faith, of which I had the name and first names .... and I therefore transmitted the registration plate number and the identity of the driver of the vehicle to Euroassurance, who indicated that he would not take any steps to find the insurer of this vehicle and that I had to pay the franchise in its entirety (while they have the possibility of calling on the file will act for this kind of case). ..... I therefore asked what they Make me send me a refund on an expert report so that I myself did the repairs of my vehicle because I did not want to pay a franchise for a claim in which I am not responsible and they refused this request. I find it absurd that they are there to take the contributions on the other hand when it is necessary to pay there is no one left !! I therefore do not recommend this insurance because I think their management of claims is far too bad !! And will therefore send my termination letter soon!</v>
      </c>
    </row>
    <row r="976" ht="15.75" customHeight="1">
      <c r="A976" s="2">
        <v>1.0</v>
      </c>
      <c r="B976" s="2" t="s">
        <v>2652</v>
      </c>
      <c r="C976" s="2" t="s">
        <v>2653</v>
      </c>
      <c r="D976" s="2" t="s">
        <v>31</v>
      </c>
      <c r="E976" s="2" t="s">
        <v>58</v>
      </c>
      <c r="F976" s="2" t="s">
        <v>15</v>
      </c>
      <c r="G976" s="2" t="s">
        <v>2654</v>
      </c>
      <c r="H976" s="2" t="s">
        <v>42</v>
      </c>
      <c r="I976" s="2" t="str">
        <f>IFERROR(__xludf.DUMMYFUNCTION("GOOGLETRANSLATE(C976,""fr"",""en"")"),"I believe that my answers price and satisfaction are significant! Now you see. If you have money to lose, this is the right investment.")</f>
        <v>I believe that my answers price and satisfaction are significant! Now you see. If you have money to lose, this is the right investment.</v>
      </c>
    </row>
    <row r="977" ht="15.75" customHeight="1">
      <c r="A977" s="2">
        <v>1.0</v>
      </c>
      <c r="B977" s="2" t="s">
        <v>2655</v>
      </c>
      <c r="C977" s="2" t="s">
        <v>2656</v>
      </c>
      <c r="D977" s="2" t="s">
        <v>263</v>
      </c>
      <c r="E977" s="2" t="s">
        <v>104</v>
      </c>
      <c r="F977" s="2" t="s">
        <v>15</v>
      </c>
      <c r="G977" s="2" t="s">
        <v>2657</v>
      </c>
      <c r="H977" s="2" t="s">
        <v>197</v>
      </c>
      <c r="I977" s="2" t="str">
        <f>IFERROR(__xludf.DUMMYFUNCTION("GOOGLETRANSLATE(C977,""fr"",""en"")"),"I am in invalidity at 66.6 % category 2. Lately, I received a letter from Cardif indicating that I was summoned before the insurance doctor for medical expertise. So I went to this meeting. After a month, I contact Cardif to have news about my appointment"&amp;" with the expert, and this is where an interlocutor tells me that my file is no longer taken care of, because the expert in qualified My 100 % professional incapacity rate and a 30 % functional incapacity rate. This is unacceptable, and that is why I want"&amp;" to push a cry of alert to Cardif. I sent an AR to the quality claim service that I disputed this decision given my state of health (degenerative disease). To date, I still have no news and I do not intend to stop there and I consult my lawyer to put them"&amp;" in notice. I do not recommend anyone who would like to take out an insurance contract at Cardif in addition the interlocutors are unpleasant on the phone.")</f>
        <v>I am in invalidity at 66.6 % category 2. Lately, I received a letter from Cardif indicating that I was summoned before the insurance doctor for medical expertise. So I went to this meeting. After a month, I contact Cardif to have news about my appointment with the expert, and this is where an interlocutor tells me that my file is no longer taken care of, because the expert in qualified My 100 % professional incapacity rate and a 30 % functional incapacity rate. This is unacceptable, and that is why I want to push a cry of alert to Cardif. I sent an AR to the quality claim service that I disputed this decision given my state of health (degenerative disease). To date, I still have no news and I do not intend to stop there and I consult my lawyer to put them in notice. I do not recommend anyone who would like to take out an insurance contract at Cardif in addition the interlocutors are unpleasant on the phone.</v>
      </c>
    </row>
    <row r="978" ht="15.75" customHeight="1">
      <c r="A978" s="2">
        <v>1.0</v>
      </c>
      <c r="B978" s="2" t="s">
        <v>2658</v>
      </c>
      <c r="C978" s="2" t="s">
        <v>2659</v>
      </c>
      <c r="D978" s="2" t="s">
        <v>2625</v>
      </c>
      <c r="E978" s="2" t="s">
        <v>58</v>
      </c>
      <c r="F978" s="2" t="s">
        <v>15</v>
      </c>
      <c r="G978" s="2" t="s">
        <v>2660</v>
      </c>
      <c r="H978" s="2" t="s">
        <v>416</v>
      </c>
      <c r="I978" s="2" t="str">
        <f>IFERROR(__xludf.DUMMYFUNCTION("GOOGLETRANSLATE(C978,""fr"",""en"")"),"I am scandalized with such assurance, I have just had a disaster the my roof flight my flooded rooms, at such I am told espert within 7 working days and I am out within 1 days I live how with three children frankly zero like Insurance I will turn my contr"&amp;"acts LABA DEGUST TIME WAITING TO TEL TE TE US TAKES FOR BLUES")</f>
        <v>I am scandalized with such assurance, I have just had a disaster the my roof flight my flooded rooms, at such I am told espert within 7 working days and I am out within 1 days I live how with three children frankly zero like Insurance I will turn my contracts LABA DEGUST TIME WAITING TO TEL TE TE US TAKES FOR BLUES</v>
      </c>
    </row>
    <row r="979" ht="15.75" customHeight="1">
      <c r="A979" s="2">
        <v>2.0</v>
      </c>
      <c r="B979" s="2" t="s">
        <v>2661</v>
      </c>
      <c r="C979" s="2" t="s">
        <v>2662</v>
      </c>
      <c r="D979" s="2" t="s">
        <v>20</v>
      </c>
      <c r="E979" s="2" t="s">
        <v>21</v>
      </c>
      <c r="F979" s="2" t="s">
        <v>15</v>
      </c>
      <c r="G979" s="2" t="s">
        <v>161</v>
      </c>
      <c r="H979" s="2" t="s">
        <v>1068</v>
      </c>
      <c r="I979" s="2" t="str">
        <f>IFERROR(__xludf.DUMMYFUNCTION("GOOGLETRANSLATE(C979,""fr"",""en"")"),"Satisfied with the service but too tightly on the dates of the previous claims especially when these are minors, more automatic value damage!")</f>
        <v>Satisfied with the service but too tightly on the dates of the previous claims especially when these are minors, more automatic value damage!</v>
      </c>
    </row>
    <row r="980" ht="15.75" customHeight="1">
      <c r="A980" s="2">
        <v>4.0</v>
      </c>
      <c r="B980" s="2" t="s">
        <v>2663</v>
      </c>
      <c r="C980" s="2" t="s">
        <v>2664</v>
      </c>
      <c r="D980" s="2" t="s">
        <v>41</v>
      </c>
      <c r="E980" s="2" t="s">
        <v>21</v>
      </c>
      <c r="F980" s="2" t="s">
        <v>15</v>
      </c>
      <c r="G980" s="2" t="s">
        <v>675</v>
      </c>
      <c r="H980" s="2" t="s">
        <v>51</v>
      </c>
      <c r="I980" s="2" t="str">
        <f>IFERROR(__xludf.DUMMYFUNCTION("GOOGLETRANSLATE(C980,""fr"",""en"")"),"Fast and practical
Correct price after comparison
Only downside the driver's protection
Except explanation why I paid more expensive the first time")</f>
        <v>Fast and practical
Correct price after comparison
Only downside the driver's protection
Except explanation why I paid more expensive the first time</v>
      </c>
    </row>
    <row r="981" ht="15.75" customHeight="1">
      <c r="A981" s="2">
        <v>4.0</v>
      </c>
      <c r="B981" s="2" t="s">
        <v>2665</v>
      </c>
      <c r="C981" s="2" t="s">
        <v>2666</v>
      </c>
      <c r="D981" s="2" t="s">
        <v>41</v>
      </c>
      <c r="E981" s="2" t="s">
        <v>21</v>
      </c>
      <c r="F981" s="2" t="s">
        <v>15</v>
      </c>
      <c r="G981" s="2" t="s">
        <v>1956</v>
      </c>
      <c r="H981" s="2" t="s">
        <v>51</v>
      </c>
      <c r="I981" s="2" t="str">
        <f>IFERROR(__xludf.DUMMYFUNCTION("GOOGLETRANSLATE(C981,""fr"",""en"")"),"The prices suit me I am very happy to be at Direct Insurance Thank you for your support. I count on you for today and in the future thank you very much.")</f>
        <v>The prices suit me I am very happy to be at Direct Insurance Thank you for your support. I count on you for today and in the future thank you very much.</v>
      </c>
    </row>
    <row r="982" ht="15.75" customHeight="1">
      <c r="A982" s="2">
        <v>5.0</v>
      </c>
      <c r="B982" s="2" t="s">
        <v>2667</v>
      </c>
      <c r="C982" s="2" t="s">
        <v>2668</v>
      </c>
      <c r="D982" s="2" t="s">
        <v>91</v>
      </c>
      <c r="E982" s="2" t="s">
        <v>14</v>
      </c>
      <c r="F982" s="2" t="s">
        <v>15</v>
      </c>
      <c r="G982" s="2" t="s">
        <v>182</v>
      </c>
      <c r="H982" s="2" t="s">
        <v>51</v>
      </c>
      <c r="I982" s="2" t="str">
        <f>IFERROR(__xludf.DUMMYFUNCTION("GOOGLETRANSLATE(C982,""fr"",""en"")"),"I am very. Consequently of the advisor Mr. Rawane he was listening what I asked him, he informed me that I want to know for me a good advisor. Thanks")</f>
        <v>I am very. Consequently of the advisor Mr. Rawane he was listening what I asked him, he informed me that I want to know for me a good advisor. Thanks</v>
      </c>
    </row>
    <row r="983" ht="15.75" customHeight="1">
      <c r="A983" s="2">
        <v>4.0</v>
      </c>
      <c r="B983" s="2" t="s">
        <v>2669</v>
      </c>
      <c r="C983" s="2" t="s">
        <v>2670</v>
      </c>
      <c r="D983" s="2" t="s">
        <v>41</v>
      </c>
      <c r="E983" s="2" t="s">
        <v>21</v>
      </c>
      <c r="F983" s="2" t="s">
        <v>15</v>
      </c>
      <c r="G983" s="2" t="s">
        <v>378</v>
      </c>
      <c r="H983" s="2" t="s">
        <v>51</v>
      </c>
      <c r="I983" s="2" t="str">
        <f>IFERROR(__xludf.DUMMYFUNCTION("GOOGLETRANSLATE(C983,""fr"",""en"")"),"The price suits me compared to other insurance
Easy subscription via the Internet
Practical and fast
Termination of my current insurance carried out by Direct Insurance is perfect")</f>
        <v>The price suits me compared to other insurance
Easy subscription via the Internet
Practical and fast
Termination of my current insurance carried out by Direct Insurance is perfect</v>
      </c>
    </row>
    <row r="984" ht="15.75" customHeight="1">
      <c r="A984" s="2">
        <v>4.0</v>
      </c>
      <c r="B984" s="2" t="s">
        <v>2671</v>
      </c>
      <c r="C984" s="2" t="s">
        <v>2672</v>
      </c>
      <c r="D984" s="2" t="s">
        <v>41</v>
      </c>
      <c r="E984" s="2" t="s">
        <v>21</v>
      </c>
      <c r="F984" s="2" t="s">
        <v>15</v>
      </c>
      <c r="G984" s="2" t="s">
        <v>47</v>
      </c>
      <c r="H984" s="2" t="s">
        <v>47</v>
      </c>
      <c r="I984" s="2" t="str">
        <f>IFERROR(__xludf.DUMMYFUNCTION("GOOGLETRANSLATE(C984,""fr"",""en"")"),"I am satisfied with the Direct Insurance service. No other special remarks to add, it's simple and quick. The subscription was carried out in just a few minutes.")</f>
        <v>I am satisfied with the Direct Insurance service. No other special remarks to add, it's simple and quick. The subscription was carried out in just a few minutes.</v>
      </c>
    </row>
    <row r="985" ht="15.75" customHeight="1">
      <c r="A985" s="2">
        <v>2.0</v>
      </c>
      <c r="B985" s="2" t="s">
        <v>2673</v>
      </c>
      <c r="C985" s="2" t="s">
        <v>2674</v>
      </c>
      <c r="D985" s="2" t="s">
        <v>2011</v>
      </c>
      <c r="E985" s="2" t="s">
        <v>122</v>
      </c>
      <c r="F985" s="2" t="s">
        <v>15</v>
      </c>
      <c r="G985" s="2" t="s">
        <v>2675</v>
      </c>
      <c r="H985" s="2" t="s">
        <v>227</v>
      </c>
      <c r="I985" s="2" t="str">
        <f>IFERROR(__xludf.DUMMYFUNCTION("GOOGLETRANSLATE(C985,""fr"",""en"")"),"Hello
I am very unhappy with your services after several years of commitment
I explain myself ... I contacted advisers several times by email and telephone to stop my assurance of an obsolete scooter ... I explain this scooter was dismantled (oil an"&amp;"d petrol wheel wheel etc ... ) So it is unusable for the moment ... it no longer has any risk! I do not intend to put it in breakage it is in one of my in short boxes I am answered always the same boat answer and robotic by email (6 times in a row anyway)"&amp;" like what I must send a new proof of insurance outside I do not Do not wish to re -ensure it .. and the worst was the telephone exchanges of incredible incompetence! The 1st asking me for a proof of accident ... uh ... and the 2nd still worse who tells m"&amp;"e that 'assurance is no longer without commitments ??? And that I need proof of disassembly by a garage ?? The joke !!!
In short two points
I have signed a contract without obligation (you cannot change the rules as it is also indicated on your site
"&amp;"
And second point I am asked to justify myself !!!! While it is well indicated on your without proof
And again here I have to justify myself !!
Here is the screenshot of your site!
I therefore ask for the immediate cessation of my insurance under pa"&amp;"in of alerting my legal protection and requesting damages and interest in the time devoted
I intended to insure my new car soon at home is missed!")</f>
        <v>Hello
I am very unhappy with your services after several years of commitment
I explain myself ... I contacted advisers several times by email and telephone to stop my assurance of an obsolete scooter ... I explain this scooter was dismantled (oil and petrol wheel wheel etc ... ) So it is unusable for the moment ... it no longer has any risk! I do not intend to put it in breakage it is in one of my in short boxes I am answered always the same boat answer and robotic by email (6 times in a row anyway) like what I must send a new proof of insurance outside I do not Do not wish to re -ensure it .. and the worst was the telephone exchanges of incredible incompetence! The 1st asking me for a proof of accident ... uh ... and the 2nd still worse who tells me that 'assurance is no longer without commitments ??? And that I need proof of disassembly by a garage ?? The joke !!!
In short two points
I have signed a contract without obligation (you cannot change the rules as it is also indicated on your site
And second point I am asked to justify myself !!!! While it is well indicated on your without proof
And again here I have to justify myself !!
Here is the screenshot of your site!
I therefore ask for the immediate cessation of my insurance under pain of alerting my legal protection and requesting damages and interest in the time devoted
I intended to insure my new car soon at home is missed!</v>
      </c>
    </row>
    <row r="986" ht="15.75" customHeight="1">
      <c r="A986" s="2">
        <v>4.0</v>
      </c>
      <c r="B986" s="2" t="s">
        <v>2676</v>
      </c>
      <c r="C986" s="2" t="s">
        <v>2677</v>
      </c>
      <c r="D986" s="2" t="s">
        <v>150</v>
      </c>
      <c r="E986" s="2" t="s">
        <v>122</v>
      </c>
      <c r="F986" s="2" t="s">
        <v>15</v>
      </c>
      <c r="G986" s="2" t="s">
        <v>312</v>
      </c>
      <c r="H986" s="2" t="s">
        <v>134</v>
      </c>
      <c r="I986" s="2" t="str">
        <f>IFERROR(__xludf.DUMMYFUNCTION("GOOGLETRANSLATE(C986,""fr"",""en"")"),"The prices seem very correct compared to my old insurance, and the approach is very simple. Now remains to be seen in practice. But for the moment, I am rather satisfied")</f>
        <v>The prices seem very correct compared to my old insurance, and the approach is very simple. Now remains to be seen in practice. But for the moment, I am rather satisfied</v>
      </c>
    </row>
    <row r="987" ht="15.75" customHeight="1">
      <c r="A987" s="2">
        <v>2.0</v>
      </c>
      <c r="B987" s="2" t="s">
        <v>2678</v>
      </c>
      <c r="C987" s="2" t="s">
        <v>2679</v>
      </c>
      <c r="D987" s="2" t="s">
        <v>67</v>
      </c>
      <c r="E987" s="2" t="s">
        <v>58</v>
      </c>
      <c r="F987" s="2" t="s">
        <v>15</v>
      </c>
      <c r="G987" s="2" t="s">
        <v>2680</v>
      </c>
      <c r="H987" s="2" t="s">
        <v>797</v>
      </c>
      <c r="I987" s="2" t="str">
        <f>IFERROR(__xludf.DUMMYFUNCTION("GOOGLETRANSLATE(C987,""fr"",""en"")"),"The facts: my neighbor breaks my fence accidentally with his vehicle. insurance declaration. Expertise with the two insurances. Result I have to pay a franchise of 120 euros to the craftsman, who asks me for the passage to provide him with electricity and"&amp;" water.
Shapeless discussions with the employee of the MAAF. He tries to reclassify my insurance contract which as if by chance is no longer good. And sticks me for a hundred euros more, well my faith.
The neighbor is doing well. I have to regulate all "&amp;"of them when I am only a victim of a third party identified in addition! and who does not dispute. But it is I who must pay. It makes no sense. And the expert who does not understand that I do not want (in principle) and cannot (I am not here of the week)"&amp;" give elect and water. I honestly think about changing insurance even for more for more than needed. I am very very disappointed, as much apparently.")</f>
        <v>The facts: my neighbor breaks my fence accidentally with his vehicle. insurance declaration. Expertise with the two insurances. Result I have to pay a franchise of 120 euros to the craftsman, who asks me for the passage to provide him with electricity and water.
Shapeless discussions with the employee of the MAAF. He tries to reclassify my insurance contract which as if by chance is no longer good. And sticks me for a hundred euros more, well my faith.
The neighbor is doing well. I have to regulate all of them when I am only a victim of a third party identified in addition! and who does not dispute. But it is I who must pay. It makes no sense. And the expert who does not understand that I do not want (in principle) and cannot (I am not here of the week) give elect and water. I honestly think about changing insurance even for more for more than needed. I am very very disappointed, as much apparently.</v>
      </c>
    </row>
    <row r="988" ht="15.75" customHeight="1">
      <c r="A988" s="2">
        <v>5.0</v>
      </c>
      <c r="B988" s="2" t="s">
        <v>2681</v>
      </c>
      <c r="C988" s="2" t="s">
        <v>2682</v>
      </c>
      <c r="D988" s="2" t="s">
        <v>91</v>
      </c>
      <c r="E988" s="2" t="s">
        <v>14</v>
      </c>
      <c r="F988" s="2" t="s">
        <v>15</v>
      </c>
      <c r="G988" s="2" t="s">
        <v>722</v>
      </c>
      <c r="H988" s="2" t="s">
        <v>134</v>
      </c>
      <c r="I988" s="2" t="str">
        <f>IFERROR(__xludf.DUMMYFUNCTION("GOOGLETRANSLATE(C988,""fr"",""en"")"),"Very well received by Aminata. She resolved the problem I had to activate my member space. I am not newly written. Reasonable price")</f>
        <v>Very well received by Aminata. She resolved the problem I had to activate my member space. I am not newly written. Reasonable price</v>
      </c>
    </row>
    <row r="989" ht="15.75" customHeight="1">
      <c r="A989" s="2">
        <v>4.0</v>
      </c>
      <c r="B989" s="2" t="s">
        <v>2683</v>
      </c>
      <c r="C989" s="2" t="s">
        <v>2684</v>
      </c>
      <c r="D989" s="2" t="s">
        <v>20</v>
      </c>
      <c r="E989" s="2" t="s">
        <v>21</v>
      </c>
      <c r="F989" s="2" t="s">
        <v>15</v>
      </c>
      <c r="G989" s="2" t="s">
        <v>2685</v>
      </c>
      <c r="H989" s="2" t="s">
        <v>346</v>
      </c>
      <c r="I989" s="2" t="str">
        <f>IFERROR(__xludf.DUMMYFUNCTION("GOOGLETRANSLATE(C989,""fr"",""en"")"),"Very good quality / price ratio. Since January nothing to complain about, the advisers are very pleasant and listening to what we are looking for before subscribing or after. Deposit with World Assistance in less than 40 min, very professional.")</f>
        <v>Very good quality / price ratio. Since January nothing to complain about, the advisers are very pleasant and listening to what we are looking for before subscribing or after. Deposit with World Assistance in less than 40 min, very professional.</v>
      </c>
    </row>
    <row r="990" ht="15.75" customHeight="1">
      <c r="A990" s="2">
        <v>5.0</v>
      </c>
      <c r="B990" s="2" t="s">
        <v>2686</v>
      </c>
      <c r="C990" s="2" t="s">
        <v>2687</v>
      </c>
      <c r="D990" s="2" t="s">
        <v>41</v>
      </c>
      <c r="E990" s="2" t="s">
        <v>21</v>
      </c>
      <c r="F990" s="2" t="s">
        <v>15</v>
      </c>
      <c r="G990" s="2" t="s">
        <v>675</v>
      </c>
      <c r="H990" s="2" t="s">
        <v>51</v>
      </c>
      <c r="I990" s="2" t="str">
        <f>IFERROR(__xludf.DUMMYFUNCTION("GOOGLETRANSLATE(C990,""fr"",""en"")"),"The advisor is very nice
The price also suits me it's great
I recommend I hope it will be a great price level experience is much cheaper than other insurers")</f>
        <v>The advisor is very nice
The price also suits me it's great
I recommend I hope it will be a great price level experience is much cheaper than other insurers</v>
      </c>
    </row>
    <row r="991" ht="15.75" customHeight="1">
      <c r="A991" s="2">
        <v>1.0</v>
      </c>
      <c r="B991" s="2" t="s">
        <v>2688</v>
      </c>
      <c r="C991" s="2" t="s">
        <v>2689</v>
      </c>
      <c r="D991" s="2" t="s">
        <v>67</v>
      </c>
      <c r="E991" s="2" t="s">
        <v>21</v>
      </c>
      <c r="F991" s="2" t="s">
        <v>15</v>
      </c>
      <c r="G991" s="2" t="s">
        <v>2690</v>
      </c>
      <c r="H991" s="2" t="s">
        <v>227</v>
      </c>
      <c r="I991" s="2" t="str">
        <f>IFERROR(__xludf.DUMMYFUNCTION("GOOGLETRANSLATE(C991,""fr"",""en"")"),"A shame ! After the fire of my vehicle, there are 2 me, the expert gave a first expertise (short circuit) one week after the maaf wants a fluid analysis, 2 weeks after oiled result ok. That we fix the amount of compensation, we find an agreement and valid"&amp;"ates the price but now the MAAF becomes more expertise! It's been 2 months without a vehicle and I am walking from service to service without concrete response! I just think that the MAAF does not want to pay and that it is unacceptable! When you pay with"&amp;"out problem every month everything is fine but after a disaster we do not want to compensate you and we leave you without cars or money !! I plan to make an appointment with a lawyer to settle the situation")</f>
        <v>A shame ! After the fire of my vehicle, there are 2 me, the expert gave a first expertise (short circuit) one week after the maaf wants a fluid analysis, 2 weeks after oiled result ok. That we fix the amount of compensation, we find an agreement and validates the price but now the MAAF becomes more expertise! It's been 2 months without a vehicle and I am walking from service to service without concrete response! I just think that the MAAF does not want to pay and that it is unacceptable! When you pay without problem every month everything is fine but after a disaster we do not want to compensate you and we leave you without cars or money !! I plan to make an appointment with a lawyer to settle the situation</v>
      </c>
    </row>
    <row r="992" ht="15.75" customHeight="1">
      <c r="A992" s="2">
        <v>1.0</v>
      </c>
      <c r="B992" s="2" t="s">
        <v>2691</v>
      </c>
      <c r="C992" s="2" t="s">
        <v>2692</v>
      </c>
      <c r="D992" s="2" t="s">
        <v>395</v>
      </c>
      <c r="E992" s="2" t="s">
        <v>58</v>
      </c>
      <c r="F992" s="2" t="s">
        <v>15</v>
      </c>
      <c r="G992" s="2" t="s">
        <v>2693</v>
      </c>
      <c r="H992" s="2" t="s">
        <v>100</v>
      </c>
      <c r="I992" s="2" t="str">
        <f>IFERROR(__xludf.DUMMYFUNCTION("GOOGLETRANSLATE(C992,""fr"",""en"")"),"Axa makes the dead pay ...
My (deceased) mother responds to the company Effico de Tours mandated by AXA Insurance in order to cover insurance subscribed alive ...;
""It is with pleasure that a neighbor has brought me your mail, found the box with an o"&amp;"verflowing letter of soggy advertising ... Today I am at the other end of the village. I am very alone. ..the place is well lit and protected from the winds of a pretty wall of stones but loneliness is large ... The days are long ... my husband is dead .."&amp;". I know my loved ones think of me .
I see myself again on January 7, in my hospital bed for a balance sheet. I had just had breakfast and I fell asleep around nine. It was at eleven o'clock that we saw my death. A heart attack...
I rest. B, location 23"&amp;", I would be very happy if you visited me and I inform you that the plot 24 is free, we could be neighbors.
Axa has already been informed in RAR ... twice ...
My mom has died for a year and 2 RAR in Axa.
Shame on Axa Insurance ...")</f>
        <v>Axa makes the dead pay ...
My (deceased) mother responds to the company Effico de Tours mandated by AXA Insurance in order to cover insurance subscribed alive ...;
"It is with pleasure that a neighbor has brought me your mail, found the box with an overflowing letter of soggy advertising ... Today I am at the other end of the village. I am very alone. ..the place is well lit and protected from the winds of a pretty wall of stones but loneliness is large ... The days are long ... my husband is dead ... I know my loved ones think of me .
I see myself again on January 7, in my hospital bed for a balance sheet. I had just had breakfast and I fell asleep around nine. It was at eleven o'clock that we saw my death. A heart attack...
I rest. B, location 23, I would be very happy if you visited me and I inform you that the plot 24 is free, we could be neighbors.
Axa has already been informed in RAR ... twice ...
My mom has died for a year and 2 RAR in Axa.
Shame on Axa Insurance ...</v>
      </c>
    </row>
    <row r="993" ht="15.75" customHeight="1">
      <c r="A993" s="2">
        <v>5.0</v>
      </c>
      <c r="B993" s="2" t="s">
        <v>2694</v>
      </c>
      <c r="C993" s="2" t="s">
        <v>2695</v>
      </c>
      <c r="D993" s="2" t="s">
        <v>20</v>
      </c>
      <c r="E993" s="2" t="s">
        <v>21</v>
      </c>
      <c r="F993" s="2" t="s">
        <v>15</v>
      </c>
      <c r="G993" s="2" t="s">
        <v>2696</v>
      </c>
      <c r="H993" s="2" t="s">
        <v>23</v>
      </c>
      <c r="I993" s="2" t="str">
        <f>IFERROR(__xludf.DUMMYFUNCTION("GOOGLETRANSLATE(C993,""fr"",""en"")"),"I am satisfied with the online and telephone service.
The price report for a young driver is quite affordable.
I recommend the olive assurance.")</f>
        <v>I am satisfied with the online and telephone service.
The price report for a young driver is quite affordable.
I recommend the olive assurance.</v>
      </c>
    </row>
    <row r="994" ht="15.75" customHeight="1">
      <c r="A994" s="2">
        <v>4.0</v>
      </c>
      <c r="B994" s="2" t="s">
        <v>2697</v>
      </c>
      <c r="C994" s="2" t="s">
        <v>2698</v>
      </c>
      <c r="D994" s="2" t="s">
        <v>20</v>
      </c>
      <c r="E994" s="2" t="s">
        <v>21</v>
      </c>
      <c r="F994" s="2" t="s">
        <v>15</v>
      </c>
      <c r="G994" s="2" t="s">
        <v>51</v>
      </c>
      <c r="H994" s="2" t="s">
        <v>51</v>
      </c>
      <c r="I994" s="2" t="str">
        <f>IFERROR(__xludf.DUMMYFUNCTION("GOOGLETRANSLATE(C994,""fr"",""en"")"),"When subscribing to the 2nd contract by the spouse it would be good to specify from the start that the contract would be attached to the account of the spouse rather than discovering it a posteriori")</f>
        <v>When subscribing to the 2nd contract by the spouse it would be good to specify from the start that the contract would be attached to the account of the spouse rather than discovering it a posteriori</v>
      </c>
    </row>
    <row r="995" ht="15.75" customHeight="1">
      <c r="A995" s="2">
        <v>1.0</v>
      </c>
      <c r="B995" s="2" t="s">
        <v>2699</v>
      </c>
      <c r="C995" s="2" t="s">
        <v>2700</v>
      </c>
      <c r="D995" s="2" t="s">
        <v>36</v>
      </c>
      <c r="E995" s="2" t="s">
        <v>58</v>
      </c>
      <c r="F995" s="2" t="s">
        <v>15</v>
      </c>
      <c r="G995" s="2" t="s">
        <v>2701</v>
      </c>
      <c r="H995" s="2" t="s">
        <v>231</v>
      </c>
      <c r="I995" s="2" t="str">
        <f>IFERROR(__xludf.DUMMYFUNCTION("GOOGLETRANSLATE(C995,""fr"",""en"")"),"Despite multiple written and oral attempts (courteous) to unravel the sons of a simple but become inextricable because of the failures and silences of Maif, I write this day to the general management to denounce them as well as to express my disgust of co"&amp;"ntempt with which a member is treated (45 years of seniority!). That we abandon without other state of mind ... since Maif has lost its original values ​​.. and notwithstanding its declarations! Thank you to the members who have initiated legal action to "&amp;"make themselves known.")</f>
        <v>Despite multiple written and oral attempts (courteous) to unravel the sons of a simple but become inextricable because of the failures and silences of Maif, I write this day to the general management to denounce them as well as to express my disgust of contempt with which a member is treated (45 years of seniority!). That we abandon without other state of mind ... since Maif has lost its original values ​​.. and notwithstanding its declarations! Thank you to the members who have initiated legal action to make themselves known.</v>
      </c>
    </row>
    <row r="996" ht="15.75" customHeight="1">
      <c r="A996" s="2">
        <v>1.0</v>
      </c>
      <c r="B996" s="2" t="s">
        <v>2702</v>
      </c>
      <c r="C996" s="2" t="s">
        <v>2703</v>
      </c>
      <c r="D996" s="2" t="s">
        <v>2625</v>
      </c>
      <c r="E996" s="2" t="s">
        <v>58</v>
      </c>
      <c r="F996" s="2" t="s">
        <v>15</v>
      </c>
      <c r="G996" s="2" t="s">
        <v>2704</v>
      </c>
      <c r="H996" s="2" t="s">
        <v>465</v>
      </c>
      <c r="I996" s="2" t="str">
        <f>IFERROR(__xludf.DUMMYFUNCTION("GOOGLETRANSLATE(C996,""fr"",""en"")"),"I have a sogessur self insurance without any deductible that I pay very dear or to the big surprise during a break in ice I had to pay 20 percent of the invoice, 80 euros sogessur does not want to reimburse me very serious in a month I would no longer be "&amp;"insured with this company who do not comply with these obligations and does contracts without deductible which are not do not assure yourself at EUS")</f>
        <v>I have a sogessur self insurance without any deductible that I pay very dear or to the big surprise during a break in ice I had to pay 20 percent of the invoice, 80 euros sogessur does not want to reimburse me very serious in a month I would no longer be insured with this company who do not comply with these obligations and does contracts without deductible which are not do not assure yourself at EUS</v>
      </c>
    </row>
    <row r="997" ht="15.75" customHeight="1">
      <c r="A997" s="2">
        <v>4.0</v>
      </c>
      <c r="B997" s="2" t="s">
        <v>2705</v>
      </c>
      <c r="C997" s="2" t="s">
        <v>2706</v>
      </c>
      <c r="D997" s="2" t="s">
        <v>206</v>
      </c>
      <c r="E997" s="2" t="s">
        <v>207</v>
      </c>
      <c r="F997" s="2" t="s">
        <v>15</v>
      </c>
      <c r="G997" s="2" t="s">
        <v>2707</v>
      </c>
      <c r="H997" s="2" t="s">
        <v>320</v>
      </c>
      <c r="I997" s="2" t="str">
        <f>IFERROR(__xludf.DUMMYFUNCTION("GOOGLETRANSLATE(C997,""fr"",""en"")"),"I never had problems and always was well reimbursed when my dog ​​was very sick. Contribution A bit expensive but reactivity presented.
Satisfied personally")</f>
        <v>I never had problems and always was well reimbursed when my dog ​​was very sick. Contribution A bit expensive but reactivity presented.
Satisfied personally</v>
      </c>
    </row>
    <row r="998" ht="15.75" customHeight="1">
      <c r="A998" s="2">
        <v>3.0</v>
      </c>
      <c r="B998" s="2" t="s">
        <v>2708</v>
      </c>
      <c r="C998" s="2" t="s">
        <v>2709</v>
      </c>
      <c r="D998" s="2" t="s">
        <v>31</v>
      </c>
      <c r="E998" s="2" t="s">
        <v>21</v>
      </c>
      <c r="F998" s="2" t="s">
        <v>15</v>
      </c>
      <c r="G998" s="2" t="s">
        <v>2710</v>
      </c>
      <c r="H998" s="2" t="s">
        <v>100</v>
      </c>
      <c r="I998" s="2" t="str">
        <f>IFERROR(__xludf.DUMMYFUNCTION("GOOGLETRANSLATE(C998,""fr"",""en"")"),"After 37 years I leave the Macif following several disappointments. Only the lack of time to consult other insurances, prevented me from leaving. Too many unpleasant surprises. Bad welcome in agency we give you an appointment and when you arrive the perso"&amp;"n tells you that they are not available and that a colleague will make you 'between two meetings quickly. "" Recall that I am a client without any problem but as soon as I have an incident or a disaster is a whole story, the Macif through the expert, does"&amp;" everything to not compensate you. Do not even answer you. Today I go elsewhere. A advice made like me.")</f>
        <v>After 37 years I leave the Macif following several disappointments. Only the lack of time to consult other insurances, prevented me from leaving. Too many unpleasant surprises. Bad welcome in agency we give you an appointment and when you arrive the person tells you that they are not available and that a colleague will make you 'between two meetings quickly. " Recall that I am a client without any problem but as soon as I have an incident or a disaster is a whole story, the Macif through the expert, does everything to not compensate you. Do not even answer you. Today I go elsewhere. A advice made like me.</v>
      </c>
    </row>
    <row r="999" ht="15.75" customHeight="1">
      <c r="A999" s="2">
        <v>1.0</v>
      </c>
      <c r="B999" s="2" t="s">
        <v>2711</v>
      </c>
      <c r="C999" s="2" t="s">
        <v>2712</v>
      </c>
      <c r="D999" s="2" t="s">
        <v>395</v>
      </c>
      <c r="E999" s="2" t="s">
        <v>2713</v>
      </c>
      <c r="F999" s="2" t="s">
        <v>15</v>
      </c>
      <c r="G999" s="2" t="s">
        <v>2714</v>
      </c>
      <c r="H999" s="2" t="s">
        <v>320</v>
      </c>
      <c r="I999" s="2" t="str">
        <f>IFERROR(__xludf.DUMMYFUNCTION("GOOGLETRANSLATE(C999,""fr"",""en"")"),"I own a fleet of motor vehicles which was insured at Axa Insurance he made me believe that I was making a business with them but it was they who did a deal with me by offering me offers 2 times more expensive than their competitors and when I wanted to le"&amp;"ave their home it was the obstacle course I will never provide them with them more of the increases in cautizations each unjustified year I do not recommend this insurance")</f>
        <v>I own a fleet of motor vehicles which was insured at Axa Insurance he made me believe that I was making a business with them but it was they who did a deal with me by offering me offers 2 times more expensive than their competitors and when I wanted to leave their home it was the obstacle course I will never provide them with them more of the increases in cautizations each unjustified year I do not recommend this insurance</v>
      </c>
    </row>
    <row r="1000" ht="15.75" customHeight="1">
      <c r="A1000" s="2">
        <v>1.0</v>
      </c>
      <c r="B1000" s="2" t="s">
        <v>2715</v>
      </c>
      <c r="C1000" s="2" t="s">
        <v>2716</v>
      </c>
      <c r="D1000" s="2" t="s">
        <v>315</v>
      </c>
      <c r="E1000" s="2" t="s">
        <v>14</v>
      </c>
      <c r="F1000" s="2" t="s">
        <v>15</v>
      </c>
      <c r="G1000" s="2" t="s">
        <v>2717</v>
      </c>
      <c r="H1000" s="2" t="s">
        <v>420</v>
      </c>
      <c r="I1000" s="2" t="str">
        <f>IFERROR(__xludf.DUMMYFUNCTION("GOOGLETRANSLATE(C1000,""fr"",""en"")"),"Mutual to flee. Dear. Insufficient reimbursements. Total contempt of the customer. It takes months to obtain your daily allowances. The levy of the salary contribution is done anyway and then we claim exorbitant sums to pay within one month.")</f>
        <v>Mutual to flee. Dear. Insufficient reimbursements. Total contempt of the customer. It takes months to obtain your daily allowances. The levy of the salary contribution is done anyway and then we claim exorbitant sums to pay within one month.</v>
      </c>
    </row>
    <row r="1001" ht="15.75" customHeight="1">
      <c r="A1001" s="2">
        <v>1.0</v>
      </c>
      <c r="B1001" s="2" t="s">
        <v>2718</v>
      </c>
      <c r="C1001" s="2" t="s">
        <v>2719</v>
      </c>
      <c r="D1001" s="2" t="s">
        <v>36</v>
      </c>
      <c r="E1001" s="2" t="s">
        <v>58</v>
      </c>
      <c r="F1001" s="2" t="s">
        <v>15</v>
      </c>
      <c r="G1001" s="2" t="s">
        <v>2720</v>
      </c>
      <c r="H1001" s="2" t="s">
        <v>416</v>
      </c>
      <c r="I1001" s="2" t="str">
        <f>IFERROR(__xludf.DUMMYFUNCTION("GOOGLETRANSLATE(C1001,""fr"",""en"")"),"Theft of a jewel with aggression, an expert named by MAIF to assess the market value which is based on a hypothetical guarantee ceiling rather than considering the characteristics and the market value of the object. The MAIF follows it and offers compensa"&amp;"tion up to 70% of the effective market value for a jewelry of craft jewelry bought 16 months earlier. No possible dialogue with customer load. To flee.")</f>
        <v>Theft of a jewel with aggression, an expert named by MAIF to assess the market value which is based on a hypothetical guarantee ceiling rather than considering the characteristics and the market value of the object. The MAIF follows it and offers compensation up to 70% of the effective market value for a jewelry of craft jewelry bought 16 months earlier. No possible dialogue with customer load. To flee.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2022-12-16T15:48:28Z</dcterms:created>
</cp:coreProperties>
</file>