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vWeYYAi8K3Px67+gKKZda0ZbpWA=="/>
    </ext>
  </extLst>
</workbook>
</file>

<file path=xl/sharedStrings.xml><?xml version="1.0" encoding="utf-8"?>
<sst xmlns="http://schemas.openxmlformats.org/spreadsheetml/2006/main" count="7011" uniqueCount="2727">
  <si>
    <t>note</t>
  </si>
  <si>
    <t>auteur</t>
  </si>
  <si>
    <t>avis</t>
  </si>
  <si>
    <t>assureur</t>
  </si>
  <si>
    <t>produit</t>
  </si>
  <si>
    <t>type</t>
  </si>
  <si>
    <t>date_publication</t>
  </si>
  <si>
    <t>date_exp</t>
  </si>
  <si>
    <t>avis_en</t>
  </si>
  <si>
    <t>avis_cor</t>
  </si>
  <si>
    <t>avis_cor_en</t>
  </si>
  <si>
    <t>fatty58-63644</t>
  </si>
  <si>
    <t>pour vous assurez tout est bon pour vous remboursez passer votre chemin</t>
  </si>
  <si>
    <t>MAAF</t>
  </si>
  <si>
    <t>auto</t>
  </si>
  <si>
    <t>train</t>
  </si>
  <si>
    <t>28/04/2018</t>
  </si>
  <si>
    <t>01/04/2018</t>
  </si>
  <si>
    <t>yane94-101845</t>
  </si>
  <si>
    <t>Ça fait deux ans que je suis client chez activeassurance, j'ai souscris a une autre assurance mais malgré que mon nouveau assureur a envoyé 3 fois la demande de resiliation il pretendent ne rien recevoir et il continue de me prélever, je me retrouve avec deux assureur auto,  contactez moi si vous êtes dans le meme cas, on va passer passer par un mediateur</t>
  </si>
  <si>
    <t>Active Assurances</t>
  </si>
  <si>
    <t>25/12/2020</t>
  </si>
  <si>
    <t>01/12/2020</t>
  </si>
  <si>
    <t>vanilla-87914</t>
  </si>
  <si>
    <t>Bonjour, après mettre fait accrocher ma voiture par un camion, alors que mon véhicule était stationner le long de la chaussée sur une place de parking, l'assurance AXA ne m'a toujours pas pris en charge le rétro qui a été endommagé. Cela fait bientôt un an que le litige est ouvert et malgré mes maintes appels, aucun retour. J'avais même pris des photos du camion identifiant sa plaque d'immatriculation mais l'assureur semble plus défendre TP Dauphinois que leur propre assuré.</t>
  </si>
  <si>
    <t>AXA</t>
  </si>
  <si>
    <t>03/03/2020</t>
  </si>
  <si>
    <t>01/03/2020</t>
  </si>
  <si>
    <t>christophe-h-116471</t>
  </si>
  <si>
    <t xml:space="preserve">J'ai divisé mon assurance auto par 2. Et en plus de cela en tout risque. Donc je ne peux qu'être satisfait de retourné chez Direct Assurance.  Et en plus ils font l'assurance habitation.  </t>
  </si>
  <si>
    <t>Direct Assurance</t>
  </si>
  <si>
    <t>09/06/2021</t>
  </si>
  <si>
    <t>01/06/2021</t>
  </si>
  <si>
    <t>taberlus-126856</t>
  </si>
  <si>
    <t>Lissa est une personne accueillante et très à l'écoute de son interlocuteur .
Grace à Lissa mon problème a trouvé très rapidement une solution.
Internet c'est bien mais le contact humain reste fort appréciable.
Merci</t>
  </si>
  <si>
    <t>Santiane</t>
  </si>
  <si>
    <t>sante</t>
  </si>
  <si>
    <t>06/08/2021</t>
  </si>
  <si>
    <t>01/08/2021</t>
  </si>
  <si>
    <t>pascalbru-51131</t>
  </si>
  <si>
    <t>(Article L. 113-15-1 du Code des assurances) ainsi que le code de la Mutualité article 221-10 et contacter le site "demanderjustice.com    site pas cher du tout.
ils préparent un courrier recommandé et une assignation. Cegema craignant le tribunal (leur position ne tient pas) ils vous envoient le certificat de radiation Seule façon de les obliger à appliquer la loi.</t>
  </si>
  <si>
    <t>Cegema Assurances</t>
  </si>
  <si>
    <t>13/02/2018</t>
  </si>
  <si>
    <t>01/02/2018</t>
  </si>
  <si>
    <t>pascal-108073</t>
  </si>
  <si>
    <t>Très forte augmentation des tarifs sur les appels à cotisation 2021/2022. +6% !!!
Je possède 2 contrats auto, les 2 ont augmenté de la même façon, sachant que je suis au maximum du bonus et que je n’ai déclaré aucun préjudice. Aucune explication donnée par Direct Assurance lors d’un entretien téléphonique.....
De plus, comme tout le monde sait, vu la crise sanitaire actuelle, on enregistre une forte baisse des accidents de la circulation. 
Direct Assurance vous propose un tarif attractif pour vous attirer comme client et vous passe une augmentation honteuse dès la seconde année....</t>
  </si>
  <si>
    <t>26/03/2021</t>
  </si>
  <si>
    <t>01/03/2021</t>
  </si>
  <si>
    <t>gasquet-t-114134</t>
  </si>
  <si>
    <t>Je ne sais pas encore si cette assurance est bien car je viens juste de souscrire. Je ne peux donc pas donner un avis objectif quant à la qualité de vos services.</t>
  </si>
  <si>
    <t>L'olivier Assurance</t>
  </si>
  <si>
    <t>18/05/2021</t>
  </si>
  <si>
    <t>01/05/2021</t>
  </si>
  <si>
    <t>leroy-m-128246</t>
  </si>
  <si>
    <t xml:space="preserve">Je suis satisfait de la prise en charge conseiller au top bonne explication des détails du contrat d assurance
Je recommande vivement l assurance l Olivier 
</t>
  </si>
  <si>
    <t>16/08/2021</t>
  </si>
  <si>
    <t>christelle-c-116387</t>
  </si>
  <si>
    <t>pour l''assurance habitation  ne ne pouvons pas assurer les denrées alimentaires en cas de pannes de congélateur  autrement le prix est correct je suis assez satisfaite</t>
  </si>
  <si>
    <t>08/06/2021</t>
  </si>
  <si>
    <t>philver06-112315</t>
  </si>
  <si>
    <t>Le prix de l'assurance ne cesse d'augmenter d'années en années,... Pourtant aucun sinistre à déclarer, sans aucune justification de direct assurance.
La pub de qui dit "200€ de moins en moyenne"  est rattrapé au bout de 4 ans.
Je vais aller chez Maaf bien moins cher
Philippe</t>
  </si>
  <si>
    <t>thierry-s-133441</t>
  </si>
  <si>
    <t>LES PRIX ME CONVIENNENT ET S'ASSURER DEVIENT SIMPLE
LES PRIX ME CONVIENNENT ET S'ASSURER DEVIENT SIMPLE
LES PRIX ME CONVIENNENT ET S'ASSURER DEVIENT SIMPLE</t>
  </si>
  <si>
    <t>18/09/2021</t>
  </si>
  <si>
    <t>01/09/2021</t>
  </si>
  <si>
    <t>barthe-68883</t>
  </si>
  <si>
    <t>Suite à un cambriolage avec effraction je me retrouve désespérément en train d attendre un retour du Crédit Mutuel. Leur prestataire Multiassistance m a banané pendant 6 semaines pour rien car j ai du repartir de zéro et refaire des devis par moi même pour changer les portes fenêtres détruites au pied de biche. Après moultes relances ils m informent qu en fait c est l assurance de la copro qui doit intervenir (au bout de 6 semaines ! Scandaleux) et en gros debrouillez vous... cela alors que Multiassistance avait un devis depuis le début...
Je leur demande de faire leur boulot d assureur et finissent par envoyer un expert d une société prestataire qui met 2 semaines à rediger un rapport.
Après moultes relances j apprends hier que le gestionnaire de mon dossier au crédit mutuel a interrogé par mail l expert pour "rectifier le chiffrage" cela alors qu ils ont 2 devis à leur disposition..
Donc pour le moment après 2 mois je n ai toujours aucune nouvelle sur la prise en charge de mon sinistre, un scandale!
Pour info une de mes portes fenêtres ne ferment plus et l air passe de toute part mais tout le monde s en fout...
Si vous vous faites cambrioler et que vous êtes victime de vandalisme mieux vaut ne pas être assuré au crédit mutuel.
Pourtant dès la déclaration du sinistre en ligne le lendemain du cambriolage je pensais avoir bien fait en faisant appel à leur prestataire zn.me.disant que ainsi mon.dossier sera rapidement traité...c est une catastrophe. J angoisse et je n en vois pas la fin. Mes collègues de bureau et touc ceux à qui j en parle ne comprennent pas non plus. Etre victime d un cambriolage n est pas facile à vivre mais le manque de considération de l assureur est aussi traumatisant</t>
  </si>
  <si>
    <t>Crédit Mutuel</t>
  </si>
  <si>
    <t>habitation</t>
  </si>
  <si>
    <t>24/11/2018</t>
  </si>
  <si>
    <t>01/11/2018</t>
  </si>
  <si>
    <t>alaa-e-113235</t>
  </si>
  <si>
    <t>Je ne suis pas satisfait de la gestion de mes abonnements et le prix (pas de remise depuis 2018). Aujourd'hui je souhaite resilier mes abonnements
MERCI</t>
  </si>
  <si>
    <t>10/05/2021</t>
  </si>
  <si>
    <t>araujo-s-113538</t>
  </si>
  <si>
    <t>Je suis assez satisfaite pour une première assurance... je connaissez pas cette assurance, j’espère avoir fait le bon choix ;) je remercie l’a personne que à validé mon devis.</t>
  </si>
  <si>
    <t>12/05/2021</t>
  </si>
  <si>
    <t>marie-54732</t>
  </si>
  <si>
    <t xml:space="preserve">À fuir j'ai pris une assurance de prêt maison ils ne veulent plus me prendre en charge depuis qu'il mon fait passer devant leur médecin expert qui etait complètement nul un retraité qui fait mieux de laisse sa place à un jeune médecin je suis atteinte d'une polyarthrite rhumatoïde il n'a pas pris connaissance de mon dossier médical que j'avais apporté à l entretien donc résultat il a donné ses conclusions à cardif qui ne veut plus me payer en plus je suis suivi régulièrement par des médecins car jai mal aux doigt poignets cou épaule bras jambe qui se paralyse et m'empêche de travaille la Cpam vient de me passer en invalidité 2 catégorie je l'annonce a cardif par telephone il s'en fiche ils ne prennent pas en considération les Avis médicales des médecins qui me suivent ainsi que le le d'invalidité de la Cpam à ce jour je ne peux pas travaille je fait partir mon dossier vendredi matin pour faire une procédure contre eux avec mon avocat au tout cas je le répète n allez pas chez eux pour vous assurer </t>
  </si>
  <si>
    <t>Cardif</t>
  </si>
  <si>
    <t>credit</t>
  </si>
  <si>
    <t>16/05/2017</t>
  </si>
  <si>
    <t>01/05/2017</t>
  </si>
  <si>
    <t>claude-r-117048</t>
  </si>
  <si>
    <t xml:space="preserve">Avis sur la mutuelle santé (Contrat entreprise) Arpège prévoyance 
Depuis le 01/01/2021, AG2R a fusionné avec ARPEGE et les problèmes ont commencés: Arpège se permet de ne plus répondre aux mails ou alors avec un délai de réponse indécent de plusieurs semaines et répond n'importe quoi, aucun conseiller Arpège n'est plus joignable par téléphone maintenant. Arpège n'accuse pas réception des mails que vous envoyez. Tout est fait pour que vous ne puissiez plus contacter ARPEGE prévoyance mais les cotisations elles sont bien débitées.
Les ‘conseillers’ au téléphone eux mêmes ne savent même pas vers quel numéro orienter les assurés dans le cas des contrats d’entreprise ARPEGE prévoyance. 
</t>
  </si>
  <si>
    <t>Ag2r La Mondiale</t>
  </si>
  <si>
    <t>15/06/2021</t>
  </si>
  <si>
    <t>fuera-29879</t>
  </si>
  <si>
    <t xml:space="preserve">je fais partie des + gros contrats en assurance-vie du GAN . pour autant je n'ai JAMAIS eu UN seul conseil en plus de 15 ans . 
Pire encore un ""conseiller" n'ayant pas fait son travail, je me suis retrouvé en porte à faux avec l'administration fiscale . j'ai tout essayé pour faire rectifier cette erreur . rien n'y a fait . je suis tombé sur un mur d'incompétence et de volonté à ne rien faire .le personnel rechignant  à reconnaitre ses erreurs et faire le nécessaire  allant jusqu'à produire de documents antidatés . Même l'intervention de la direction générale du GAN n'a servi à rien si ce n'est à regretter son impossibilité à faire travailler son personnel normalement . le pouvoir est entre les mains de queqlques soufiffres dont la seule préoccupation est de ne Surtout et sur tout rien  faire . 
Cette société est à fuir . et ce d'autant plus que les résultats de ses assurances-vie sont absolument catastrophiques . Et prouvent s'il le fallait encore leur haut niveau d'incompétence .
</t>
  </si>
  <si>
    <t>Gan</t>
  </si>
  <si>
    <t>prevoyance</t>
  </si>
  <si>
    <t>01/01/2019</t>
  </si>
  <si>
    <t>marco-60197</t>
  </si>
  <si>
    <t>Une proche a été avisée par la MGP, 8 ans1/2 après le décès d’un oncle, qu’elle, et donc en principe moi et mes cousin(e)s, étions bénéficiaires d’une ASSURANCE DÉCÈS qu’il avait souscrite.
Ensuite, une vraie galère !
On a beau faire des recherches et leur envoyer toutes les pièces qu’ils demandent, il reste un livret de famille de l’oncle introuvable si longtemps après (pas d'enfant, les proches tous décédés et une dame ayant atteint le stade Alzheimer).
La MGP possèdent des enquêteurs et des généalogiques auxquels ils font manifestement peu appel.
Au téléphone il y a barrage filtrant très puissant dont le rôle consiste manifestement à dégager les importuns.
Impossible d’avoir un humain s’occupant vraiment du dossier (cela m’est arrivé une seule fois).
Si vous devez avoir des rapports avec eux ne "dialoguez" que par LETTRE RECOMMANDÉE.
Impossible de savoir quel est le MONTANT exact du capital GLOBAL (si on savait la somme dérisoire on laisserait tomber...).
Impossible pour la quasi totalité des neveux et nièces de savoir S’ILS SONT MÊME BÉNÉFICIAIRES.
Les 10 ans arrivant la somme va donc prendre la direction de la Caisse des dépôts et consignations…</t>
  </si>
  <si>
    <t>MGP</t>
  </si>
  <si>
    <t>05/01/2018</t>
  </si>
  <si>
    <t>01/01/2018</t>
  </si>
  <si>
    <t>chloehg-128203</t>
  </si>
  <si>
    <t>Catastrophe! Je viens de réaliser que ma contribution mensuelle est passée de 20 euros à 44 euros !! Et ce depuis des années.. j’ai perdu près de 1000 euros à cause de cette assurance et je n’arrive même pas à arrêter mon abonnement pq ils sont injoignables…</t>
  </si>
  <si>
    <t>Assur O'Poil</t>
  </si>
  <si>
    <t>animaux</t>
  </si>
  <si>
    <t>bert-a-132330</t>
  </si>
  <si>
    <t>Très satisfait du service client, les prix sont très intéressants par rapport aux autres assureurs, je recommanderai volontiers l Olivier à mes connaissances</t>
  </si>
  <si>
    <t>10/09/2021</t>
  </si>
  <si>
    <t>guenin-s-122381</t>
  </si>
  <si>
    <t>Les prix sont intéressants, l'interface internet est très facile d'utilisation.Très satisfait pour ma précédente voiture, j'ai pris a nouveau un contrat chez vous</t>
  </si>
  <si>
    <t>05/07/2021</t>
  </si>
  <si>
    <t>01/07/2021</t>
  </si>
  <si>
    <t>ramses-59697</t>
  </si>
  <si>
    <t>Aucun rappels honoré, aucune réponses aux mails, suivi laborieux d'un sinistre EN RAISON mais bien evidemment prélevement toujours ponctuels...
Quel suicidaire pourrait souscrire à cette assurance actuellement ?</t>
  </si>
  <si>
    <t>AssurOnline</t>
  </si>
  <si>
    <t>moto</t>
  </si>
  <si>
    <t>15/12/2017</t>
  </si>
  <si>
    <t>01/12/2017</t>
  </si>
  <si>
    <t>moumoulili-123378</t>
  </si>
  <si>
    <t>Demande de rachat et la problème il y a un bug donc ont ne sait pas quand sera viré vos fonds les conseillers sont aux abonnés absents  que faire sauf attendre au bureau central votre dossier est complet mais voilà il y a une anomalie dans les virements fuire cet assureur</t>
  </si>
  <si>
    <t>vie</t>
  </si>
  <si>
    <t>14/07/2021</t>
  </si>
  <si>
    <t>rodolphe-d-116027</t>
  </si>
  <si>
    <t>Assurance à éviter à tout prix!
Juste là pour encaisser des primes!
Attention lors de votre déclaration de sinistre, le moindre faux pas (fût-il de bonne foi) et c'est le refus de couverture des dommages et si vous contestez leur décision, c'est la porte!</t>
  </si>
  <si>
    <t>04/06/2021</t>
  </si>
  <si>
    <t>flo13-102334</t>
  </si>
  <si>
    <t xml:space="preserve">Bonjour, 
Feu anti brouillard avant gauche brisé, j'ai donc fait réparer en urgence au vu des circonstances météorologiques de fin d'année (pluie, neige, brouillard), étant cinq à bord de la voiture, prix 358 euros. Je contacte par la suite direct assurance pour le remboursement, en tant que bris de glace. Direct Assurance refuse prétextant qu'il fallait un expert.
</t>
  </si>
  <si>
    <t>07/01/2021</t>
  </si>
  <si>
    <t>01/01/2021</t>
  </si>
  <si>
    <t>potier-p-131530</t>
  </si>
  <si>
    <t xml:space="preserve">Je suis satisfait du produit de l'écoute et des explications auquel j'attendais personnellement je recommenderai votre agence pour l'accueil et vos tarifs merci </t>
  </si>
  <si>
    <t>06/09/2021</t>
  </si>
  <si>
    <t>benji33290-99507</t>
  </si>
  <si>
    <t>C'est une honte, pour un sinistre non responsable, d'avoir une augmentation de plus de 300 € de son contrat auto ainsi qu'un geste commercial de 6 € !!! Je ne recommande absolument pas cet assureur. Si vous voulez rien en retour, allez-y les yeux fermés il sera vous satisfaire sinon si vous attendez vraiment un service de votre assureur ni allez surtout pas. A bon entendeur !!!</t>
  </si>
  <si>
    <t>02/11/2020</t>
  </si>
  <si>
    <t>01/11/2020</t>
  </si>
  <si>
    <t>chris2364-126178</t>
  </si>
  <si>
    <t xml:space="preserve">suite a mon appel téléphonique j'ai été bien reçu par Georges 
impeccable ,respectueux ,courtois 
très bien renseigné sur mon contrat
je recommande
cordialement 
</t>
  </si>
  <si>
    <t>Néoliane Santé</t>
  </si>
  <si>
    <t>03/08/2021</t>
  </si>
  <si>
    <t>ingrid-m-129752</t>
  </si>
  <si>
    <t>J'ai souscrit au 1er août 2021 pour une mutuelle santé, la sécurité sociale n'est toujours pas au courant que j'ai un complémentaire santé ce malgré les nombreuses appels au service client santiane ! je leur ai aussi signaler que je n'ai pas accès à mon compte client car apparemment on ne reconnaît pas l'adresse mail avec laquelle j'ai souscrit à cette assurance, bien sûr rien à bouger ! Mais par contre les prélèvements sur mon compte bancaire se font sans problème. J'ai des frais médicaux à me faire rembourser mais comme le service client n'a pas levé le petit doigt pour prendre en compte ma demande, du coup je suis dans une ***** financière car je n'aurais pas de remboursement dans l'immédiat. Déçu de cette complémentaire santé et ainsi que du service client qui eux même mon assuré qu'ils allaient faire le nécessaire en transmettant la demande au service concerné et rien n'a bougé.</t>
  </si>
  <si>
    <t>04/09/2021</t>
  </si>
  <si>
    <t>durreveil-61339</t>
  </si>
  <si>
    <t>40 ans chez la MAIF sans aucun sinistre habitation. Une toute petite partie de mon toit s'envole suite à mini-tempête reconnue par Météo France. Tout le voisinage est indemnisé à des degrés divers, sauf moi qui suis à la MAIF. Conclusion, vous vous croyez assuré, vous payez bêtement des tarifs élevés pendant des décennies sans vous poser de questions. Eh bien c'est un tort quitte à ne pas être indemnisé du tout, allez vers l'assureur le moins cher et suivez le conseil de l'UFC / Que Choisir démontrant que la fidélité ne paie pas et qu'il faut changer d'assureur, ce dernier vous offrant des tarifs compétitifs surtout si vous êtes un  un « bon » risque ( 2 véhicules à bonus maximum et aucun sinistre indemnisé en habitation depuis 40 ans). J’irai donc voir ailleurs et permets à tous de copier-coller mon message pour démonter ce mythe d’un « assureur-militant » un  monument de com. que j’estime à la limite du mensonge. Non les autres assureurs ne sont probablement guère mieux que la Maif mais au moins ils ne se vantent pas d’une prétendue supériorité éthique. - on sait ce qu’il est advenu de la CAMIF en son temps.</t>
  </si>
  <si>
    <t>MAIF</t>
  </si>
  <si>
    <t>11/02/2018</t>
  </si>
  <si>
    <t>stephan-v-128023</t>
  </si>
  <si>
    <t xml:space="preserve">Je suis satisfait du service, aucun problème à signaler.
Les tarifs sont compétitifs, la souscription en ligne est facile.
Je recommande d'ailleurs régulièrement votre compagnie auprès de mes amis. </t>
  </si>
  <si>
    <t>AMV</t>
  </si>
  <si>
    <t>14/08/2021</t>
  </si>
  <si>
    <t>babou66-77270</t>
  </si>
  <si>
    <t>Fuyez!Ils savent vous prélever, mais en ce qui concerne le remboursement:RIEN! Ha pardon, j'ai été remboursée seulement une fois! Je pars dès que possible!</t>
  </si>
  <si>
    <t>02/07/2019</t>
  </si>
  <si>
    <t>01/07/2019</t>
  </si>
  <si>
    <t>graziella-95941</t>
  </si>
  <si>
    <t>Du grand n'importe quoi! je me retrouve à payer 2 assurances sur mon prêt car ils n'ont pas résilié l'assurance auprès de ma banque. Et cerise sur le gâteau, je ne suis pas remboursée pour les prélèvements de la nouvelle assurance Spheria Vie, cela fait 6 mois que ca dure, un cauchemar</t>
  </si>
  <si>
    <t>Magnolia</t>
  </si>
  <si>
    <t>30/09/2020</t>
  </si>
  <si>
    <t>01/09/2020</t>
  </si>
  <si>
    <t>ghgh-139367</t>
  </si>
  <si>
    <t>jai eu contacte avec Mme CASTELLO SARRAH  a été très aimable avec du professionnalisme et beaucoup d' aimabilite et gentillesse   elle m'a conseiller elle étais tjrs a l Ecoute j suis très contente d' avoir neoliane et aussi pour les remboursements ai jamais eu des problèmes</t>
  </si>
  <si>
    <t>10/11/2021</t>
  </si>
  <si>
    <t>01/04/2021</t>
  </si>
  <si>
    <t>fischmeister-n-108984</t>
  </si>
  <si>
    <t>Excellent concernant la souscription en ligne.
Facile, rapide, au top !
Pourquoi payer deux fois plus cher à la concurrence et perdre du temps en agence ?</t>
  </si>
  <si>
    <t>02/04/2021</t>
  </si>
  <si>
    <t>bourachid-a-113647</t>
  </si>
  <si>
    <t>Je découvre donc pas d’avis pour le moment sinon site très pratique souscription très simplifier peuxx donner un avis prochainement cordialement mr bourachid</t>
  </si>
  <si>
    <t>13/05/2021</t>
  </si>
  <si>
    <t>guebli-z-115155</t>
  </si>
  <si>
    <t xml:space="preserve">très abordables sur les prix d’assurance surtout pour les personnes étudiantes et un accueil téléphonique toujours disponible par rapport à d’autres assurance </t>
  </si>
  <si>
    <t>28/05/2021</t>
  </si>
  <si>
    <t>cat-69694</t>
  </si>
  <si>
    <t>Je ne suis toujours pas remboursée 3 mois après la mort de mon chien malgré leur mail indiquant le montant Qui doit être versé</t>
  </si>
  <si>
    <t>SantéVet</t>
  </si>
  <si>
    <t>27/12/2018</t>
  </si>
  <si>
    <t>01/12/2018</t>
  </si>
  <si>
    <t>rraaiden-78860</t>
  </si>
  <si>
    <t>Assurance qui est juste là pour encaisser les cotisations des qu'il y a un problème elle vous vire j'ai étais virer pour un accident responsable je trouve sa lamentable</t>
  </si>
  <si>
    <t>02/09/2019</t>
  </si>
  <si>
    <t>01/09/2019</t>
  </si>
  <si>
    <t>baudreyfr-97950</t>
  </si>
  <si>
    <t>Suite à leur démarchage, j'ai assuré chez eux 2 véhicules, mon domicile et  j'ai pris la protection famille. J'avais un bonus maxi et aucun sinistre avant. Cet été, par 2 fois, je me fais emboutir ma voiture alors que je suis stationnée et même pas dedans... Je reçois ce mois-ci un recommandé qui me radie de chez eux car je semble ne pas être une personne suffisamment rentable pour eux!! Une honte, je n'ai jamais eux de contentieux et je suis victime par 2 fois d'un sinistre dont je ne suis pas responsable... La personne du service client se fout complètement de mon dossier, je suis invitée à aller voir ailleurs sans aucune discussion possible! Bravo!</t>
  </si>
  <si>
    <t>Eurofil</t>
  </si>
  <si>
    <t>29/09/2020</t>
  </si>
  <si>
    <t>anita90kg-60661</t>
  </si>
  <si>
    <t>Mutuelle qui me dépouille. J'ai mis toutes mes économies pour financer une excellente mutuelle. Au final, je me retrouve sans remboursements à jour alors que je suis directrice d'une école en Somalie. Je veux faire venir ces enfants en France car il n'y a pas assez d'africains et je veux que la mgen m'aide, aide ces enfants. J'ai proposé que la mgen s'implante en Afrique, j'attends toujours leur réponse.</t>
  </si>
  <si>
    <t>Mgen</t>
  </si>
  <si>
    <t>19/01/2018</t>
  </si>
  <si>
    <t>sg-123084</t>
  </si>
  <si>
    <t>Après 2 petits sinistres la Maff veut radier mon compte.
Je suis chez eux depuis plusieurs années.
J'ai reçu cette décision par courrier, pas d'appel.</t>
  </si>
  <si>
    <t>11/07/2021</t>
  </si>
  <si>
    <t>rodrigues-j-135546</t>
  </si>
  <si>
    <t xml:space="preserve">Je suis satisfait du service ainsi que des tarifs proposés.
J’espère être reçu de la même façon si je suis sinistrée. 
Olivier a su être à mon écoute durant mes différents appels. </t>
  </si>
  <si>
    <t>02/10/2021</t>
  </si>
  <si>
    <t>01/10/2021</t>
  </si>
  <si>
    <t>ibba-e-113338</t>
  </si>
  <si>
    <t>Je suis très satisfait du service ,des prix et de la simplicité et la rapidité de souscription et aussi des propositions de niveau d'assurance en terme des besoins par rapport à ma situation personnelle</t>
  </si>
  <si>
    <t>11/05/2021</t>
  </si>
  <si>
    <t>xbzorro-91922</t>
  </si>
  <si>
    <t xml:space="preserve">je suis fidèle à la MGP depuis plus de 29 ans et je ne le regrette absolument pas. </t>
  </si>
  <si>
    <t>23/06/2020</t>
  </si>
  <si>
    <t>01/06/2020</t>
  </si>
  <si>
    <t>herve-et-marina-p-107552</t>
  </si>
  <si>
    <t>Hausse tarifaire importante en deux ans.
La première année de souscription est toujours très attractive. Mais après cela grimpe très vite. Hausse à 2 chiffres en 2 ans..</t>
  </si>
  <si>
    <t>22/03/2021</t>
  </si>
  <si>
    <t>ducatteau-d-111833</t>
  </si>
  <si>
    <t xml:space="preserve">assurance qui ne prend pas l'argent de ses clients mais qui comprend l'attente de chaque souscripteur, qui vise les points essentiel de chaque demandeur. </t>
  </si>
  <si>
    <t>27/04/2021</t>
  </si>
  <si>
    <t>leriche-m-107010</t>
  </si>
  <si>
    <t>Les prix et le service sont impeccables, le conseillé qui m'a aidé pour finaliser mon devis auto a été très sympathique et patient. Et le service a été rapide.</t>
  </si>
  <si>
    <t>18/03/2021</t>
  </si>
  <si>
    <t>besset-r-112589</t>
  </si>
  <si>
    <t>Service efficace et personnels professionnels et accueillants.
L'opération du jour s'est bien déroulée. Nous avons pu la suivre en temps réel ce qui évite les quiproquos</t>
  </si>
  <si>
    <t>04/05/2021</t>
  </si>
  <si>
    <t>dam-60883</t>
  </si>
  <si>
    <t>J'ai eu un sinistre suite à la tempête eleanor du 3janvier,200€ de dégâts,je déclare a mon assurance,qui met 15 jours pour me répondre défavorablement,suite à une soit disante franchise de 380€!!!!!,alors que les franchises sont en moyenne entre115,et150€max.!!!!,donc tout pour ma poche!!!,alors que je n'ais jamais eu de sinistre,depuis le début de mon inscription en 2011,,et certaines assurances propose le 0€de franchise si pas de sinistre depuis plusieurs années!!!!!,pour une fois que j'ai besoin de vous, rien!!!!,</t>
  </si>
  <si>
    <t>27/01/2018</t>
  </si>
  <si>
    <t>soria-c-128185</t>
  </si>
  <si>
    <t xml:space="preserve">Parfait, Rapide, simple, efficace et pas chère 
Tous ce que l’on aime, Rien de mieux 
Je recommande vivement direct assurance 
Merci direct assurance </t>
  </si>
  <si>
    <t>dany-78577</t>
  </si>
  <si>
    <t>A fuir cette assurance n'en a que le nom.
Après 3 mois de démarche téléphonique pour un minable remboursement de 202 euros suite à un cambriolage toujours pas de chèque en vue. A deux reprises le versement a été refusé sans motif, a deux reprises le chèque a été envoyé à la mauvaise adresse et aucune info fiable lorsque vous téléphonez tous les jours pendant des semaines.
Si un cadre de l'assurance veut s'amuser a vérifier mes dires, N de dossier : 20191537275</t>
  </si>
  <si>
    <t>Allianz</t>
  </si>
  <si>
    <t>21/08/2019</t>
  </si>
  <si>
    <t>01/08/2019</t>
  </si>
  <si>
    <t>claire-111289</t>
  </si>
  <si>
    <t>Suite à mon sinistre de cambriolage, éffraction, vandalisme qui ont détruit toutes les tapisseries, murs, sols, plafonds, portes, j'ai reçu 950e d'indemnisation alors que les frais s'élèvent à 34 000 e pour la maison et 6000 e pour les objets.Je ne suis pas satisfait.</t>
  </si>
  <si>
    <t>Pacifica</t>
  </si>
  <si>
    <t>22/04/2021</t>
  </si>
  <si>
    <t>kiko1971-58363</t>
  </si>
  <si>
    <t>Direct assurance est nul , ils savent meme pas faire une résilation, et pour recevoir une assistance on a  passé 4 heures d'attente avec nos deux enfants,  je déconseille cet assurance. 
Direct assurance is bad, they do not even know how to do a cancellation, and to receive assistance we spent 4 hours waiting with our two children, I do not recommend this insurance</t>
  </si>
  <si>
    <t>25/10/2017</t>
  </si>
  <si>
    <t>01/10/2017</t>
  </si>
  <si>
    <t>jo-80102</t>
  </si>
  <si>
    <t xml:space="preserve">Très bons renseignements , accueil très agréable,  de Madame alicia elle est à l écoute elle est de bons conseils très patiente très  convainquante
Madame alicia est très accueillante elle est convainquante elle comprend nos problèmes elle est très  patiente de bons conseils 
</t>
  </si>
  <si>
    <t>16/10/2019</t>
  </si>
  <si>
    <t>01/10/2019</t>
  </si>
  <si>
    <t>celine-51698</t>
  </si>
  <si>
    <t>Suite à un cambriolage tout a été pris en charge rapidement. Les personnes du service sinistre sont très disponibles et n'hésitent pas à donner les renseignements nécessaires</t>
  </si>
  <si>
    <t>26/01/2017</t>
  </si>
  <si>
    <t>01/01/2017</t>
  </si>
  <si>
    <t>jbon-104448</t>
  </si>
  <si>
    <t>Bonjour
J ai eu la réponse à ma question . L' agent qui m'a bien renseigné était très courtoise . J apprécie d'avoir encore un service téléphonique.
Cordialement</t>
  </si>
  <si>
    <t>18/02/2021</t>
  </si>
  <si>
    <t>01/02/2021</t>
  </si>
  <si>
    <t>dezarnaud-p-137366</t>
  </si>
  <si>
    <t>RAS pour le moment : très bon contact par téléphone, très bonne assistance. À voir maintenant sur la durée, notamment s'il survient malheureusement un sinistre.</t>
  </si>
  <si>
    <t>13/10/2021</t>
  </si>
  <si>
    <t>sarahmartins-77079</t>
  </si>
  <si>
    <t>Plus de deux mois d'attente pour ajouter mon conjoint à mon contrat. Malgré de nombreuse relance mail, chat on Line, courrier aucun retour. Je n'ai jamais vu de tél délais !!!!!</t>
  </si>
  <si>
    <t>Mercer</t>
  </si>
  <si>
    <t>24/06/2019</t>
  </si>
  <si>
    <t>01/06/2019</t>
  </si>
  <si>
    <t>oceane-g-130901</t>
  </si>
  <si>
    <t>Les prix me conviennent, prix quasiment divisé par 2 par rapport à mon assurance précédente avec plus d’options. (Tiers étendu contre tous risques ici)</t>
  </si>
  <si>
    <t>02/09/2021</t>
  </si>
  <si>
    <t>denis-92739</t>
  </si>
  <si>
    <t>SUIS satisfait de direct assurances suis client pour mes vehicules depuis plus d'un an. aucun soucis pour le moment
espere rester chez vous pour prochaine voiture si tarif correct</t>
  </si>
  <si>
    <t>30/06/2020</t>
  </si>
  <si>
    <t>brice-r-135020</t>
  </si>
  <si>
    <t xml:space="preserve">Simple et efficace, le prix est attractif et est bien moins cher que mon contrat actuel pour des prestations moindres. L'ergonomie du site est très fonctionnelle et les différentes offres proposées sont claires </t>
  </si>
  <si>
    <t>29/09/2021</t>
  </si>
  <si>
    <t>vaibhav-b-121294</t>
  </si>
  <si>
    <t>Bonjour, 
Je suis rendu en compte que c'est une assurance vraiment sympa et genial. De plus qui j'aime que il y a une équipe de support très efficace. Le gestion de support est vraiment aggreable.Bonjour,
J'ai réalisé que c'est une assurance vraiment sympa et géniale. J'aime aussi le fait qu'il y ait une équipe d'assistance très efficace. La gestion du support est vraiment sympa.</t>
  </si>
  <si>
    <t>26/06/2021</t>
  </si>
  <si>
    <t>relot-e-127708</t>
  </si>
  <si>
    <t>Le prix me convient en tant que jeune assuré. Très bon accueil et efficace .Etant nouvellement assuré je ne peux pas donné d'avis sur l'assurance en elle même</t>
  </si>
  <si>
    <t>12/08/2021</t>
  </si>
  <si>
    <t>zhar-k-112594</t>
  </si>
  <si>
    <t xml:space="preserve">Satisfait mais difficile accéder e l'espace perso en espérant que je suis bien assuré carte verte non délivré pour l'instant pages qui s'ouvrent mal bien cordialement
</t>
  </si>
  <si>
    <t>elena-62410</t>
  </si>
  <si>
    <t xml:space="preserve">Bonjour!
Je ne conseil pas Santiane car  il ne sont pas professionnelle , beaucoup de temps d'attente lors d'un appelle, beaucoup de temps pour résoudre les problèmes. Dans mon cas il mon donner des faux informations et j'ai eu de problèmes des télétransmission qui après 3 mois n'ont pas encore était résolu.   Fait votre conclusion et bien votre choix! </t>
  </si>
  <si>
    <t>16/03/2018</t>
  </si>
  <si>
    <t>01/03/2018</t>
  </si>
  <si>
    <t>hug-m-117890</t>
  </si>
  <si>
    <t>Aucun avis particulier, le prix de l'assurance est vraiment attractif comparé à d'autre assurance. Bien que le tarif de la franchise soit vraiment excessif!</t>
  </si>
  <si>
    <t>22/06/2021</t>
  </si>
  <si>
    <t>nico-122866</t>
  </si>
  <si>
    <t>Honteux et minable.
Ma mère, veuve depuis plus de 6 mois n'a toujours pas pu avoir le moindre remboursement des assurances souscrites. A chaque appel, on lui indique que soit on a pas reçu son dossier soit il a été perdu.
A éviter à tout prix. Scandaleux.</t>
  </si>
  <si>
    <t>CNP Assurances</t>
  </si>
  <si>
    <t>09/07/2021</t>
  </si>
  <si>
    <t>sans-97807</t>
  </si>
  <si>
    <t xml:space="preserve">après un devis intéressant en 2018, j'opte pour cette compagnie en mai, très bien, la suite est moins glorieuse !! 
2019 sans déclaration de sinistre augmentation du tarif de 15% !!
2020 tjrs ss déclarer de sinistre augmentation de 13% !!! bah voyons !!
Auparavant la compagnie précédente augmentait bon an mal an de 1.5% environ
Cherchez l'erreur...
Donc je change cette année...merci la loi Hamon
</t>
  </si>
  <si>
    <t>24/09/2020</t>
  </si>
  <si>
    <t>mayckel82-104721</t>
  </si>
  <si>
    <t xml:space="preserve">A fuire cette assurance a mis fin à mon contrat provisoire pour manque  d’un document inutile j’ai payé 120€ pour 4 mois d’assurance à l’avance et au bout de 3 semaine il résilie mon contrat garde la totalité des 120€ et ne veulent pas me réassure car il dise que mon véhicule fait 6cv et qu’il ne trouve aucune compagnie pour m’assurer c’est un Renault express année 1998 et il me considère se véhicule comme une ferari c’est une honte à éviter fortement.
</t>
  </si>
  <si>
    <t>24/02/2021</t>
  </si>
  <si>
    <t>lepez-v-135690</t>
  </si>
  <si>
    <t xml:space="preserve">simple et rapide mon fils client chez vous avait raison. Je ne connaissais pas vraiment et après différents devis et l'avis de mes proches, c'est la meilleure </t>
  </si>
  <si>
    <t>03/10/2021</t>
  </si>
  <si>
    <t>maosai-121164</t>
  </si>
  <si>
    <t xml:space="preserve">Très mauvaise expérience suite à un dégât des eaux, je ne conseille pas du tout cet assureur.
Les conseillers ne sont pas à l'écoute et prennent de haut.
Aucune confiance en leur client et refuse de faire venir un expert à domicile pour évaluer les dégâts.
J'ai une 3 personnes différentes en ligne et 3 versions différentes sur les justificatifs à fournir.
Je suis très déçu et compte résilier cette assurance au plus vite
</t>
  </si>
  <si>
    <t>25/06/2021</t>
  </si>
  <si>
    <t>vero-99596</t>
  </si>
  <si>
    <t xml:space="preserve">Très déçue de la MATMUT. Je suis chez eux depuis 14 ans. Ces trois dernières années, j'ai eu malheureusement des sinistres non responsables. Je viens de recevoir un courrier de résiliation. Je trouve cette façon de procéder inacceptable et vraiment injuste. Vous pouvez régler vos mensualités mais surtout ne pas avoir de sinistres. </t>
  </si>
  <si>
    <t>Matmut</t>
  </si>
  <si>
    <t>03/11/2020</t>
  </si>
  <si>
    <t>dan-52718</t>
  </si>
  <si>
    <t xml:space="preserve">Bonne compagnie d'assurance tant que vous n'avez pas d'accident 
Fortes pénalités imposées à la suite de 3 incidents sur 30 mois 1 bris de vitre 11/2014 1 accrochage responsable 03/2016 1 accident de la circulation non responsable (véhicule détruit) 01/2017 toujours pas remboursé et fortement pénalisé sur les franchises pour assuré un nouveau véhicule </t>
  </si>
  <si>
    <t>GMF</t>
  </si>
  <si>
    <t>24/02/2017</t>
  </si>
  <si>
    <t>01/02/2017</t>
  </si>
  <si>
    <t>paul-h-110380</t>
  </si>
  <si>
    <t>je suis satisfaite., les tarifssont correcs les réponses téléphoniques assez rapides.les démarches assez faciles.
On ne se sent pas toute seule vis à vis de l'ordi.</t>
  </si>
  <si>
    <t>14/04/2021</t>
  </si>
  <si>
    <t>fredobou8-54268</t>
  </si>
  <si>
    <t>Assurance très compétitive au niveau des tarifs, très bonne accueil seul petit bémol un temps de réponse trop long pas de problème pour tout le reste</t>
  </si>
  <si>
    <t>25/04/2017</t>
  </si>
  <si>
    <t>01/04/2017</t>
  </si>
  <si>
    <t>georges-m-136637</t>
  </si>
  <si>
    <t>je suis très satisfait de ma souscription à l'assurance l'olivier assurance une réponse rapide et efficace suite a ma demande d'assurance auto dans votre agence .</t>
  </si>
  <si>
    <t>08/10/2021</t>
  </si>
  <si>
    <t>biboon-65476</t>
  </si>
  <si>
    <t>un gag.  2 entretiens de 40 mn ou on me redemande 2 fois les mêmes informations. Une clio de 1999 avec un conducteur principal qui a 20 ans de permis, un bonus de 0,5 et jamais d'infraction ou d'alcoolémie. Cout total de 2000 € . le prix que j'ai acheté la voiture. C'est énorme.</t>
  </si>
  <si>
    <t>13/07/2018</t>
  </si>
  <si>
    <t>01/07/2018</t>
  </si>
  <si>
    <t>jean-francois-c-134375</t>
  </si>
  <si>
    <t>Les prix semblent bons. Nous verrons si le service est au rendez-vous.
Et nous verrons si l'application est de qualité et si les agents sont réactifs.</t>
  </si>
  <si>
    <t>24/09/2021</t>
  </si>
  <si>
    <t>carlo89-50440</t>
  </si>
  <si>
    <t>A la signature du contrat , amabilité courtoisie et grande promesse .
Pour la resiliation , (en cause les tarifs) , refus de resiliation par tous les moyens .</t>
  </si>
  <si>
    <t>19/12/2016</t>
  </si>
  <si>
    <t>01/12/2016</t>
  </si>
  <si>
    <t>nicole-m-125697</t>
  </si>
  <si>
    <t>Je suis satisfaite du service, ainsi que de la qualité des informations et renseignements, de la rapidité et de la clarté des réponses aux questions posées</t>
  </si>
  <si>
    <t>30/07/2021</t>
  </si>
  <si>
    <t>scorpion72669913-85949</t>
  </si>
  <si>
    <t xml:space="preserve">Assuré chez eux depuis de nombreuses années avec "bonus à vie" j'ai eu la malchance d'avoir deux accident de moto en deux ans dont un non responsable sur les deux. Ils ont voulut multiplier ma franchise par deux et demi, j'ai refusé et j'ai été résilié à échéance. J'ai enlevé tout mes contrats pour aller voir ailleurs et bien m'en à pris car à garanties équivalentes j'ai facilement trouvé moins chères.  </t>
  </si>
  <si>
    <t>15/01/2020</t>
  </si>
  <si>
    <t>01/01/2020</t>
  </si>
  <si>
    <t>ph59-138316</t>
  </si>
  <si>
    <t>Mon contrat assurance vie a plus de 8 ans et je voudrais récupérer mes fonds placé uniquement en support puisque j'avais fait un arbitrage il y a 3 mois en prévision de ce retrait. J'ai téléphoné le 1er octobre car le retrait total ne peut pas se faire en ligne. On m'a posé un tas de question: pourquoi? vous devriez demander plutôt une avance, qu'allez vous faire avec votre argent? etc, etc .....Puis on m'a dit d'envoyer un courrier car ils ne pouvaient pas prendre d'ordre par téléphone. Courrier posté le 4/10. Le 8/10 coup de fil, encore un tas de questions, les mêmes que le 01/10. le 20/10 je reçois un mail me demandant de les appeler pour faire le point. J'ai répondu au mail. Nous sommes le 26, mon contrat n'est toujours pas clôturé. C'est lamentable, pour les prélèvements automatiques ils sont très ponctuels, certaines fois mêmes ils prélèvent avant la date prévue, mais pour récupérer son argent c'est le parcours du combattant. Très mécontent. Je ne recommande pas du tout cet assureur</t>
  </si>
  <si>
    <t>MACIF</t>
  </si>
  <si>
    <t>26/10/2021</t>
  </si>
  <si>
    <t>snoopy-61288</t>
  </si>
  <si>
    <t>QUATRE MOIS !!! que mon véhicule est chez le carrossier
(agréé Pacifica) et toujours pas de date prévisionnelle de fin de travaux.Pacifica n'intervient pas malgré toutes mes demandes.Merci le service client.
À ÉVITER ABSOLUMENT</t>
  </si>
  <si>
    <t>09/02/2018</t>
  </si>
  <si>
    <t>sam2112-76686</t>
  </si>
  <si>
    <t xml:space="preserve">Neoliane je déconseille cette mutuelle à tous le monde ma grand-mère est cliente pour le moment et je peut dire que des quelles arrivera à la date de fin il est or de question quelle y reste il sont incapables de rembourse les soins de leur clients ce sont de enpoter </t>
  </si>
  <si>
    <t>12/06/2019</t>
  </si>
  <si>
    <t>mexar-71734</t>
  </si>
  <si>
    <t>Facile et pas cher de s'assurer chez l'olivier. Leur interface web est vraiment bien.
Par contre, après deux ans a avoir été assuré chez eux, j'ai changé ma situation personnelle et décider de vivre dans un camping car en digital nomade. N'ayant donc plus de domicile fixe, je sortait de leurs cases à cocher et ils m'ont viré comme un malpropre. Quelques secondes après, mon contrat était résilié sur mon espace perso...</t>
  </si>
  <si>
    <t>28/02/2019</t>
  </si>
  <si>
    <t>01/02/2019</t>
  </si>
  <si>
    <t>jean-christophe-52522</t>
  </si>
  <si>
    <t>Aucun accident mais une panne à 100 km de chez moi. Retour à mon domicile en taxi et prise en charge immédiate de la moto par un garagiste agrée. Service téléphonique impeccable</t>
  </si>
  <si>
    <t>17/02/2017</t>
  </si>
  <si>
    <t>celine-107513</t>
  </si>
  <si>
    <t xml:space="preserve">Cela fait 2 ans, qu ils me doivent un arrêt maladie, on me demande des papiers inutiles, on me dit qu on va faire quelque chose et à chaque fois, on me demande n importe quoi. Cela fait 2 ans qu on me balade et je ne prendrais plus jamais cette mutuelle. Elle ne paye pas et ne répond jamais à mes email. Ils sont incompétent. Je suis très déçu et ne recommande surtout pas cette assurance, à fuir. </t>
  </si>
  <si>
    <t>antoine-g-108470</t>
  </si>
  <si>
    <t>Bonjour , pour la golf , pas de problème , pour la mégane qui ne roule pas du tout depuis que j'ai la golf , c’est beaucoup trop cher. Elle est immobilisée .</t>
  </si>
  <si>
    <t>30/03/2021</t>
  </si>
  <si>
    <t>ninou-93390</t>
  </si>
  <si>
    <t>il a fallu les appeler plusieurs fois pour obtenir satisfaction.Les demandes des clients sont ignorées si vous n'insistez pas.tout est bon pour payer mais quand vous avez un probleme c'est une autre paire de manche
a fuir!!!!!!!!!!!</t>
  </si>
  <si>
    <t>07/07/2020</t>
  </si>
  <si>
    <t>01/07/2020</t>
  </si>
  <si>
    <t>erick51-139628</t>
  </si>
  <si>
    <t>Ma première impression concernant Lolivier assurance était bonne , agréable , réactif ...Je suis chez vous depuis environ 1 an et demi . Je vous ai contacté il y a quelques jours pour vous expliquer que ma situation financière était compliquée ce mois . J'ai demandé à l'interlocuteur de pouvoir lisser ma mensualité, on m'a répondu que ce n'était possible ! J'ai donc expliqué vouloir trouver une solution.. On m'a répondu que c'était mon premier problème que je n'aurais pas les frais de 20 euros que je devrais régler le mois prochain ! Mais depuis ce matin je suis harcelé, mise en demeure ,recommandé, vous me réclamer 2 mensualité + frais ...J'ai voulu éviter les problèmes et au final je vois que c'est tout le contraire ! Je vais vous régler ce que je vous dois et je change d'assurance.</t>
  </si>
  <si>
    <t>15/11/2021</t>
  </si>
  <si>
    <t>01/11/2021</t>
  </si>
  <si>
    <t>dan-74503</t>
  </si>
  <si>
    <t xml:space="preserve">Les tarif de devis son intéressant, mais après faire très attention tout changement à un prix .
pour moi entre 30 euros et 50 euros par modification ,lors du devis la date de carte grise a changé  la nouvelle carte grise ne mettait par encore parvenu des services de l'etat ,donc pour le devis j'ai donné la date du document en ma possession .
Augmentation annuelle de 34 euros de ma prime pas ponctuel mais bien annuelle pour ce changement.Très bien j'accepte le contrat je paye le supplément .
Quelques jours plus tard ,je demande par téléphone si il est possible d'avancer la dates d'effet de deux jours de mon contrat ,effectivement c'est possible par contre je ne suis pas informé que cela augmente ma prime annuelle de 44 euros ,je les appelle pour leur dire que je ne suis pas d'accord,il doit y avoir une erreur.
Il vont faire remonter l'information et il me recontacteront ,après quelques jour je rappelle,nous nous En occupons il n'est pas nécessaire de rappeler.
Plusieurs semaines passe j'envoie un mail.
Et la je suis contacté par téléphone.
Sois je signe le nouveau contrat avec la nouvelle prime sois je ne suis plus assuré dans trois jour.
Franchement qui accepterait de payer 44 euros tout les ans pour avancer de deux jours sont contrats 
Je suis client Axa pour toutes nos assurances professionnel et personnel depuis 20 ans  ,pour ce véhicule qui était mon véhicule de fonction dans ma société puisqu'il a été remplacé par un autre ,j'ai pensé que direct assurance filiale AXA certes moins cher pouvait être à la hauteur.
Je me pose aujourd'hui beaucoup de questions car l'ensemble de nos assurances au sein du groupe axa assurances son importantes nous n'avons jamais eu à solliciter notre couverture.serait-on confronté au même traitement.
Voilà mon avis 
</t>
  </si>
  <si>
    <t>27/03/2019</t>
  </si>
  <si>
    <t>01/03/2019</t>
  </si>
  <si>
    <t>sayit-riza-s-113691</t>
  </si>
  <si>
    <t>les prix sont corrects de l'assurance auto pour jeune conducteur (première assurance) si on peut payer directement car en "mensualisé", le prix monte vite !</t>
  </si>
  <si>
    <t>14/05/2021</t>
  </si>
  <si>
    <t>salles-t-126872</t>
  </si>
  <si>
    <t>je suis satisfait du service, les prix me conviennent parfaitement, le service téléphonique est impeccable et sait répondre à mes attentes, je recommanderai a mon entourage.</t>
  </si>
  <si>
    <t>biscotte2-63932</t>
  </si>
  <si>
    <t>Axa dépannage' laisse personne en situation de handicap en panne sur la route pendant 4h lui promettant une dépannage dans mois d une heure qui finalement ne viendra pas car refus du depanneur de se déplacer</t>
  </si>
  <si>
    <t>12/05/2018</t>
  </si>
  <si>
    <t>01/05/2018</t>
  </si>
  <si>
    <t>sunfamily-54819</t>
  </si>
  <si>
    <t>très déçu par cette assurance, depuis le passage par Europe Assistance le 1er janvier 2017 il n'y a plus de rapatriement des passagers, en clair on rapatrie votre véhicule, et vous débrouillez vous avec vos bagages et vos enfants, c'est une honte et tout le monde se renvoi la balle, aucunes réponses claires du services clients.</t>
  </si>
  <si>
    <t>20/05/2017</t>
  </si>
  <si>
    <t>fetaya-76392</t>
  </si>
  <si>
    <t xml:space="preserve">Prix et couverture en adéquation, plutôt moyen, mais délai de traitement des remboursements inacceptable, 7 semaines de retard dans </t>
  </si>
  <si>
    <t>jo-89682</t>
  </si>
  <si>
    <t>Tellement gentille et efficace, temps de réponse rapide. Quel plaisir d avoir en ligne des personnes si professionel</t>
  </si>
  <si>
    <t>15/05/2020</t>
  </si>
  <si>
    <t>01/05/2020</t>
  </si>
  <si>
    <t>peltier-s-133026</t>
  </si>
  <si>
    <t>Très satisfaite je recommande vivement. Prix satisfaisant . Démarche rapide tout est bien expliqué. Je recommande lolivier assurance. Merci pour tout.</t>
  </si>
  <si>
    <t>15/09/2021</t>
  </si>
  <si>
    <t>christophe-57852</t>
  </si>
  <si>
    <t>Très mécontent de la prestation de mon ancien assureur. 
Les tarifs étaient compétitifs la première année - prix d'appel- puis ont augmenté de plus de 50% sur 4 ans avec pourtant un bonus en progression chaque année ( 0 ACCIDENTS)
Aucune souplesse. Tout est automatique et les conseillers, après le quart d'heure d'attente réglementaire ne peuvent rien faire "à cause du système". A éviter absolument.</t>
  </si>
  <si>
    <t>06/10/2017</t>
  </si>
  <si>
    <t>allart-64390</t>
  </si>
  <si>
    <t>contact très agréables et très bien expliqué SUR LES POINTS PRINCIPAUX</t>
  </si>
  <si>
    <t>01/06/2018</t>
  </si>
  <si>
    <t>delaune-m-129088</t>
  </si>
  <si>
    <t>contact facile
mes demandes ont été prises en compte.
appel téléphonique très cordial
je recommande pour les prix et toutes les explications du contrat</t>
  </si>
  <si>
    <t>23/08/2021</t>
  </si>
  <si>
    <t>lill06-105218</t>
  </si>
  <si>
    <t xml:space="preserve">Très mécontente de Néoliane  je n'arrive pas a me faire rembourser quand on leur téléphone il dise s'est en court de traitement mais toujours rien a se jour pourtant ils sont bien reçu mes documents car il m'ont envoyer un mail avec les documents reçu j'attends un remboursement depuis le 9 février et depuis le 18 février a se jour toujours rien par contre il paie les pharmacies et les laboratoires   </t>
  </si>
  <si>
    <t>02/03/2021</t>
  </si>
  <si>
    <t>fafa-53379</t>
  </si>
  <si>
    <t>Difficile de juger la performance de l assureur qd on a pas eu de sinistre.
dommage qu il ne soit pas possible de choisir le montant de la franchise pr l assurance tout risque.</t>
  </si>
  <si>
    <t>18/03/2017</t>
  </si>
  <si>
    <t>01/03/2017</t>
  </si>
  <si>
    <t>mege-montelimard-c-139495</t>
  </si>
  <si>
    <t xml:space="preserve">analyse rapide de la situation
traitement rapide et efficace de mon dossier
personnes agréables et professionnelles
aide et assistance pour la finalisation du contrat
infor
</t>
  </si>
  <si>
    <t>12/11/2021</t>
  </si>
  <si>
    <t>sofia-53493</t>
  </si>
  <si>
    <t xml:space="preserve">Assurance Habitation PRIVATIS CONFORT avec protection juridique.
Aujourd'hui j'ai un souci avec mon employeur et mon assurance me dit qu'il ne prenne pas en charge les litiges professionnels ...Me l'a t 'on signalé ? NON .
Est ce noté sur mon contrat NON.
Protection juridique confort .. Tout simplement.
Je paie cette une assurance depuis de nombreuses années et houppss pas assurée.
Je vais immédiatement chercher un assureur plus sérieux.
</t>
  </si>
  <si>
    <t>Groupama</t>
  </si>
  <si>
    <t>22/03/2017</t>
  </si>
  <si>
    <t>rui-mendes-93830</t>
  </si>
  <si>
    <t xml:space="preserve">Je suis ravi de vos services par le passé. La qualité/prix est très convenable et par ailleurs m’a beaucoup attiré.
Globalement je suis ravi des services proposés. </t>
  </si>
  <si>
    <t>11/07/2020</t>
  </si>
  <si>
    <t>jacob-a-115877</t>
  </si>
  <si>
    <t>Rapport qualité/prix intéressant, conseillers réactifs et à l’écoute; C’est ma première souscription à une assurance auto et j’ai été ravie de l’accompagnement pas à pas par les télé-conseillers qui m’ont expliqué les diverses modalités de ce contrat et ont répondu à toutes mes questions.</t>
  </si>
  <si>
    <t>03/06/2021</t>
  </si>
  <si>
    <t>mandiana-l-122322</t>
  </si>
  <si>
    <t>les prix ne me convienne pas, vos tarifs sont erronés. je ne conseille pas du tout. je refais un devis avec les même information et j'obtient une différence de 100 euros</t>
  </si>
  <si>
    <t>04/07/2021</t>
  </si>
  <si>
    <t>juninger-80003</t>
  </si>
  <si>
    <t xml:space="preserve">J'ai fait une demande de rachat partiel, il y a trois semaines, Aucune nouvelle sur mon compte, sinon que mon conseiller possède bien l'information et rien ne se passe. J'ai absolument besoin de cet argent pour payer mes impôts fonciers... Ce retard est extrêmement pénalisant ... surtout dans l'impossibilité de joindre les conseillers qui ne rappellent pas au service proposé.... </t>
  </si>
  <si>
    <t>Afer</t>
  </si>
  <si>
    <t>14/10/2019</t>
  </si>
  <si>
    <t>kevinn-78315</t>
  </si>
  <si>
    <t xml:space="preserve">Super ! J'ai eu de très bon conseil ! La dame a répondu à toutes mes question, m'a aider pour l'es manipulation sur internet. Merci à Caroline pour ce moment agréable </t>
  </si>
  <si>
    <t>09/08/2019</t>
  </si>
  <si>
    <t>cheyen-88674</t>
  </si>
  <si>
    <t>nous avons deux sinistre chez eu qui ne sons pas résolue sa fais plus de deux mois .pas de nouvelle des expert j'ai voulus faire les travaux moi même il mon demander une facture d'achat de matériaux qui s'élève a 350€ et eu me propose tout comprit 345€ il se foute de nous assurance a fuir  nous et tous nos amie parton de cette assurance.aucune nouvelle des expert non plus il save vous prélever tout les mois mais c'et la seule chose ou il vont vite et save faire nous avons déposer une main courante et bientôt une plainte si sa se résous pas preuve en mains de nos dégât sa va faire le tour des réseaux sociaux    enfin dégoutter</t>
  </si>
  <si>
    <t>03/04/2020</t>
  </si>
  <si>
    <t>01/04/2020</t>
  </si>
  <si>
    <t>jose-a-129465</t>
  </si>
  <si>
    <t xml:space="preserve">tarif sont très abordables
rapidité à l'inscription en suivant la procédure
Dommage que les documents à envoyer ne soient pas indiqué au début (ou pas vu ?)
</t>
  </si>
  <si>
    <t>25/08/2021</t>
  </si>
  <si>
    <t>virginie-65706</t>
  </si>
  <si>
    <t xml:space="preserve"> j’ai été victime d’un cambriolage.  je n’ai aucune nouvelle de la Macif. je me rend à 2 reprises  à l’agence de Montreuil à l’heure d’ouverture, mais celle-ci était fermée, sans aucun mot pour en aviser les clients. 
J’ai composé le numéro suivant : 01 55 56 57 58 auquel, il m’a fallu appeler plusieurs fois pour obtenir une réponse cohérente (j’ai été mené en bateau) voici les réponses des agents au téléphone :
- 1er appel, il m’a été donné un rendez-vous téléphonique, qui d’ailleurs a été annulé dans l’après-midi. Je tiens à préciser que l’agent d’accueil a refusé de me donner le nom de la personne qui devait me contacter, après avoir insisté elle m’a répondu qu’elle ne le connaissait pas. Ce qui aurait facilité les contacts en cas de besoin avec cet inconnu personne.
2er appel, j’ai obtenu un rendez-vous en urgence mais le lendemain aucun appel .
3er appel, J’explique ma situation, l’agent me répond que les appels au client sont sous 48 h.
j’envoie 2 courriers dont un en accusé de réception dont je n’ai aucune réponse. Je rappelle l’hôtesse me dit que personne ne c’était occupé de mon dossier.  Je retourne à l’agence et là c’est le pompon, la personne daigne envoyer un mail de réclamation à sa chef et me demande d’attendre une semaine pour la réponse, et de revenir la voir si je n’ai pas de réponse, ainsi elle lui téléphonera. LA VRAIMENT ELLE C’EST FOUTU DE MOI !!! 
</t>
  </si>
  <si>
    <t>24/07/2018</t>
  </si>
  <si>
    <t>fabyen58-92687</t>
  </si>
  <si>
    <t xml:space="preserve">Les prix me conviennent
Les garanties me suffisent
En attente de ce que va me proposer mon actuelle assurance qui pacifica du crédit agricole. J’attends mon rdv
</t>
  </si>
  <si>
    <t>29/06/2020</t>
  </si>
  <si>
    <t>anne-marie-54596</t>
  </si>
  <si>
    <t>Aucun remboursement de frais de santé depuis janvier 2017. En réponse à ma réclamation du 9 mai, c'est de la faute de la communication d'Harmonie avec la MGEN et c'est aux adhérents de se débrouiller pour pallier l'anomalie !
A qui profite financièrement cette situation ? A Harmonie Mutuelle bien sûr, qui dispose ainsi de capitaux à faire fructifier aux dépens des adhérents. 
Je n'admets pas ces pratiques, d'autant plus que je suis une personne âgée à petit budget.
JE VAIS SAISIR l'UFC QUE CHOISIR, ce qui constituera au moins une mauvaise publicité pour cette mutuelle.</t>
  </si>
  <si>
    <t>Harmonie Mutuelle</t>
  </si>
  <si>
    <t>11/05/2017</t>
  </si>
  <si>
    <t>juliens-113981</t>
  </si>
  <si>
    <t xml:space="preserve">Très chère : après rapide calcul, on se rends compte que même si il nous arrive toutes les catastrophes, le cout de la mutuelle sera toujours supérieur à ce qu'elle rembourse.
De plus, aujourd'hui, j'ai essayé de les joindre 8 fois  : 16 min de répondeur à chaque fois avant que ca raccroche...
Je n'ai jamais vu ca. </t>
  </si>
  <si>
    <t>17/05/2021</t>
  </si>
  <si>
    <t>sab-s-123529</t>
  </si>
  <si>
    <t>Je suis relativement satisfait de votre assurance et je vais la recommander à mes amies.
Il faudrait pouvoir faire plus de choses depuis l'application</t>
  </si>
  <si>
    <t>15/07/2021</t>
  </si>
  <si>
    <t>kaww--97666</t>
  </si>
  <si>
    <t xml:space="preserve">. Les prix faut pas en parler, quand tu va les voir, la dame t’explique clairement qu’elle s’en fou que tu sois satisfait ou pas, elle dis que sa clientele reste la meme (insolence en plus) donc axa plus jamais . </t>
  </si>
  <si>
    <t>21/09/2020</t>
  </si>
  <si>
    <t>zazabelle06-52031</t>
  </si>
  <si>
    <t>Mutuelle obligatoire d'entreprise
Mon mari apparaissait bien l'année dernière il avait sa propre carte 
cette année je suis seule assurée je ne sais pas d'où ils ont sorti que mon mari avait sa propre mutuelle obligatoire car il ne travail pas 
 j'ai envoyé via mon entreprise les documents que l'on me réclame et j'attends toujours mais sans plus d'espoir
J'ai voulus m'inscrire sur leur site pour en savoir plus
 pour cela ont nous demande bien sûr le n° d'adhérent et les 7 derniers chiffres de mon IBAN
Impossible 
mon IBAN n'est soit disant pas correct  sauf que je sais encore lire un IBAN sur mon relevé de compte</t>
  </si>
  <si>
    <t>Génération</t>
  </si>
  <si>
    <t>04/02/2017</t>
  </si>
  <si>
    <t>stacymael31-90239</t>
  </si>
  <si>
    <t xml:space="preserve">À fuir, ne sont pas du tout professionnel. Aucune éthique. Proposition d'offre inadapté. </t>
  </si>
  <si>
    <t>05/06/2020</t>
  </si>
  <si>
    <t>gizou48-59283</t>
  </si>
  <si>
    <t xml:space="preserve">Un deviis assurance auto par internet = 341,90
Le contrat rédigé par MATMUT = 378,20
Leur explication ; devis ne comprend pas garantie corporelle et protection juridique;
</t>
  </si>
  <si>
    <t>laetitia-b-130767</t>
  </si>
  <si>
    <t>Je suis relativement satisfaite car j'ai peu de sinistre... mais le manque d'informations lors de mon dernier problème avec ma voiture a été dommage. 
Avoir une voiture de prêt avec une franchise aussi énorme n'est pas normal ! On est prix au dépourvu et c'est pas agréable...
Concernant le prix de l'assurance, je trouve que peu d'offre son faite aux anciens clients alors que des offres sont proposées au nouveaux clients. Peut être vais je devoir comparer avec la concurrence... a Suivre</t>
  </si>
  <si>
    <t>theradioshow-111304</t>
  </si>
  <si>
    <t xml:space="preserve">Rien a dire de négatif sur cette assurance. Le fait que la grande majorité des démarches se fassent en ligne me convient très bien. Coté garantie je n’ai jamais eu encore à faire jouer mon assurance mais j’ai le sentiment d’être considéré et bien protégé entant que motard. </t>
  </si>
  <si>
    <t>sousou-63357</t>
  </si>
  <si>
    <t xml:space="preserve">Adhérente depuis 2013, Bonne écoute des besoins, des prix raisonnables et toujours dans disponible pour répondre aux diverses questions </t>
  </si>
  <si>
    <t>18/04/2018</t>
  </si>
  <si>
    <t>chris-110400</t>
  </si>
  <si>
    <t>Assurance qui souscrit des options sans en informer le client, je signe un Montant par téléphone, je vois que ca ne correspond pas du tout aux prélèvements quelques mois plus tard, on m'explique au service client qu'ils y feront rien. Je reçois un ans plus tard (sans accident) une note comme quoi en plus d'avoir une assurance qui ne correspond pas au devis, ma prime annuelle va augmenter. C'est la première assurance que je vois ou ca augmente tous les ans. a fuir</t>
  </si>
  <si>
    <t>Mutuelle des Motards</t>
  </si>
  <si>
    <t>eliseemelina-81522</t>
  </si>
  <si>
    <t>Ma voiture est sinistree depuis le 20/08/19 depuis je les relance CHAQUE semaine mais jamais de reponses concretes.... recemment un expert me contacte pour me dire qu il va y avoir une reconstitution ....en decembre soit 4 mois apres !! On met rentre dedans il'y a un responsable mais direct assurance prefere embeter ses clients ! Honteux  !! Asssurance a eviter a tout prix ! 
Par contre ils ont su etre tres reactifs pour me facturer 40 euros de frais de dossier quand j ai demenager !, a fuir....</t>
  </si>
  <si>
    <t>01/12/2019</t>
  </si>
  <si>
    <t>fitim-m-132182</t>
  </si>
  <si>
    <t xml:space="preserve">Assuré depuis trois ans, très satisfait 
Service de qualité et prise en charge rapide 
Prix parmi les plus attractifs dans les différents types d'assurance
A recommander  </t>
  </si>
  <si>
    <t>dany40-122377</t>
  </si>
  <si>
    <t>Assurée depuis plus de 5 ans, opérée de la cataracte, seule demande de remboursement depuis que je suis inscrite chez eux, impossible de me faire rembourser. Cegema ne répond pas aux courriers, soi-disant, ils ne prennent en compte que les mails mais, même là, c'est le silence absolu.
Mutuelle à proscrire absolument.</t>
  </si>
  <si>
    <t>berville-138453</t>
  </si>
  <si>
    <t>Suite à l'entretien téléphonique que j'ai eu ce matin avec LARBI, j'ai obtenu les renseignements demandés rapidement et clairement.
Personne aimable et compétente.
Merci encore
Mme DELAMARE</t>
  </si>
  <si>
    <t>28/10/2021</t>
  </si>
  <si>
    <t>maelletaiko-94171</t>
  </si>
  <si>
    <t>Bonjour, je n'ai aucun avis à donner pour le moment étant donné que je n'ai encore rien souscrit chez vous pour le moment, merci beaucoup.
Maëlle REYMANN</t>
  </si>
  <si>
    <t>15/07/2020</t>
  </si>
  <si>
    <t>emilia-m-123365</t>
  </si>
  <si>
    <t>Le prix est intéressant mais la franchise  reste un peu élevée. La souscription est simple et rapide. Je recommande votre assurance auprès de mes collègues motards</t>
  </si>
  <si>
    <t>APRIL Moto</t>
  </si>
  <si>
    <t>13/07/2021</t>
  </si>
  <si>
    <t>yannsolol-96872</t>
  </si>
  <si>
    <t>A partir d'un devis effectué en ligne, le processus de souscription est non seulement très simple, mais aussi étonnamment rapide !
En moins de 15 minutes, le temps de rentrer nos informations personnelles, et de procéder au paiement des trois premières mensualités de la prime, la carte verte provisoire était déjà envoyée sur mon adresse mail. Et en quelques minutes supplémentaires, nécessaires pour déposer permis, carte grise et relevé d'assurance directement depuis mon espace client, le dossier était complet, et la carte définitive envoyée en moins de 48h.
Surtout, le tarif est vraiment très intéressant, je suis passé de près de 65€ à 30€ mensuels !
Merci L'Olivier !</t>
  </si>
  <si>
    <t>31/08/2020</t>
  </si>
  <si>
    <t>01/08/2020</t>
  </si>
  <si>
    <t>julien-l-128466</t>
  </si>
  <si>
    <t>Je suis satisfait du service : simple et pratique !
Les modifications de contrat et les devis se font d'un simple clic.
Les prix proposés sont corrects.</t>
  </si>
  <si>
    <t>18/08/2021</t>
  </si>
  <si>
    <t>jean-christophe-d-133828</t>
  </si>
  <si>
    <t>Très bien, pour l’instant…
J’espère ne jamais avoir besoin de vérifier les remboursements
Si je continue a être satisfait, je mettrai mes autres véhicules</t>
  </si>
  <si>
    <t>21/09/2021</t>
  </si>
  <si>
    <t>cc-80432</t>
  </si>
  <si>
    <t xml:space="preserve">très bonne assurance auto, mais chère dans le temps , bonne prestation en cas de problème bien sur assuré en tout risque, j'y ai eu un problème seule à 300KM de chez moi je montais en Normandie en famille, j'ai appelé pacifica( crédit agricole), dans les 30 minutes qui ont suivi le dépanneur était la , a remorqué mon véhicule, puis l'assurance m'a demandé pour la prise en charge soit que je continuais mon chemin ou soit je retournais chez moi , s'était soit l'un ou l'autre , un taxi m'a donc ramené chez moi avec mon fils de 12 ans,  puis ils m'ont payé les frais km pour aller récupérer mon véhicule , dommage le prix est chère au fil des années , si vous avez plusieurs compte chez eux , vous avez 10/20% de votre assurance , je la conseille pour les jeunes permis au bout d'un an de permis , vous passez un stage gratuit d'une matinée et en acceptant ce stage vous avez 10% l'année suivante sur votre adhésion </t>
  </si>
  <si>
    <t>26/10/2019</t>
  </si>
  <si>
    <t>kuhn-p-112921</t>
  </si>
  <si>
    <t>je suis satisfait du service, les prix sont correctes à recommander je suis satisfait du service, les prix sont correctes à recommanderje suis satisfait du service, les prix sont correctes à recommanderje suis satisfait du service, les prix sont correctes à recommander</t>
  </si>
  <si>
    <t>06/05/2021</t>
  </si>
  <si>
    <t>lagoutte-j-125610</t>
  </si>
  <si>
    <t>Rapide et efficace j'ai pu faire mes demarches en une petite dizaine de minutes, ce qui est globalement satisfaisant. Il me reste a produire les documents.</t>
  </si>
  <si>
    <t>tchounette-68291</t>
  </si>
  <si>
    <t xml:space="preserve">adhérent depuis 2015 avec néoliane . je sius satisfaire de la rapidité des remboursements mais je trouve la cotisation excessive par rapport à mes besoins. </t>
  </si>
  <si>
    <t>02/11/2018</t>
  </si>
  <si>
    <t>jpperdereau-51764</t>
  </si>
  <si>
    <t xml:space="preserve">Client génération depuis plusieurs années, nous avons appris il y a 2 semaines, via notre pharmacien qui nous demandait notre attestation tiers payant, que nous n'étions plus couvert... Après contacts téléphoniques (on ne nous rappelle jamais) et mails sans réponses... nous avons appris que nous n'avions plus de mutuelles santé chez génération mais que notre "contrat" avait été transféré chez CETIM. Chez CETIM, on ne nous trouve pas, on promet également de nous rappeller mais rien. Aujourd'hui, on apprend que nous aurons notre attestation mi février si tout va bien. Aucun courrier, aucun mail, aucun appel pour nous informer... On se fait jeter comme cela les arrange et sans savoir pourquoi !!! donc contrat résilié, j'ai fait opposition sur les prélèvements bancaires et je vais voir ailleurs.... Il serait temps que nos politiques mettent leur nez dans ces mutuelles.... </t>
  </si>
  <si>
    <t>27/01/2017</t>
  </si>
  <si>
    <t>renate-k-101177</t>
  </si>
  <si>
    <t xml:space="preserve">Bonjour, j'ai eu à souscrire après avoir eu mon permis en juillet 2019. Le tarif  proposé pour une Opel corsa D de 2008 (80ch) était d'environ 114€. Plutôt cher à mon avis, parce que j'ai vu moins cher ailleurs mais je ne me méfiais juste des autres assureurs. J'ai souscrit à une offre tiers+vol+0km dépannage. Concernant les services, j'ai été satisfaite car j'y ai eu recours (2fois) au service dépannage et c'est l'assurance qui a payé à ma place. La panne mécanique que j'ai eu concernant l'embrayage n'a pas été couverte et donc je l'ai payé de ma poche (600€ quand même!) mais je ne sais si c'est possible avec une couverture supérieure. 
J'ai également pu demander une modification de la date de prélèvement (du 5 au 10) parce que je travaille à coté et je perçois mon revenu après le 5 de chaque mois.
Après une année, je suis passée au coefficient 0,95 et à un prix de 91€ environ, c'est qui est une baisse plutôt conséquente surtout pour une étudiante comme moi qui doit faire attention à ses dépenses. Jusqu'à présent, je n'ai jamais eu de problème. En cas de forte affluence, j'ai rarement attendu plus de 10min et moins en dehors. 
J'ai changé d'assureur car ma conseillère en banque m'a proposé une offre me permettant de ne plus payer mes frais bancaires et une négociation au niveau du prix. Aussi, j'ai voulu rassembler tous mes contrats dans une seule et même institution au lieu de tout dispatcher parce que ça me facilite les démarches puisque je ne me déplace qu'à un seul endroit. </t>
  </si>
  <si>
    <t>09/12/2020</t>
  </si>
  <si>
    <t>bellet-n-116013</t>
  </si>
  <si>
    <t xml:space="preserve">JE SUIS SATISFAIT DE MON CONTRAT AUTO CHEZ L OLIVIER.FR
je recommande cet assurance pour son efficaciter et rapidité a faire les contrat auto et la simplicité du site.
</t>
  </si>
  <si>
    <t>damnshiroo-101589</t>
  </si>
  <si>
    <t xml:space="preserve">Je mets 3 étoiles au niveau des prix car bénéficiant de cette mutuelle avec mon ancien emploi, je ne la paye pas de moi-même et donc je ne connais pas les tarifs. J'imagine que les prix ne sont pas donnés vu la qualité de cette mutuelle.
Contrairement à la majorité des avis que je vois (peut-être que j'ai de la chance?) je trouve cette mutuelle vraiment top. Ils sont disponibles facilement et très gentils : j'avais pris du retard sur les deux mois max pour la portabilité de mes droits, et ils ont quand même accepté de me prolonger ! Ça fait plaisir une mutuelle indulgente.
Pour ma part, ils me remboursent super rapidement et très bien, mais j'imagine que ça dépend des accords avec l'entreprise en question. En tout cas j'en suis très satisfaite et si j'ai les moyens plus tard d'y rester je le ferai sans doute. </t>
  </si>
  <si>
    <t>17/12/2020</t>
  </si>
  <si>
    <t>typhaine-d-98039</t>
  </si>
  <si>
    <t xml:space="preserve">Je suis satisfait  de votre devis en plus  vous prenez les jeune conduiteur  
mes si jai fait 2 ans de conduite  supervise  est vous aussi  vous assurer  le jour même est je vous est trouvé  grâce  à une des mes collègues  qui est aussi jeune  conduitrise 
</t>
  </si>
  <si>
    <t>anastasia-g-118079</t>
  </si>
  <si>
    <t>après un sinistre j'ai ete très bien prise en charge j'en suis très satisfaite de cette assurance auto , j'attends maintenant la prise en charge corporel</t>
  </si>
  <si>
    <t>24/06/2021</t>
  </si>
  <si>
    <t>maud-p-124497</t>
  </si>
  <si>
    <t>Je suis satisfaite de la facilité de souscription à mon assurance habitation et de la facilité de navigation sur le site et la fluidité des questions.</t>
  </si>
  <si>
    <t>24/07/2021</t>
  </si>
  <si>
    <t>regnier-p-116522</t>
  </si>
  <si>
    <t xml:space="preserve">Je suis satisfait de toutes les conditions proposées
Je suis également du tarif proposé et également de toutes les options que j'ai choisies
Je recommande DIRECT ASSURANCE </t>
  </si>
  <si>
    <t>dominique-s-115008</t>
  </si>
  <si>
    <t>je suis content de direct assurance. rien a dire sur les prix. le moins cher du marché.. je recommande direct assurance a toute personne ne voulant pas dépenser une fortune tout en ayant une bonne couverture.</t>
  </si>
  <si>
    <t>27/05/2021</t>
  </si>
  <si>
    <t>joel-104325</t>
  </si>
  <si>
    <t xml:space="preserve">Entièrement satisfait de l'AFER, et ce depuis au moins 25 ans
Très bonne rentabilité - meilleure que le CAC40 - Très bonne gestion du Directoire
Aucun problème pour les placements, ni pour les rachats
J'ai eu 2 successions suite à 2 décès : tout c'est très bien passé
Je n'arrète pas de parler de l'AFER à mon entourage : j'ai fais ouvrir des dizaines de dossier à mes amis et à toute ma famille
Je ne peux que recommander l'AFER à qui cherche à placer son argent avec plus ou moins de rendement donc plus ou moins de risque (au choix de l'adhérent) </t>
  </si>
  <si>
    <t>17/02/2021</t>
  </si>
  <si>
    <t>jose-80222</t>
  </si>
  <si>
    <t xml:space="preserve">prix attractif facilité de contact tel trés bon accueil et bonne compréhension de la relation client 
dernier exemple j'ai reçu ma prime annuelle avec une augmentation de 30% j'ai telephonné pour que l'on m'explique et comprendre les raisons de mon augmentation
au telephone l'attente fut brève et l'accueil de qualité   </t>
  </si>
  <si>
    <t>19/10/2019</t>
  </si>
  <si>
    <t>bibou2b--102621</t>
  </si>
  <si>
    <t xml:space="preserve">Bonjour 
Il y a 4 semaines j'ai informé Allianz que j'étais bénéficiaire d'une assurance vie. J'ai fourni de suite le certificat de décès. On devait m'appeler dans les 15 jours. A aujourd'hui toujours rien malgré mes appels et mes mails. Il paraît qu'il y a beaucoup de décès. On se moque de qui....
Quel recours ?? Je voudrai éviter de faire intervenir une association de consommateurs ou un avocat. 
Je souhaiterai une finalité à l'amiable et rapide. </t>
  </si>
  <si>
    <t>13/01/2021</t>
  </si>
  <si>
    <t>alameda-68396</t>
  </si>
  <si>
    <t xml:space="preserve">Dégouté par la façon dont la MACIF traite les dossiers de sinistres. En fait elle ne traite rien. Elle classe. Négligence, désinvolture et mépris sont de mise afin de ne pas indemniser les sociétaires.
Mes parents, personnes âgées, sont sociétaires depuis plus de 30 ans, bons payeurs, aucun sinistre à leur actif.
Victimes d'un dégat des eaux ayant entraîné des travaux importants, plus de 10 000 euros.
Que penser de l'expert missionné ? Incompétent et négligent. A assuré qu'il ferait une "bonne expertise" "parce que les employés de MACIF, derrière leur bureau, n'avaient pas conscience de la détresse dans laquelle se trouvaient les sinistrés.  Au final, il a réalisé une expertise fantaisiste et n'a même pas communiqué à macif les devis et factures qui lui ont été remis. Expertise bidon.
La MACIF a donc décidé qu'elle n'intervenait pas dans ce dossier.
Après courrier auprès de la commission de recours, indemnisation de 880 euros au titre de recherche de fuite, alors qu'une gestionnaire leur avait annoncé, par téléphone, de manière désagréable, que les recherches de fuites n'étaient pas indemnisées.
</t>
  </si>
  <si>
    <t>20/11/2018</t>
  </si>
  <si>
    <t>jean-pierre-c-111111</t>
  </si>
  <si>
    <t xml:space="preserve">Conseiller très à l'écoute. Je recommande cette enseigne aux utilisateurs, que ce soit en motos ou en voitures et vous souhaite un excelle te journée. </t>
  </si>
  <si>
    <t>21/04/2021</t>
  </si>
  <si>
    <t>clement-54497</t>
  </si>
  <si>
    <t>Mutuelle sans scrupule qui prend les remboursements de ces adhérents en otage pour régler ses litiges avec l'employeur. Je suis a jour de mes cotisations et la mutuelle a suspendu mes garanties tant que mon ancienne entreprise paie sa part. Je n ai jamais été averti et je ne peux rien faire d autres qu'attendre... cela fait 5 mois... je déconseille fortement. Aucun sens commercial, l'adhérent n'est pas du tout considéré et traité comme un indésirable qui veut etre remboursé...</t>
  </si>
  <si>
    <t>05/05/2017</t>
  </si>
  <si>
    <t>laurent-61923</t>
  </si>
  <si>
    <t>Même si vous résilier à temps demande cotisation de l'année à venir
Assurance peut être moins cher mais les garanties sont elles aussi en moindre détails 
Service difficile à joindre</t>
  </si>
  <si>
    <t>02/03/2018</t>
  </si>
  <si>
    <t>caro49460-71097</t>
  </si>
  <si>
    <t>A fuir 
25 mn pour avoir un 
conseiller 
Dossier qui date de 3,5 ans
Sur une succession 
Toujours rien à ce jour
4 personnes au téléphone qui me disent que régularisé 
Ça date de 4 mois
Et vous n êtes pas plus avancés</t>
  </si>
  <si>
    <t>08/02/2019</t>
  </si>
  <si>
    <t>psaubier-102992</t>
  </si>
  <si>
    <t>Excellent service, garanties et site en ligne. Tout se fait facilement en ligne et les agents sont très faciles à joindre au cas où des informations complémentaires sont nécessaires  ... Excellent !</t>
  </si>
  <si>
    <t>21/01/2021</t>
  </si>
  <si>
    <t>louise-d-125925</t>
  </si>
  <si>
    <t>Très bon site. Les cotisations qui s'adaptent grâce au système "youdrive c'est malin et bien pensé pour les conducteurs respectueux. Bonne route à tous</t>
  </si>
  <si>
    <t>ulysse-01-95803</t>
  </si>
  <si>
    <t xml:space="preserve">A chaque fois que j'appelle Génération pour une question sur ma mutuelle ou pour un remboursement comme c'était  le cas la dernière fois, je suis toujours surpris ( dans le bon sens bien sûr ) non seulement de la rapidité des ses Conseillés et Conseillères,mais aussi et surtout de leurs Compétences, Professionnalisme et leur Amabilité . Mes sincères respects à toute l'Equipe de Génération.
Cordialement:  Williams  LONTSI  Marcel. </t>
  </si>
  <si>
    <t>31/07/2020</t>
  </si>
  <si>
    <t>piriou-g-109878</t>
  </si>
  <si>
    <t>les prix me conviennent, accueil téléphonique au top , bon rapport qualité prix, les informations données correspondent à ce que la personne m'a expliquer.</t>
  </si>
  <si>
    <t>10/04/2021</t>
  </si>
  <si>
    <t>benjamin-80-75948</t>
  </si>
  <si>
    <t>La MATMUT est ma première assurance et j'en suis assez satisfait. Les tarifs devraient être revus en l'absence de sinistre.</t>
  </si>
  <si>
    <t>15/05/2019</t>
  </si>
  <si>
    <t>01/05/2019</t>
  </si>
  <si>
    <t>fleury-v-111341</t>
  </si>
  <si>
    <t>Je suis satisfait du service. Les tarifs assurances sont très intéressants. Contact téléphonique appréciable. Je n'hésiterai pas à revenir vers vous pour d'autres contrats auto</t>
  </si>
  <si>
    <t>nabila-l-114421</t>
  </si>
  <si>
    <t xml:space="preserve">Je suis très satisfaite du service.
Simple et rapide avec des tarifs intéressants.
Très bon accueil et explications du conseiller.
Je recommande Zen'Up
</t>
  </si>
  <si>
    <t>Zen'Up</t>
  </si>
  <si>
    <t>20/05/2021</t>
  </si>
  <si>
    <t>biker-jaune-104654</t>
  </si>
  <si>
    <t xml:space="preserve">Nous avons contracté notre contrat auto via internet. Voila 4 mois que nous ne pouvons résilier notre contrat par internet, boite mail saturée et mail expedié direct a la corbeille. Je trouve cela scandaleux et inadmissible. Aujourd’hui plusieurs courriers recommandés A/R afin de resilier ce contrat. </t>
  </si>
  <si>
    <t>23/02/2021</t>
  </si>
  <si>
    <t>paul-m-105173</t>
  </si>
  <si>
    <t>Je gagne du bonus et pourtant aucune baisse de prix. Lorsque je fais une simulation en tant que nouveau client je suis a 50€ au dessous de ce qui m'est proposé en renouvellement de contrat. Je demande une assistance juridique depuis bientôt 10 jours et les services se revoient la balle... Personne n'est habilité à répondre à de simples questions.</t>
  </si>
  <si>
    <t>bibiano-a-127875</t>
  </si>
  <si>
    <t xml:space="preserve">Une Rapidité et une  efficacité super ,   bravo et merci pour votre professionnalisme je recommande votre assurance à tout mon entourage tournage merci 
</t>
  </si>
  <si>
    <t>13/08/2021</t>
  </si>
  <si>
    <t>laetitia-c-111933</t>
  </si>
  <si>
    <t>les prix sont élevés mais souscription rapide je ne sais pas si je renouvellerai mais j avais besoin d une assurance rapidement prix très cher pour un vehicule de 14 ans</t>
  </si>
  <si>
    <t>28/04/2021</t>
  </si>
  <si>
    <t>hd-123317</t>
  </si>
  <si>
    <t>J'ai été percuter sur une place de stationnement moto par une voiture en manœuvrant. Bien qu'étant non responsable de cet accident, j'attends toujours après 11 mois d'être remboursé des frais de réparation. 
Je déconseille donc vivement cette compagnie qui encaisse seulement les quittances mais fera son possible pour ne pas rembourser dans les délais en cas de sinistre. Pour mémoire le droit des assurances donne 3 mois à une compagnie pour rembourser un sinistre.</t>
  </si>
  <si>
    <t>xaviervdb-100050</t>
  </si>
  <si>
    <t>Spécialiste des tactiques pour retarder le paiement de l'assurance-vie aux héritiers.
Dernière (d'une longue série)  en date : au bout de 6 mois, ils m'expliquent que le RIB fourni est un rib étranger inutilisable (c'est celui que tout le monde utilise, dont le notaire en charge de la succession qui vient de me faire un virement). Je renvoie le RIB il y a 3 semaines : aucune nouvelle</t>
  </si>
  <si>
    <t>13/11/2020</t>
  </si>
  <si>
    <t>jean-michel-c-131150</t>
  </si>
  <si>
    <t>Globalement je suis satisfait mais je suis très déçu par la "protection juridique" qui n'apporte jamais de réponse claire et tranchée.
Si l'assuré a tort il faut le dire clairement et s'il est dans son droit également. Il serait bon de fournir les textes et règlementations en vigueur. S'il s'agit bien d'un "service juridique", j'ai du mal a admettre sa frilosité pour me défendre lors de plusieurs demandes.
Cordialement,
Mr Carles</t>
  </si>
  <si>
    <t>03/09/2021</t>
  </si>
  <si>
    <t>darmante-m-107218</t>
  </si>
  <si>
    <t>Pour le moment je suis satisfaite: j'attend maintenant la validation mais le site est simple, rapide! les prix proposés sont intéressants et le fait de proposer la dématérialisation (sans imposer!) c'est juste un gros plus! personnellement je suis partisane du scan et des signatures électroniques</t>
  </si>
  <si>
    <t>19/03/2021</t>
  </si>
  <si>
    <t>jfb-102799</t>
  </si>
  <si>
    <t>Réponse rapide et précise a la question posée.
Employée courtoise et compétente.
Tarif cher en rapport aux protections proposées en comparaison aux mutuelles dans le privée.</t>
  </si>
  <si>
    <t>18/01/2021</t>
  </si>
  <si>
    <t>alexandre-s-129505</t>
  </si>
  <si>
    <t>Je suis très satisfait de vos services. Je serai d’avantage plus satisfait avec une réduction sur ma cotisation. Tout en gardant les mêmes garanties que j’ai sur le contrat actuel.</t>
  </si>
  <si>
    <t>wf-86545</t>
  </si>
  <si>
    <t>Au bout de 2 ans de contrat d'assurrance vous n'êtes plus placé. Apres plusieurs appels, on vous dit que les prix ne peuvent pas bougés...bref on dit meme que l'on vous rappel et RIEN</t>
  </si>
  <si>
    <t>30/01/2020</t>
  </si>
  <si>
    <t>raslebol-76926</t>
  </si>
  <si>
    <t>aucune réponse dans un délai raisonnable ( 1 semaine). la société a un comportement arbitraire : un  double prelèvement mensuel a été mis en route alors que tout fonctionnait a peu près correctement depuis le précedent incident</t>
  </si>
  <si>
    <t>MetLife</t>
  </si>
  <si>
    <t>19/06/2019</t>
  </si>
  <si>
    <t>bilou64-109354</t>
  </si>
  <si>
    <t>Je félicite ANGELIQUE pour son aide précieuse, sa qualité d'écoute et ses réponses.
Par contre j'attends impatiemment de résilier cette assurance dont les remboursements "minimes" arrivent parfois jusqu'à 3 mois de retard</t>
  </si>
  <si>
    <t>06/04/2021</t>
  </si>
  <si>
    <t>sylric68-59330</t>
  </si>
  <si>
    <t>25 ans sociétaires chez cet assureur pour se voir résilier abusivement nos deux contrats auto.</t>
  </si>
  <si>
    <t>27/10/2018</t>
  </si>
  <si>
    <t>01/10/2018</t>
  </si>
  <si>
    <t>ombrecool-75297</t>
  </si>
  <si>
    <t xml:space="preserve">Jamais vu un service à la clientèle aussi peu performant. Impossible à joindre au téléphone malgré de multiples tentatives qui vous promettent de vous faire rappeler par un conseiller en urgence. J'attends toujours son appel. En revanche, pas de retard pour une mise en demeure (payante de 15 euros) pour retard de paiement de l'assurance habitation de ma mère. Seule problème, ma mère est décédée de la Covid depuis un mois, ce dont j'ai prévenu la Matmut par lettre avec avis de décès joint, et à laquelle j'ai demandé de reprendre le contrat à mon nom, d'où mes multiples appels en vain ... C'est non seulement nul dans la démarche, mais particulièrement révoltant sur le fond. </t>
  </si>
  <si>
    <t>09/01/2021</t>
  </si>
  <si>
    <t>mairesse-b-105619</t>
  </si>
  <si>
    <t xml:space="preserve"> Jeune femme très agréable, très patiente et remarquable et efficace, serviable avec moi !
Un discourt pour dire la même chose à bientôt.
il faut du temps!
</t>
  </si>
  <si>
    <t>05/03/2021</t>
  </si>
  <si>
    <t>zebcos-111789</t>
  </si>
  <si>
    <t>Alors que toutes les compagnies d'assurances gardent leurs tarifs d'assurance auto 2021 stables ou en très légère augmentation, Direct Assurance a augmenté ma prime de plus de 7% alors que je n'ai eu aucun accident responsable ou non sur les 2 dernières années.
La stratégie de Direct Assurance est clair : donner des tarifs attractifs à la souscription puis les augmenter beaucoup dans les années qui suivent. Ils prennent les clients fidèles pour des vaches à lait.</t>
  </si>
  <si>
    <t>denis-c-115958</t>
  </si>
  <si>
    <t>Satisfait service rapide et efficace je recommande totalement les services et prestations qui sont proposées ainsi que des tarifs qui sont très convenables.</t>
  </si>
  <si>
    <t>thibautall-110854</t>
  </si>
  <si>
    <t>AMV propose d'excellents services pour les motards.
15 jours après avoir commencé la moto, une voiture me rentre dedans, à un stop. Air-bag declenché, blouson rapé, sac moto rapé, moto sous sa voiture. Sans responsabilité sur l'accident, AMV a tout pris en charge (rapatriement du véhicule au garage, remboursement partiel ou total de l'équipement, frais de mon garagiste (j'ai pu le choisir)). L'expert venu pour ma moto a pu discuter avec mon garagiste, et a eu a coeur la santé de ma moto (récente, - de 2 ans).
Les questions qui me restaient concernant la recharge de mon air-bag ont été répondu très clairement par le service client, qui m'a indiqué la démarche a suivre. Il m'a également fournit des informations dès qu'il les avait recu, ce que j'ai vraiment apprécié. 
Je n'ai pas eu vraiment de chance en commencant la moto avec un accident, mais je suis très content de l'avoir fait avec AMV. C'est une assurance qui m'a pris en compte dans cet accident, et a repondu a mes demandes et attentes. Le fait d'avoir choisit mon garage est un plus appréciable. 
Bref, bonne expérience, bon assureur. J'ai déjà recommandé et je continuerai a le faire.</t>
  </si>
  <si>
    <t>19/04/2021</t>
  </si>
  <si>
    <t>pilou34980-56556</t>
  </si>
  <si>
    <t xml:space="preserve">+10,5% d'augmentation de cOtisation pour ma voiture sans aucun sinistre cette année </t>
  </si>
  <si>
    <t>08/08/2017</t>
  </si>
  <si>
    <t>01/08/2017</t>
  </si>
  <si>
    <t>jean-s-105589</t>
  </si>
  <si>
    <t>satisfait jusqu'à présent.;il me semble que le tarif a augmenté de pus de 20 euros par rapport à l'an passé,mais je n'ai pas l'intention de changer pour le moment</t>
  </si>
  <si>
    <t>alain-b-116304</t>
  </si>
  <si>
    <t>Bonjour,
je suis satisfait du suivi réalisé par mon agence.
J'ai demandé un changement de titulaire du véhicule, et j'ai été appelé très rapidement.
merci
Alain</t>
  </si>
  <si>
    <t>amrousset-113603</t>
  </si>
  <si>
    <t xml:space="preserve">La connexion à l'espace adhérent est un parcours du combattant. Par exemple, il est étonnant que les mots de passe robustes suggérés par les services de protection des données sur le système informatique ne soient pas acceptés car trop longs… Les prénoms composés doivent écrits sans tiret, sinon l'inscription échoue… Et ce n'est pas indiqué ! Autant dire qu'on passe un certain nombre de temps à se demander pourquoi la création de l'espace adhérent ne fonctionne pas. 
Les remboursements sont effectués avec un délai déraisonnable. Près de trois semaines après transmission d'une facture pour appareil dentaire, toujours rien… Le dentiste me relance (ce qui est compréhensible) mais sans le remboursement je ne peux pas demander l'encaissement de mon chèque. - Est-ce parce qu'il s'agit d'une facture avec un reste à payer de 0€ conformément à la nouvelle loi santé ? 
Le contact téléphonique est assez délicat à obtenir. J'ai souscrit à Néoliane début 2021, et en mai 2021 je pense déjà à changer l'année prochaine. </t>
  </si>
  <si>
    <t>younesse-e-106542</t>
  </si>
  <si>
    <t>je trouve que c'est chère je suis pas assuré tous risque mais je paye cas  même 700 euro. c'est dommage j'espère que le prix vos le service sinon je pourrais pas rester.</t>
  </si>
  <si>
    <t>14/03/2021</t>
  </si>
  <si>
    <t>tony7321-102072</t>
  </si>
  <si>
    <t>Arrêt de travail le 23/03/2019, demande plein de documents et réponse le 26/05/2021: ils payent 6 mois car le médecin généraliste expert a revu mon pourcentage d’invalidité contre-disant une décision de la CPAM ??, donc pas de souci j’ai tout mon temps, j’ai une bonne assurance juridique et une excellente Avocate à leurs présenter ??</t>
  </si>
  <si>
    <t>Generali</t>
  </si>
  <si>
    <t>marc44-75246</t>
  </si>
  <si>
    <t>Je viens d'avoir un sinistre 100% non responsable, cependant, d'après la littérature sur le web, la Maaf aurait tendance à radier ses assurés très facilement, même pour des sinistre non responsables. Je conduits très prudemment, mais je crains ce "couperet" au moindre problème (non responsable bien sur). J'en suis à me demander si je ne ferais pas mieux d'aller voir ailleurs...</t>
  </si>
  <si>
    <t>19/04/2019</t>
  </si>
  <si>
    <t>01/04/2019</t>
  </si>
  <si>
    <t>jean-100290</t>
  </si>
  <si>
    <t xml:space="preserve">non respect du contrat 182,75 € de prélèvement au lieu de 102,50€ ( loi evin) renvoi entre service on me dit que cela vas être rectifier mais un autre service me dit que cela est normal pas de suivie entre les services erreur de l ancienne mutuelle qui ma fait passer pour un chômeur en fin de portabilité alors que je suis a la retraite  </t>
  </si>
  <si>
    <t>19/11/2020</t>
  </si>
  <si>
    <t>jacques--z-139185</t>
  </si>
  <si>
    <t xml:space="preserve">JE SUIS TRÈS SATISFAIT RAPIDE ET EFFICACE 
DEVIS RÉALISE EN QUELQUE MINUTE 
JE RECOMMANDE FORTEMENT 
PRIX TRES ATRRACTIF POUR LES GARANTIES PROPOSEES
MERCI </t>
  </si>
  <si>
    <t>08/11/2021</t>
  </si>
  <si>
    <t>nadia-b-110746</t>
  </si>
  <si>
    <t xml:space="preserve">Je suis nouvelle adhérente donc j'attends de voir les services de APRIL avant d'émettre un avis. J'espère pouvoir compter sur un un accompagnement de qualité. Les tarifs sont très corrects et me satisfont. </t>
  </si>
  <si>
    <t>17/04/2021</t>
  </si>
  <si>
    <t>vallet-de-payraud-t-126944</t>
  </si>
  <si>
    <t>Service client performant, emballe et à l'écoute. Le prix est attractif avec un niveau de garantie très satisfaisant: 40% moins cher que mon assurance précédente avec le même niveau de couverture.</t>
  </si>
  <si>
    <t>07/08/2021</t>
  </si>
  <si>
    <t>voyageur49-78636</t>
  </si>
  <si>
    <t xml:space="preserve">A fuir, nous sommes assurés à la MACIF depuis 38 ans et complètement écœurés de leur comportement, suite à un cambriolage, ils se sont permis de suspendre le remboursement des frais engagés pour la réparation des portes, sous prétexte que nous avions oublié de leur signaler que nous avions transformé un ancien atelier en bureau.
En plus d’avoir subi le stress d’un cambriolage, maison sans dessus dessous, bijoux volés, 2 portes fracturées, 3 semaines avant de signer la vente de notre maison, il fallait en plus nous punir, nous culpabiliser, en fait nous n’étions plus les victimes, mais les coupables et d’ajouter que  Les bijoux ne sont pas suffisamment justifiés en regard des obligations du contrat et ne permettent pas d'indemnisation. Alors que l’expert ne nous a jamais recontactés pour nous demander des justifications supplémentaires. Nous avions juste fourni le dossier remis à la police photos et estimation du préjudice.
Nous avons protesté et obtenu l’indemnisation des frais engagés, mais ils ne nous ont jamais informés sur les pièces que nous aurions dues fournir pour l’indemnisation des bijoux volés ni sur le paragraphe qui l’indique dans le contrat
Il y a une douzaine d’années après un doigt coupé ils ont refusé la moindre indemnisation prétextant que le taux de handicap était trop faible, plus récemment ils ont refusé une indemnisation concernant un abri de jardin renversé par une mini bourrasque sous prétexte  que la fixation était insuffisante 
</t>
  </si>
  <si>
    <t>23/08/2019</t>
  </si>
  <si>
    <t>sergi-c-113258</t>
  </si>
  <si>
    <t>J'ai déménagé pour vivre en France et c'était la première fois que j'avais à traiter avec une assurance automobile. Je suis satisfait du service et les prix sont très compétitifs</t>
  </si>
  <si>
    <t>turbolily-49587</t>
  </si>
  <si>
    <t xml:space="preserve">Toujours à l'écoute , service client téléphone au top , conseilleur clientèle en agence très compétent . J'ai failli partir ailleurs ils ont sur me faire rester !
Jai eu 2 sinistres et je n'ai pas eu à m'inquiéter ils ont tous prit en charge.
Tout les ans mon assurance auto n'a pas augmenté fidèle à leur pub, et sur l'habitation ils se sont alignés sur leur concurrents pour me faire rester ! </t>
  </si>
  <si>
    <t>26/11/2016</t>
  </si>
  <si>
    <t>01/11/2016</t>
  </si>
  <si>
    <t>pacote-108517</t>
  </si>
  <si>
    <t>J'étais partie car trop chère et moi aussi on me réclamait la fameuse protection hospitalière après ma résiliation. Malheureusement l'entreprise pour laquelle je travaillais ensuite avait changé de Miel pour Harmonie et le nouveau calvaire commence pour moi au 30/06/20. Portabilité de dossier. Harmonie ose dire que mon employeur n'a pas fait le nécessaire alors qu'en fait chez eux quelqu'un a créé un dossier bidon. Et personne ne m'a avertie ensuite que devais faire une actualisation comme quoi j'étais tjr demandeur d'emploi pour maintenir la portabilité. Droits suspendus ! Personne ne vous prévient !!! Il y a du pognon pour faire de la pub tv mais pas pour avertir ses clients qu'il y a un problème ! Quand on appelle on poirote des heures pour à chaque fois tomber sur quelqu'un de nouveau et touuuut reexpliquer c'est insupportable. Je suis excédée et furieuse !  On ose me demander les factures acquittées chez les pro de la santé que j'ai consulté. MAIS A QUOI SERT MA FOUTUE CARTE VITALE DANS CE CAS ? Même les relevés Ameli ne leur suffisent pas ! En vérité je pense qu'ils manigancent pour qu'on finisse par lâcher l'affaire et c'est hors de question. Ce sont des montants exorbitants et nous ne sommes pas des Crésus !!! J'en suis à 4 mois de bagarre dans un calme Olympien et le pb est tjr en cours ! Ne souscrivez JAMAIS chez eux ! Même les professionnels que j'ai dû recontacter disent la même chose et constate que c'est une honte !!! Ca finira chez l'avocat je vous le dis. FUYEZZZ</t>
  </si>
  <si>
    <t>lorcin-v-125580</t>
  </si>
  <si>
    <t>TROP LONG ! les réponses aux questions sont très lentes, voir inexistantes. J'ai posé une questions à mon conseiller il y a 4 semaines, puis sur le site internet : toujours pas de réponses. Manque de réactivité flagrant.</t>
  </si>
  <si>
    <t>Carac</t>
  </si>
  <si>
    <t>23/07/2021</t>
  </si>
  <si>
    <t>erwan-j-137944</t>
  </si>
  <si>
    <t>Rien à redire. Assurer pour une R100 BMW en collection, le prix est vraiment compétitif. Leur réactivité est très bonne pour les demandes... Apèrs, je n'ai jamais tester en cas d'accident car aucun sinistre</t>
  </si>
  <si>
    <t>21/10/2021</t>
  </si>
  <si>
    <t>mimi-101940</t>
  </si>
  <si>
    <t xml:space="preserve">Assurer chez eux depuis 5ans je payais 46 euros par mois donc pas tout risque .Jamais déclaré de sinistre jusqu'à ce fameux mars 2020 ma voiture stationnée en bas de chez moi une personne lui rentre dedans je n'étais pas dedans donc  0% de responsabilité et depuis ma voiture épave donc morte à  la casse, l'expert la juge à 2000 euros mais il faut que j'attende une procédure il ne peuvent rien faire pour moi. Je me retrouve sans véhicule on me dit clairement qu'on peut rien faire pour moi.on m'as même dit que j'aurais été contente si mon véhicule aurait été brûler il m'aurait rembourser car ça fait parti de ma formule,...là c'est trop pour moi je vais faire appel à mon avocat qui j'espère réglera ce soucis qui dure depuis mars 2020  </t>
  </si>
  <si>
    <t>28/12/2020</t>
  </si>
  <si>
    <t>michael-r-133152</t>
  </si>
  <si>
    <t>Souscription simple, et rapide. 
Les prix sont très compétitifs ! Difficile, voir impossible de faire aussi bien niveau que cette assurance.
Je recommande April-Moto sans aucun problème !</t>
  </si>
  <si>
    <t>17/09/2021</t>
  </si>
  <si>
    <t>campos-n-126196</t>
  </si>
  <si>
    <t xml:space="preserve">accueil téléphoniques efficace rapide ,  maintenant a voir sil tienne leur parole explication claire seul petit défaut ne prend pas en charge tourte les cb </t>
  </si>
  <si>
    <t>nay-55068</t>
  </si>
  <si>
    <t xml:space="preserve">Globalement pas de problèmes pour souscrire, n'yant pas eu de sinistre, je ne peux pas vraiment juger de leur garanties, mais ce que je peux dire c'est que tout change quand on veut résilier. Service client déplorable, qui vous appel tous les 15 jours pour vous vendre un "nouveau produit", qui parle a peine français, qui ne comprend absolument rien de ce qu'on veut. closes limites-limites (obligation de résilier 60 jours avant la date anniv' alors que la plupart des assurances c'est 30), non prise en compte des courrier recommandés et mauvaise foi incroyable, notamment sur la Loi Hamon ! a fuir d'urgence </t>
  </si>
  <si>
    <t>01/06/2017</t>
  </si>
  <si>
    <t>valerie-b-134815</t>
  </si>
  <si>
    <t>Prix satisfaisants.
Dommage que le paiement pour un changement d'assurance intervienne bien avant que l'assurance prenne effet, car doublon dans le paiement de l'assurance actuelle + prochaine assurance.</t>
  </si>
  <si>
    <t>28/09/2021</t>
  </si>
  <si>
    <t>j-en-ai-pas--97515</t>
  </si>
  <si>
    <t>Pour être rembourser la mensualité doit etre élevée  Les avis sur opinion assurance ne sont  pas très bon en faveur de Eca Assurance...la date de prélèvement n'a jamais été respectée  en ce qui me concerne ..je vais donc arrêter..</t>
  </si>
  <si>
    <t>Eca Assurances</t>
  </si>
  <si>
    <t>17/09/2020</t>
  </si>
  <si>
    <t>jeremy-c-108394</t>
  </si>
  <si>
    <t>Je suis satisfait de cette assurance, très compétent et rapide. 5 étoiles sans hésiter. Je vous conseillerai à mon entourage si tout se passe bien, bien évidemment. Merci beaucoup</t>
  </si>
  <si>
    <t>29/03/2021</t>
  </si>
  <si>
    <t>patrice-n-128365</t>
  </si>
  <si>
    <t>Souscription d'un nouveau contrat auto en ligne, c'était facile et plutôt rapide à condition d'avoir sous la main les réponses pour le questionnaire. Les garanties semblent correspondre à mon profil conducteur? 
Reste à savoir si l'indemnisation sera aussi rapide et facile en cas de sinistre.</t>
  </si>
  <si>
    <t>17/08/2021</t>
  </si>
  <si>
    <t>shana-64892</t>
  </si>
  <si>
    <t xml:space="preserve">la Maif n'est plus ce qu'elle etait... Mauvaise gestion des dossiers sinistre dégats des eaux, la gestionnaire est injoignable, ces collègues ne savent plus quoi inventé à sa place, je paie plus de18OO e par an depuis plus de 25 ans et quand vous avez le malheur d'avoir un dégat des eaux par un tiers on vous trouve le moindre prétexte pour ne pas vous indemniser.. lenteur , aucune réactivité, on passe bp de temps à relancer pour le prix des cotisations ce n'est pas à la hauteur de jadis...les  garanties proposés ne sont pas respectées. les experts vous évalue au rabais et vous trompent lors de leur expertise, croyez moi j'en ai fait les frais...Soyez vigilant </t>
  </si>
  <si>
    <t>19/06/2018</t>
  </si>
  <si>
    <t>ptiloud-53079</t>
  </si>
  <si>
    <t>Aucun reproche sauf un !!
J'ai résilié pour la concurrence, et on m'a débité, 497,70, sans emploi et sans revenu, sincèrement je trouve ça NUL de votre part, alors que j'avais reçu un mail de confirmation pour ma résiliation.</t>
  </si>
  <si>
    <t>08/03/2017</t>
  </si>
  <si>
    <t>malokk-113667</t>
  </si>
  <si>
    <t xml:space="preserve">Compétences plus que médiocres dans le suivi des maintiens salaires ,une plateforme téléphonique qui réponds à côté lors des appels du sur deux mois six personnes différentes au téléphone six explications différentes pour la même question 
Non respect du délai de cinq jours ouvrés sur le traitement d une pièce fourni sur son dossier en ligne 
</t>
  </si>
  <si>
    <t>Intériale</t>
  </si>
  <si>
    <t>david-50218</t>
  </si>
  <si>
    <t xml:space="preserve">j'ai fais appel à plusieurs reprises à leurs services, sans réponse, ; Un 1er mail au service reclamation, on me dit que le mail n'est jamais arrivé. Le 2nd mail envoyé il y a près de 15 jours et toujours pas de nouvelles. Ces gens sont borderline avec leurs engagements, ils devraient etre plus vigilants. </t>
  </si>
  <si>
    <t>20/03/2017</t>
  </si>
  <si>
    <t>stephanie--100143</t>
  </si>
  <si>
    <t xml:space="preserve">Je suis harcelé par cette société 2 fois par semaine ! Je ne l ai connais pas mais me font croire que j ai souscris un contrat ce qui est FAUX biensûr. Elle me parle de prélèvement et quand je lui répond elle me raccroche au nez !!! </t>
  </si>
  <si>
    <t>16/11/2020</t>
  </si>
  <si>
    <t>diary-v-138666</t>
  </si>
  <si>
    <t>APRIL Santé Mix est LA solution santé sur mesure !  ET merci pour l offre du 1er mois.  Une assurance santé en fonction de nos priorités et de nos besoins.</t>
  </si>
  <si>
    <t>APRIL</t>
  </si>
  <si>
    <t>31/10/2021</t>
  </si>
  <si>
    <t>emmnuel-106688</t>
  </si>
  <si>
    <t>Je suis arrivé à la termes de mon contrat je suis passée chez Groupama après plusieurs résiliation en accusé de réception!!! Malgré la moi la loi amont!!!! ils ne veulent toujours pas me résilier je déconseille cette assurance et je vais les attaquer en justice</t>
  </si>
  <si>
    <t>15/03/2021</t>
  </si>
  <si>
    <t>farenheit-59497</t>
  </si>
  <si>
    <t xml:space="preserve">Assuré Axa, accidenté à moto en décembre 2012, gravement blessé et hospitalisé 120 jours, 0% de responsabilité.
Mon adversaire, également assuré AXA condamné en pénal ...
ce jour, soit 60 mois après, AXA ne m'a toujours pas fait d'offre d'indemnisation alors qu'ils auraient du le faire au plus tard 8 mois après l'accident (art L 211-9 du code des assurance). C'est ce que AXA appelle "être toujours là pour vous protéger" ... Ils attendent la prescription ? qu'ils ne rêvent pas trop, elle est de 10 ans, et je les assignerai à la fin de la 8ème année. Ca va leur couter un max d'intérêts moratoires .....
</t>
  </si>
  <si>
    <t>08/12/2017</t>
  </si>
  <si>
    <t>stephane-a-134372</t>
  </si>
  <si>
    <t xml:space="preserve">Je suis satisfait de revenir chez direct assurance. Les personnes au téléphone sont très aimable. Le prix me convient même si un peu plus chère que un concurrence. 
</t>
  </si>
  <si>
    <t>cezembre-111716</t>
  </si>
  <si>
    <t xml:space="preserve">MACIF ST-MALO 23/04/21
Les employés de cette agence sont dépassés par les évènements, ne tenant pas le même discourt en fonction de la personne sur qui vous tombez, n'arrivant plus à traiter un simple dossier, pour mon cas 7 mois pour un sinistre car la personne avait tout simplement oublier de présenter le dossier aux personnes concernées malgré mes relances. Aucun professionnalisme, complètement perdu avec la covid, n'arrivant plus à maitriser le travail, une honte d'incompétence, personnels non habilités à faire ce job. Cette agence et cette assurance est à oublier. </t>
  </si>
  <si>
    <t>26/04/2021</t>
  </si>
  <si>
    <t>peregrim-52862</t>
  </si>
  <si>
    <t>Ayant souscrit une assurance perte d'emploi, je suis plutôt étonné et même ma banque qui m'a imposé leur propre assurance. Contactée ce matin elle ne comprend pas comment une personne licenciée se voit refuser l'assurance perte d'emploi... Je ne rentre dans aucune des cases d'exclusions: pas de cdd, pas de démission, pas de faute, pas de période d'essai... bref incompréhensible.</t>
  </si>
  <si>
    <t>orleane2006-49771</t>
  </si>
  <si>
    <t>Obligé d’adhérer à ma mutuelle d'entreprise, Harmonie Mutuelle me ballade pour ne pas résilier mon contrat. 3 lettres recommandées plus tard avec envoie de TOUS les justificatifs pour résilier, et oui il en manque toujours "UN", Harmonie me demande de payer l'intégralité de mes mensualités restantes jusqu'à la date anniversaire de mon contrat chez eux le 31 décembre 2018. HORS, la date anniversaire de mon contrat chez eux est le 3 octobre. BREF, c'est sans compter sur des non remboursements, à cause de télétransmission non faite par le sécu ("soit disant") ou de facture égaré (surtout celle de l'hostéo). Etc, Etc....</t>
  </si>
  <si>
    <t>19/05/2018</t>
  </si>
  <si>
    <t>alexmusc-71866</t>
  </si>
  <si>
    <t>A éviter absolument!</t>
  </si>
  <si>
    <t>04/03/2019</t>
  </si>
  <si>
    <t>gael-46043</t>
  </si>
  <si>
    <t xml:space="preserve">Remboursement de prime toujours attendu plus de 30jours après résiliation... un service gestion absent se permettant de raccrocher au nez du client après 20 min d attente et aucunes réponse </t>
  </si>
  <si>
    <t>Assur Bon Plan</t>
  </si>
  <si>
    <t>10/09/2019</t>
  </si>
  <si>
    <t>jenny-109380</t>
  </si>
  <si>
    <t xml:space="preserve">Délai de remboursements sont inadmissibles et service client inexistant.
Cette assurance est déconseillé par deux cliniques vétérinaires (avec un gros volume client) également que j'ai consulté.
</t>
  </si>
  <si>
    <t>07/04/2021</t>
  </si>
  <si>
    <t>flash-70480</t>
  </si>
  <si>
    <t xml:space="preserve">Ma situation:
Assuré tous risques
38% de bonus voir un peu plus (Je n'ai jamais eu d'accident depuis que j'ai le permis)
Très déçu de cette assurance.
J'ai rencontré deux problèmes en moins d'un an avec l'olivier.
1- Un remorquage non remboursé car je n'ai pas appelé l'assistance mais un dépanneur. 
Je comprends qu'ils veulent ici éviter les arnaques et c'est justement pour cela qu'il existe un montant maximum de prise en charge de 200 euros. En ce qui me concerne j'avais payé plus chère et j'acceptais donc le fait qu'à cause de ma bêtise on ne me rembourse pas plus de 200 euros. Par contre je ne m'attendais pas à ce que l'on ne me rembourse pas du tout ... J'avais eu l'occasion de discuter avec des conseillers d'EuropAssistance et de L'olivier. A les écouter, OUI je devais être remboursé d'un montant maximum de 200 euros par contre chacun rejetait la faute sur l'autre.
Finalité: Après avoir fait le ping pong pendant plusieurs semaines, un responsable chez l'Olivier m'a dit que l'on me rembourserait et qu'il allait faire une réclamation. Je n'ai jamais été remboursé. (Cela fait plus d'un an et j'ai laissé tombé)
2- Un nuage de grêle localisé sur mon lieu de travail
Énormément de voitures ont été grêlées suite à une tempête de grêle. Bien entendu, impuissant on était nombreux à avoir filmé cet orage.
Assuré tous risques et donc contre les intempéries, j'appelle mon assurance et on me dit que je suis pris en charge (avec Franchise de 420 euros). Par contre on me demande de fournir une preuve de cet orage de grêle via un article de presse.
Malheureusement, l'orage étant localisé, je ne trouve aucun article. Même la mairie de ma ville n'était pas au courant et ne pouvait rien me donner. Je rappelle mon assureur pour leur dire que je n'ai pas d'article mais que j'ai tout de même plusieurs vidéos.
Mais là, ils ne veulent pas de mes vidéos et insistent en me demandant des articles de presses. J'ai de nombreux collègues qui ont été pris en charge sans avoir à fournir quoi que ce soit.
Finalité: Ma voiture est grêlée et j'ai renoncé à la réparer car cela n'est qu'esthétique et ne se voit pas tant que çà. (Bon et puis il y a aussi L'Olivier qui me cassait bien les pieds aussi)
Je ne recommande donc pas l'olivier puisque même étant assuré tous risques, je n'ai jamais rien obtenu de leur part.
D'ailleurs, j'ai un léger impact sur le pare-brise, je me demande si l'assurance peut prendre en charge la résine chez Carglass ... Après tout, je ne suis qu'assuré tous risques, je pense que cela ne suffit pas. :( </t>
  </si>
  <si>
    <t>23/01/2019</t>
  </si>
  <si>
    <t>ludovic-v-131406</t>
  </si>
  <si>
    <t>Très bon service ! Étant jeune permis a2, les prix sont assez élevés mais comme partout ailleurs ! Je recommande fortement cette assurance pour les jeunes motards ou les confirmés !!!</t>
  </si>
  <si>
    <t>05/09/2021</t>
  </si>
  <si>
    <t>daff12-58412</t>
  </si>
  <si>
    <t xml:space="preserve">j ai du résilier assurance tout risque avec franchise sur a peut prés tous du jamais vu!!!
le commerciale m'avait pourtant affirmé le contraire!
</t>
  </si>
  <si>
    <t>27/10/2017</t>
  </si>
  <si>
    <t>anne-v-105581</t>
  </si>
  <si>
    <t>Pourrait mieux faire surtout vu le prix que je paie par mois...
Je pensais que cela serait moins élevé mais au delà de ca le dossier a été bien traité malgré tout</t>
  </si>
  <si>
    <t>audreeey-58011</t>
  </si>
  <si>
    <t xml:space="preserve">Cliente à la maaf et n’ayant jamais eu de sinistre, nous avons eu un premier sinistre non responsable en août, choc a l’arrière. L’expert veut bien rembourser les dommages de carrosserie mais ne veut pas payer le diagnostic du garage pour rechercher les problèmes mécaniques car selon lui, il n’y a pas de lien direct avec l’accident alors que lui même reconnaît ne pas connaître le problème mécanique. C’est à nous clients de prouver qu’il y a un lien, sinon ils ne remboursent pas!! C’est le monde à l’envers!! Mon véhicule roulait avant, ne roule plus après mais ce n’est pas lié!! Je suis complètement écœuré de cette assurance qui se cache derrière leurs experts et n’ont aucune reconnaissance de leurs clients. </t>
  </si>
  <si>
    <t>12/10/2017</t>
  </si>
  <si>
    <t>th541929-104804</t>
  </si>
  <si>
    <t xml:space="preserve">Une honte ! ne répond pas à rien (mail, téléphone...) même gratuit je ne m'assure pas chez eux. Fuyez loin car il n'y a aucune communication. Mon véhicule est vendu depuis juillet 2020 et aujourd'hui encore je bataille contre les prélèvements. </t>
  </si>
  <si>
    <t>25/02/2021</t>
  </si>
  <si>
    <t>pierre31-71284</t>
  </si>
  <si>
    <t>Victime d'un sinistre non responsable cela fait maintenant un mois que je n'ai pas de véhicule (pas de véhicule de prêt no plus) et je ne sais toujours pas ce qu'il va advenir de mon véhicule (je ne peux donc pas non en acheter un autre) et qu'on me mène en bateau, un coup c'est l'expert puis après l'expert renvoi la balle en disant que c'est l'assureur. C est bien de faire de la grande pub mensongère à la tv mais franchement investissez plutot dans vos clients qu a essayer de toujours en gratter davantage. DECU  FUIR</t>
  </si>
  <si>
    <t>14/02/2019</t>
  </si>
  <si>
    <t>reggy-115930</t>
  </si>
  <si>
    <t>Bonjour,
Insatisfaite de cette assurance je ne la conseille pas surtout si vous tombez en panne à l'étranger, ça vous fait souscrire des options et finalement vous avez la banane.
Autre chose, il y a quelques jours je les ai contactés pour demander si le copain de ma fille pouvait rouler notre véhicule pour aller se promener avec elle de temps en temps, si nous pouvions l'ajouter au cas où à l'assurance, sachant que nous avons 3 véhicules assurés chez eux et que nous avons 50 % de bonus depuis 4 ans. La réponse a été un choque pour nous car ils nous ont résilié l'assurance en 10 jours de temps sans véritables explications en recommandé avec accusé de réception. J'ai  contacté le service juridique du crédit mutuel et effectivement ils sont en tort quant à cette résiliation abusive. Je n'en resterais pas là c'est sûr, 60 millions de consommateurs vont en être informés. C'est une honte de faire cela à des personnes biens qui n'ont fait que poser une simple question.
Faites attention à cette assurance, on a peur même de poser une question.
Je déconseille fortement cette assurance !!!!!
Eurofil allez vous cacher, vous faites honte !!!!!</t>
  </si>
  <si>
    <t>gaetan-g-112692</t>
  </si>
  <si>
    <t xml:space="preserve">Rien à dire de négatif  pour le moment .L'assistance fonctionne parfaitement car je suis tombé en panne à 1000kms de mon domicile  , elle m'a emmené le véhicule chez le concessionnaire et accorder un véhicule de prêt pour regagner mon domicile 
</t>
  </si>
  <si>
    <t>05/05/2021</t>
  </si>
  <si>
    <t>philippe33-52402</t>
  </si>
  <si>
    <t>juste catastrophique......me voici par le RSI considéré comme en invalidité suite a un infarctus avec séquelles mais axa ne répond pas, même à mon conseiller qui lui non plus ne comprend pas leur silence.....  de plus il ne paye mes indemnités que de moitie suite à l'avis de leur médecin expert payé par axa........sans commentaire !!!</t>
  </si>
  <si>
    <t>14/02/2017</t>
  </si>
  <si>
    <t>amandine-b-134895</t>
  </si>
  <si>
    <t>Je suis satisfait mais j ai eu du mal à voir où choisir le prélèvement mensuel 
Les prix sont corrects à voir dinle prix baisse vraiment avec le boîtier en fonction de notre conduite</t>
  </si>
  <si>
    <t>jack-61062</t>
  </si>
  <si>
    <t>Assurés depuis 15 ans chez eurofil pour cinq contrats. Trois voitures et deux habitations. Refus de rembourser une portière enfoncée sur un parking. Bravo. Vous venez de perdre cinq contrats. Aberrant de voir une service commercial si nul</t>
  </si>
  <si>
    <t>02/02/2018</t>
  </si>
  <si>
    <t>kesado-69841</t>
  </si>
  <si>
    <t>A fuir si vous le pouvez. De mauvaise foi, prêt a tout pour ne pas rembourser. Se permettent meme d exiger des informations confidentielles médicales quils nont aucunement le droit de demander. Ne paie pas sans jamais se donner la peine dinformer le client hONTEUX</t>
  </si>
  <si>
    <t>03/01/2019</t>
  </si>
  <si>
    <t>ramdane--104232</t>
  </si>
  <si>
    <t xml:space="preserve">Je me suis assuré chez axa et j'ai eu un incendie il ont tout fait pour ne pas nous rembourser.
Ont c'est retrouvé sdf, cela fait 2ans et nous sommes en procédure judiciaire avec axa </t>
  </si>
  <si>
    <t>16/02/2021</t>
  </si>
  <si>
    <t>malika-61766</t>
  </si>
  <si>
    <t>Pas cher mais en cas de galère personne ne vous répondra. On vous baladera de services en services en justifiant que c est Europe assistance qui doit indemniser.</t>
  </si>
  <si>
    <t>26/02/2018</t>
  </si>
  <si>
    <t>jojo-104829</t>
  </si>
  <si>
    <t>tous simplement impossible de les avoir au tel on leur envoie un devis dentaire 15 jours toujours pas de reponse je regrette d etre venu a cette assurance septembre je cherche ailleurs si il ne s ameliore pas  dommage je ne suis pas du genre a change sans arret sauf probleme</t>
  </si>
  <si>
    <t>26/02/2021</t>
  </si>
  <si>
    <t>julien-l-134755</t>
  </si>
  <si>
    <t xml:space="preserve">Les prix me conviennent en espérant que les garanties d'assurance couvrent bien en cas d'accident ou de litige. Et que le service client soit joignable facilement </t>
  </si>
  <si>
    <t>27/09/2021</t>
  </si>
  <si>
    <t>lupo32-89305</t>
  </si>
  <si>
    <t>25% d augmentation en un an sans aucun sinistre. 880 euros de prime annuelle versus 550 si nouveau client. L Olivier, une assurance qui soigne ses clients.</t>
  </si>
  <si>
    <t>deborah-t-117530</t>
  </si>
  <si>
    <t>Conseiller très réactif et à l'écoute
Il s'adapte aux horaires et aux contraintes professionnelles
Tout s'est fait en ligne et c'est très praitque
je recommande vivement</t>
  </si>
  <si>
    <t>18/06/2021</t>
  </si>
  <si>
    <t>christophe-l-112514</t>
  </si>
  <si>
    <t>C'est lors d'une avarie technique sur une voiture assurée chez vous que j'ai constaté que l'assistance juridique chez vous est une "tromperie" je n'ai pas pu bénéficier d'une assistance avec un expert.
Il ne faut pas dire qu'il y a une assistance juridique alors qu'elle ne sert qu'à traiter un litige de paiement avec vous-même ! du coup j'ai résilié ma Audi</t>
  </si>
  <si>
    <t>03/05/2021</t>
  </si>
  <si>
    <t>odik-50653</t>
  </si>
  <si>
    <t>Tarifs exorbitants. Manque de communication sur la mise en place des CAS et de l'impact sur les remboursements.</t>
  </si>
  <si>
    <t>26/12/2016</t>
  </si>
  <si>
    <t>isi01-3656</t>
  </si>
  <si>
    <t>J'ai été choqué que l'assurance de ma C5 TOURER, se voit augmentée d'un pourcentage énorme, en souscrivant pour sa remplaçante une JAGUAR XF, alors que ces 2 véhicules sont tout deux, des grandes routières, et qui plus est, la JAGUAR ayant maintenant 13 ans d'âge, soit le double de la Citroën. Je vais donc consulter la concurrence, pour comparaison, en vue de la prochaine échéance</t>
  </si>
  <si>
    <t>helios-138285</t>
  </si>
  <si>
    <t xml:space="preserve">Mutuelle d'entreprise deplorable... Contrat mal établi au départ par le commercial qui n'a vraiment rien écouté de ce qui lui était demandé. Résultat : conjoint ayant droit pris en compte comme salarié, date d'effet non conforme, frais pour non paiement dans les délais des cotisations alors que le contrat n'était pas établi à la bonne date, aucune réponse de leur par via leur adresse mail de contact, prise en charge d'hospitalisation acceptée puis dénoncée ensuite parce que le numéro de contrat a changé entre temps du fait de leurs erreurs, sans parler des délais de remboursement... puisqu'il a fallu leur renvoyer l'intégralité des bordereaux de la Sécurité sociale, vu que ces braves gens ne pouvaient pas les retrouver ! Bref vraiment une catastrophe et une société à éviter si comme employeur vous avez peu de temps à perdre avec leurs services </t>
  </si>
  <si>
    <t>vidj-79869</t>
  </si>
  <si>
    <t>A évité ça fait une semaine que je demande une attestation stipulant que je suis le conducteur principal de mon véhicule, j'appelle j'envoie des mail silence radio sachant que j'ai besoin du document pour le travail.
Par mail la personne ne comprend même pas ce que je lui demande et ne répond pas.</t>
  </si>
  <si>
    <t>09/10/2019</t>
  </si>
  <si>
    <t>didi2a-78127</t>
  </si>
  <si>
    <t>Bonjour, 
 Mon papa avait une entreprise il contracte dons sogecap pour 2 emprunts. Mon papa a malheureusement  eu un grave problème de sante il a du être opéré urgence. Ne pouvant plus travailler il a fermé son entreprise... SOGECAP ne rembourse pas les prêts de mon papa car ayant 63 ans il ne l'ont même pas passé en invalidité ils l'ont mis directement a la retraite pour inaptitude au travail.  Donc pas de remboursement car il est ni en invalidité ni en arret de travail.... faites attention aux contrats signé. MAIS SI QUELQU'UN peux m'aider je vous en remercie par avance</t>
  </si>
  <si>
    <t>Sogecap</t>
  </si>
  <si>
    <t>loica-s-124570</t>
  </si>
  <si>
    <t xml:space="preserve">Je suis satisfaite du service et du prix. Le contrat auto me convient parfaitement, bon rapport qualité,  prix. Contrat rapide pris en ligne avec toute satisfaction </t>
  </si>
  <si>
    <t>ferri-g-134908</t>
  </si>
  <si>
    <t>pour le moment satisfait
prix tres satisfaisant 
bonne relation avec notre conseiller
contrat fait avec beaucoup de professionnalisme et bienveillance.</t>
  </si>
  <si>
    <t>claude-72107</t>
  </si>
  <si>
    <t xml:space="preserve">A FUIR!!!! Une Mutuelle qui vaut moins qu'une étoile! Un service clientèle absent: on envoie des demandes de remboursement qui traînent, traînent et traînent avant d'être remboursées... On téléphone, on attend et quand on pense que quelqu'un va prendre l'appel, la ligne nous est coupée au nez sans avoir parlé à personne. Quand on envoie un message, on ne reçoit aucune réponse, JAMAIS! J'avais envoyé un message début mai et j'attends toujours une réponse... Une autre aberration, on doit envoyer notre demande de rembourser via le site de Santiane pour obtenir un remboursement de Néoliane. Par chance que l'on déménage et qu'on en a bientôt terminé avec eux... </t>
  </si>
  <si>
    <t>11/09/2019</t>
  </si>
  <si>
    <t>fredlrx-50459</t>
  </si>
  <si>
    <t>Très mauvaise considération du client ! c'est honteux !</t>
  </si>
  <si>
    <t>momo-107019</t>
  </si>
  <si>
    <t>Khadija a été très efficace ,aimable et m'a donné toutes les réponses attendues. Cela n'a pas été le cas la dernière fois.
aves mes remerciements
madame hadefi</t>
  </si>
  <si>
    <t>jean-lauris-p-112874</t>
  </si>
  <si>
    <t>Au départ, j'ai souscris en 2019 mon assurance habitation à 300€ ce qui était trés compétitif. 2 ans plus tard, je paie 336,2 donc 12% d'augmentation en 2 ans alors que l'inflation est quasi nulle. durant cette période A ce rythme, je vais devoir à nouveau changer d'assureur, dommage !!!</t>
  </si>
  <si>
    <t>sylvidra-104024</t>
  </si>
  <si>
    <t xml:space="preserve">Une honte. Ne respectent pas les conditions de résiliations prises en compte par TOUS les autres assureurs.
Font signer des contrats de prévoyance sans explication aucune et font des pieds et des mains pour ne pas vous laisser partir.
A FUIR </t>
  </si>
  <si>
    <t>11/02/2021</t>
  </si>
  <si>
    <t>gmc31500-57408</t>
  </si>
  <si>
    <t>Rapide, efficace, la souscription par internet est un réel plus. Je connais cet assureur depuis 1992. Et je suis toujours aussi satisafait</t>
  </si>
  <si>
    <t>17/09/2017</t>
  </si>
  <si>
    <t>01/09/2017</t>
  </si>
  <si>
    <t>olivier-g-133028</t>
  </si>
  <si>
    <t xml:space="preserve">Dommage qu'il faille "se résilier" pour adhérer de nouveau en cas de devis en ligne plus favorable de la part de Direct Assistance.
Pourquoi ne pas s'aligner les nouvelles conditions tarifaires si l'adhérent en fait la démarche? </t>
  </si>
  <si>
    <t>marcel-l-116486</t>
  </si>
  <si>
    <t xml:space="preserve">JE SUIS SATISFAIT PRIX ATTRACTIFS ET FORMULES INTERESSANTES ? PETIT BEMOL TOUS LES GARAGISTES NE PRENNENT PAS LA VOITURE AVEC OPTION VEHICULE DE PRET </t>
  </si>
  <si>
    <t>timlead-102109</t>
  </si>
  <si>
    <t>Très bonne assurance malgré que il résilie les contrats si vous avez un 4eme accident (non responsable).
Sinon les prises à charge en cas d’accident ce sont toujours bien déroulé.</t>
  </si>
  <si>
    <t>03/01/2021</t>
  </si>
  <si>
    <t>johann--118019</t>
  </si>
  <si>
    <t xml:space="preserve">Assurance pno avec option immo+.
Attente de la prise en charge du prêt immobilier toujours pas resolue.
Attente du chiffrage du dégât des eaux survenue plus de 18 mois (incompréhensible) 
Sous estimations de la part de l'expert malgré un devis en ma possession (environ 10 000 euros) 
(Travaux 53 000euros estimation 39 000 euros) 
Mais sur sa une decote de 5000 euros car j'aurais dû agir avant.
Comment faire sachant que j'avais pas accès à la maison papier tribunal.
Mais pour finir leur mauvaise fois de payer donc leur devoir d'assureurs 
Pour débloquer le restant du il me demande les factures détaillées 
Sachant que je leur envoie les papiers par mail dès factures d'acompte de l'entreprise qui fait les travaux de se même devis.
Et pour finir impossibilité de les contacter il faut harcelée pour avoir quelqu'un ( envoie de mail plus téléphone) 
Donc au final changement d'assurance par la suite. 
A éviter 
</t>
  </si>
  <si>
    <t>23/06/2021</t>
  </si>
  <si>
    <t>duhau-m-133266</t>
  </si>
  <si>
    <t>Mon interlocutrice au téléphone a été très sympathique, une voix claire et agréable.
J'espère être satisfaite de vos services à l'usage ou plutôt ne pas avoir à vous faire intervenir... !</t>
  </si>
  <si>
    <t>lh-92593</t>
  </si>
  <si>
    <t xml:space="preserve">Très facile à utiliser ce point me permettra de finaliser mon choix. Ma démarche nécessite de vérifier des offres concurrentielles donc votre positionnement tarifaire sera à confirmer </t>
  </si>
  <si>
    <t>al-57356</t>
  </si>
  <si>
    <t xml:space="preserve">Très mauvais service, absence totale de notion service client aucune notion de service qualité. impossibilité de résilier de manière simple et à l'amiable même en renonçant au remboursement partiel de la prime.
Accueil téléphonique très aléatoire
Méthodologie de l assureur des années 80, qui consiste a faire perdurer le tacite contrat de reconduction.
Ce que dit la loi : article L 113-12 du Code des Assurances
L assuré a le droit de résilier le contrat à l expiration d un délai d un an, en envoyant une lettre recommandée à l assureur au moins deux mois avant la date d échéance.  Le droit de résilier le contrat tous les ans doit être rappelé dans chaque police. Le délai de résiliation court à partir de la date figurant sur le cachet de la poste. 
 qu'on m'explique ce que je n ai pas compris dans ce texte et que l on mette un terme a ce roman </t>
  </si>
  <si>
    <t>15/09/2017</t>
  </si>
  <si>
    <t>jennifer-m-133844</t>
  </si>
  <si>
    <t>Les prix me conviennent... J ai realidé plusieurs devis en ligne et c est chez vous que jai decidz de contracter ce contrat. J airais aimé pouvoir prendre le boitier mias je ne sias pas si ma voiture a une prise</t>
  </si>
  <si>
    <t>jny-61747</t>
  </si>
  <si>
    <t xml:space="preserve"> Vente forcée par téléphone. Une personne vous appelle se faisant passer pour l’intermediaire De votre mutuelle, et vous fait signé un contrat électroniquement sans que vous vous en rendiez compte. Bien évidement, ni connaissant rien , j’ai dépassé le délai de rétractation. Comment puis je résilier ce contrat ? Si j’ai bien compris, j’en ai pour un an de prélèvement ! Pour le moment j’ai fais opposition à ma banque </t>
  </si>
  <si>
    <t>thib-60198</t>
  </si>
  <si>
    <t>Fuyez vite !!!! : je résilie mon contrat en décembre 2017(loi Chatel) et bien le 05 janvier mon compte est débité de 659 euros ??? On me répond que c'est tout à fait normal et de ne surtout pas m'inquiéter je vais être remboursé. Quand ? on me répond : peut être fin de semaine prochaine !!!! absolument scandaleux. l'olivier prendrait-il en charge les agios bancaire??? cela m'étonnerait</t>
  </si>
  <si>
    <t>dylan-75830</t>
  </si>
  <si>
    <t>Pas professionnel, contrat resilié pour non payement au bout de deux mois seulement, impossible de négocier, obligation de payer la moitié d'année ou on vous résilie votre contrat... n'importe quoi.</t>
  </si>
  <si>
    <t>12/05/2019</t>
  </si>
  <si>
    <t>marine-h-125009</t>
  </si>
  <si>
    <t xml:space="preserve">Plutôt satisfaite par les tarifs et la rapidité d’exécution . A voir au niveau des garanties à long terme. Impossible de juger pour le moment sans avoir eu besoin d’utiliser l’assurance </t>
  </si>
  <si>
    <t>27/07/2021</t>
  </si>
  <si>
    <t>morel-d-130450</t>
  </si>
  <si>
    <t xml:space="preserve">ok pour les tarifs 
j'en suis très content 
le service client est exceptionnel 
merci encore de votre écoute client et de votre professionnalisme
ne changé rien merci     </t>
  </si>
  <si>
    <t>31/08/2021</t>
  </si>
  <si>
    <t>priscilla-c-124817</t>
  </si>
  <si>
    <t>simplicite de fonctionnement. Renseignement facile a remplir. les prix sont plus que correct et il en est de meme pour les options.  Service rapide. a voir avec le temps...</t>
  </si>
  <si>
    <t>26/07/2021</t>
  </si>
  <si>
    <t>alia-129550</t>
  </si>
  <si>
    <t>Très bon accueil de Lissa au téléphone .Elle m'a bien conseillé e et orienté sur mes questions  Lissa est une personne à l'écoute et vous explique les démarches une à une . Merci.</t>
  </si>
  <si>
    <t>26/08/2021</t>
  </si>
  <si>
    <t>didierkisscool-54374</t>
  </si>
  <si>
    <t>Venu pour un devis, mais malheureusement la MACIF n'est pas du tout concurrentiel. 2 fois plus chère que la concurrence.......................................</t>
  </si>
  <si>
    <t>29/04/2017</t>
  </si>
  <si>
    <t>youpi-82124</t>
  </si>
  <si>
    <t>Ayant reçu une assurance vie dans le cadre dd'un héritage, j'ai fait une demande de rachat. La première fois celle-ci n'a pas été traitée (oubli ou souci informatique), mais lorsque je les ai relancé j'ai finalement reçu les fonds en un peu plus de 2 semaines. J'ai été très inquiet en voyant les commentaires sur ce site, mais malgrès tout je pense qu'on peut leurs faire confiance. Ils n'ont juste pas un très bon service client.</t>
  </si>
  <si>
    <t>20/12/2019</t>
  </si>
  <si>
    <t>pcalland-77402</t>
  </si>
  <si>
    <t>Tout à fait d'accord avec les autres avis négatifs.
Je vais changer d'assurance.
Ça fait pourtant 45 ans que j'étais sociétaire.
Voilà 2 sinistres où je paye les réparations sans un sous d'indemnités.
Exemple: une tempête soulève et casse des tuiles sur le toit de la maison.
Dégats 400 E. Franchise 350 E
Donc Indemnité prévue  50 E
J'envoie photos et copie du bulletin Météo. Réponse: désignation d'un expert qui réclame 2 devis et une attestation du Maire qu'il y a bien eu une tempête.
Refus du Maire qui me renvoie sur le bulletin de Météo France...
Vu l'urgence, le remplacement des tuiles est fait et payé sans devis.
On tourne en rond.
Conclusion : j'ai fait une croix sur les 50 E
Donc pas de couverture réelle du risque assuré !</t>
  </si>
  <si>
    <t>06/07/2019</t>
  </si>
  <si>
    <t>ben-10-122150</t>
  </si>
  <si>
    <t>Assurance à FUIIIIIIIIIR !!!!
Niveau prix elle se démarque assez bien des autres assurances. Mais par contre réfléchissez à 10 fois avant de vous lancer avec l'olivier !!!
T'as un sinistre = t'es MORT !!! = pas de remboursement ni rien du tout (même étant assurée tous risques) !
Attention !!
Pire assurance que j'ai eu en 30 ans de permis.</t>
  </si>
  <si>
    <t>02/07/2021</t>
  </si>
  <si>
    <t>cierras-61083</t>
  </si>
  <si>
    <t xml:space="preserve">Mon père a assuré sa voiture chez e allianz. Il a eu un sinistre en novembre. L'expert a déclaré qu'il avait fait une déclaration fausse en mettant que c'était un tiers qui avait abimé sa voiture. Mais je sais qu'il n'a pas menti. De plus, il est en tout risque. Comme mon père est en réanimation, j'ai repris le dossier. Le service client que j'ai contacté 4 fois, a pu seulement me dire lors du premier coup de téléphone qu'un gestionnaire étudiait le dossier dit en anomalie. A chaque appel, le service client prend mon numéro et me dit que je vais être contactée par le gestionnaire pour expliquer la situation. Mais le gestionnaire ne me contacte jamais. Lors des derniers appels, le service client a été en dessous de tout en me raccrochant au nez.
J'ai vraiment l'impression que cette assurance se sert du mauvais état de santé de mon père pour ne pas me répondre et ne pas payer.
Je vous le dis:
FUYEZ CETTE ASSURANCE, SERVICE CLIENT EN DESSOUS DE TOUT: ZERO POINTE
CETTE ASSURANCE N'A AUCUNE CONSIDERATION POUR SES CLIENTS.
</t>
  </si>
  <si>
    <t>nicole-v-111719</t>
  </si>
  <si>
    <t>JE SUIS SATISFAITE POUR L'INSTANT CAR JE PAIE MOINS.JE N'AIS PAS DE PROBLEME AVEC VOUS. VOUS ETES UN SERVICE AGREABLE. RESTEZ TELLE QUE VOUS ETES EN CE MOMENT MERCI.</t>
  </si>
  <si>
    <t>kienla-51278</t>
  </si>
  <si>
    <t>En litige depuis le vol de mon scooter en novembre 2016 cet assureur est réellement a éviter. Prix attractif certes mais grosse galère en cas de litige. Tromperie sur les estimations et surtout bien prendre connaissance des particularités qui ne sont évidemment pas indiqués lors du premier contact avec les opérateurs....</t>
  </si>
  <si>
    <t>13/01/2017</t>
  </si>
  <si>
    <t>gafsaoui-s-109987</t>
  </si>
  <si>
    <t xml:space="preserve">Je très satisfait du tarif qui est très bien et avec une très grande rapidité du traitement du dossier très reatifs et une très bonnes relations clientèles merci </t>
  </si>
  <si>
    <t>11/04/2021</t>
  </si>
  <si>
    <t>bouyre-a-109495</t>
  </si>
  <si>
    <t>personne sympathique et claire au téléphone(samantha)rien à redire,prix corrects.beaucoup de facilités pour se connecter sur son compte personnel.maintenant reste à voir avec le temps.</t>
  </si>
  <si>
    <t>titine5940-52246</t>
  </si>
  <si>
    <t>sinistre du 16 mai 2014 suite a l'incendie de ma voiture Les bâtiments ont été sinistrés depuis ce jour pas de rapports d'expert ni de remboursement des bâtiments et du stocks de pièces brulées</t>
  </si>
  <si>
    <t>09/02/2017</t>
  </si>
  <si>
    <t>salliot-n-116508</t>
  </si>
  <si>
    <t>Satisfaite bonne communication et rapide tarifs raisonnables 
Je recommande Olivier assurances top niveau budget et son très claires dans la communication</t>
  </si>
  <si>
    <t>lionel-m-125168</t>
  </si>
  <si>
    <t>Je suis satisfait du tarif proposé.
simple et rapide 
c'est mon troisième contrat avec satifaction
le service téléphonique est également satisfaisant.</t>
  </si>
  <si>
    <t>28/07/2021</t>
  </si>
  <si>
    <t>marnie-68363</t>
  </si>
  <si>
    <t>fuyez,!!!!
malgré mes réclamations de remboursement pour un contrat non valide ils font les autruches!
ils me doivent 250 euros</t>
  </si>
  <si>
    <t>05/11/2018</t>
  </si>
  <si>
    <t>laetitia1010-80867</t>
  </si>
  <si>
    <t>Bonjour
Après 21minutes d'attente au téléphone pour le service sinistre Toujours  personne au bout du fils pour une déclaration de sinistre. Sachant que c'
Photo à l'appui sur le téléphone est ouvert jusque 15h</t>
  </si>
  <si>
    <t>09/11/2019</t>
  </si>
  <si>
    <t>01/11/2019</t>
  </si>
  <si>
    <t>albano-m-127766</t>
  </si>
  <si>
    <t>Très satisfait de la prestation et le recommandé très pratique et simple rapide en ligne le tarif et pas chère et convenable je vous le recommande merci</t>
  </si>
  <si>
    <t>perriquiaux-c-128135</t>
  </si>
  <si>
    <t xml:space="preserve">Service réactif et prix raisonnables. Je recommande pour un jeune conducteur.Les garanties sont bien adapté à ma sitaution et le prix est vraiment interressant.
</t>
  </si>
  <si>
    <t>delphine-89103</t>
  </si>
  <si>
    <t>Assurer depuis bientôt 2 ans en payant plus de 100€ par mois pour un tout risque avec ma voiture. J'ai eu un sinistre avec quelqu'un qui m'a menacé de me tuer et qui a bien évidemment refusé de remplir un constat. Résultat, plainte à l'appui avec condamnation du magistrat et accident reconnu pas en tort. Mais étant donner que le tiers de cette personne ne répond pas à cette accident il me reconnaisse 100% responsable et si je veux faire réparer ma voiture ils me demandent la franchise. Donc au niveau qualité service je regrette d'être passé chez eux, j'appelle très souvent et mon dossier ne ne suit pas. Il n'avance pas et cela fait 6 mois mtn.... 
En gros c'est le genre d'assurance à fuir si il vous arrive quelque chose car ils ne remplissent pas les thermes de leur propre contrat, c'est à dire vous protéger en cas d'accident</t>
  </si>
  <si>
    <t>24/04/2020</t>
  </si>
  <si>
    <t>louis-91688</t>
  </si>
  <si>
    <t>Simple et efficace, tarif attractif, sur mesure. L’application est fonctionnelle, adaptée aux besoins. J’espère être satisfait des services et de pouvoir recommander</t>
  </si>
  <si>
    <t>20/06/2020</t>
  </si>
  <si>
    <t>domie-77581</t>
  </si>
  <si>
    <t>bonjour  je me permet de dire que la dame que j ai eu ce jour au tél c est IRIS a été très aimable et très processionnelle pour gérer ma demande merci a elle  et bonne soirée</t>
  </si>
  <si>
    <t>12/07/2019</t>
  </si>
  <si>
    <t>metal87-55008</t>
  </si>
  <si>
    <t xml:space="preserve">j'ai 3 véhicules d'assurer chez eux ,... enfin j'avais !
 j'ai eu 2 sinistres non responsables ....il m'ont résilié 1 contrat au motif : que lorsque qu'il y a 2 sinistres (responsable ou pas ! )...y résilie !....un comble ...et l'autre contrat impossible de leur envoyer les documents demandés ....leur site bug !! ...je demande par mail une adresse postal ou je pourrai leur envoyer les documents et au lieu de ça....y résilie ce contrat également !!....à aujourd'hui il me reste 1 contrat sur les 3 ....je cherche un assureur pour cette voiture et je casse ce contrat ,un conseille: FUYEZ CET ASSUREUR LOW COST !!!!
 </t>
  </si>
  <si>
    <t>30/05/2017</t>
  </si>
  <si>
    <t>laurent-b-129707</t>
  </si>
  <si>
    <t>Je suis satisfait du service 
Prix intéressant , attractif , clair , précis , très satisfait , intéressant , facile à utiliser , je recommande vivement</t>
  </si>
  <si>
    <t>27/08/2021</t>
  </si>
  <si>
    <t>christian-h-130938</t>
  </si>
  <si>
    <t xml:space="preserve">Bon service mais le paiement obligatoire des 2 premiers mois n'est pas nécéssaire si c'est offert par geste commercial. Attends de voir le service avant de vous recommander </t>
  </si>
  <si>
    <t>mimi-97414</t>
  </si>
  <si>
    <t>ma mere est dans cette mutuelle depuis 2016 et son employeur lui informe en 2020 quelle est chez AG2R elle n'a jamais recu de carte. Dernierement elle était obligé de payer les frais médicaux, le docteur, les radio etc... de sa poche
A force de débourser elle a du se joindre a une mutuelle, actuellement elle se retrouve avec 2 mutuelles dont une imaginaire qui est AG2R vu qu'elle na aucune trace , et n'etait pas au courant de son existance et en plus ils lui réclame des sous.
franchement je conseille pas cette mutuelle</t>
  </si>
  <si>
    <t>15/09/2020</t>
  </si>
  <si>
    <t>louis-91001</t>
  </si>
  <si>
    <t>Top ! Le site est très facile à utiliser et les tarifs proposés sont les plus compétitifs du marché ! Un grand bravo ! Hâte d’assurer ma nouvelle voiture chez Direct assurance !</t>
  </si>
  <si>
    <t>16/06/2020</t>
  </si>
  <si>
    <t>filou-90131</t>
  </si>
  <si>
    <t xml:space="preserve">Bonjour,
De plus en plus compliqué de déclarer un sinistre et d’envisager d’être remboursé avec la Maif.
Des informations optimistes avec une premier contact avec un interlocuteur au téléphone.
Puis une réalité plus que décevante avec des documents publicitaires qui s’avèrent  trompeurs.
De plus en plus à déconseiller...
</t>
  </si>
  <si>
    <t>09/02/2021</t>
  </si>
  <si>
    <t>pat31-87474</t>
  </si>
  <si>
    <t>J'ai ouvert un contrat assurance vie nommé PRISM en 1991 à Paris puis transféré dans une autre ville.
Je souhaite avoir des informations sur mon contrat directement hors réseau (sans passer par mon conseiller qui ne l'ai plus d'ailleurs récemment à ma demande). Depuis plus d'une bonne semaine, j'essaie de contacter le service compétent "sur Paris" pour me donner des informations sur ce contrat assurance-vie et sur sa gestion.  
Vendredi dernier, une personne devait m'appeler pour me donner des informations sur mon contrat et sur le changement de réseau AP2, réseau gérant mon contrat. J'attends toujours. Depuis 3 jours, j'ai envoyé des mails à reclamation.vie@axa.fr pour être contacté. A ce jour, AXA ne m'a toujours pas contacté. Combien temps faudra-t-il que j'attende ?</t>
  </si>
  <si>
    <t>21/02/2020</t>
  </si>
  <si>
    <t>01/02/2020</t>
  </si>
  <si>
    <t>stefany594-59832</t>
  </si>
  <si>
    <t>Bonjour,
je suis cliente Santévet depuis juin 2017 pour mon chat et mon chien jusque là pas de gros soucis rencontrés (bobologie). 
Mon chien s'est blessé accidentellement début décembre il doit être opéré. Et la COLERE!!
Pauvre de lui car selon le service client il est trop petit, trop carlin, trop chihuahua pour être pris en charge. Je dirais bien quelque chose mais je vais rester poli. 
Alors que les accidents devraient être couvert à 70% d'après ma formule, Santévet refuse de prendre en charge l'opération. Pire ils exigent une radio pour vérifier qu'il n'a pas d'autres problèmes (en attendant de me radier il faut savoir qu'on est loin du plafond annuel même avec l'opération)!! Je trouve cela honteux à quoi servez vous donc? 
Les personnes au téléphone sont insultante, remettant même en cause la bonne foie de mon vétérinaire qui risque bien de plus les promouvoir longtemps. 
Je ne laisserais pas passer une telle injustice je me battrais pour mon loulou par principe car oui il sera opéré quoi qu'il arrive mais un contrat se doit d'être tenu un accident reste un accident!  Et moi je vous paye tous les mois</t>
  </si>
  <si>
    <t>20/12/2017</t>
  </si>
  <si>
    <t>chloee-d-136435</t>
  </si>
  <si>
    <t xml:space="preserve">Bonjour, 
Selon un sois disant bug informatique vous me demandiez de payer 131€ et quelques. Le problème a été réglé mais je ne comprend pas bien ce bug. </t>
  </si>
  <si>
    <t>07/10/2021</t>
  </si>
  <si>
    <t>died-102569</t>
  </si>
  <si>
    <t xml:space="preserve">augmentation de la cotisation de 15 euro sachant que je n'ai eu aucun sinistre ces 10 dernières années même pas un bris de glace!
et pas de possibilité de recevoir un geste commercial au contraire augmentation!
lors de mon appel téléphonique il me dis clairement oui aller vous assurez ailleurs ,je comprend….
</t>
  </si>
  <si>
    <t>oussama-s-128289</t>
  </si>
  <si>
    <t xml:space="preserve">Merci de m’envoyer le contrat sur ma boîte mail ct une bonne assurance que je recommande pour des proches à moi et mes amis  merci de cette expérience que je retiens en bonne leçon </t>
  </si>
  <si>
    <t>patrick-m-115132</t>
  </si>
  <si>
    <t xml:space="preserve">Les prix sont très attractifs et compétitifs, et le service est très correct ; Je le conseil en particulier aux jeunes conducteurs. Faites leur confiance </t>
  </si>
  <si>
    <t>hilm-113577</t>
  </si>
  <si>
    <t>Catastrophique. Adhérent depuis plus de 30 ans, je n'avais jusqu'à présent que très peu utilisé leurs services. Quelques passages chez le médecin traitant, de la pharmacie...etc..
Tout allait bien
Je suis tombé gravement malade (cancer) et là l'enfer MGEN a commencé. Évidemment mon nombre de demande de remboursement a subitement augmenté... Et là tous les prétextes étaient bons pour refuser, y compris avec la pire des mauvaises foi... J'ai fini par devoir citer systématiquement paragraphe de leurs conditions générales pour chaque remboursement. Malgré ça, on m'a refusé je le répète presque systématiquement les remboursements.
A chaque fois, j'ai déposé une réclamation et j'ai été remboursé alors systématiquement, preuve que les frais étaient pris en charge dans mon contrat.
D'un côté on pourrait se dire que finalement, la MGEN rembourse... mais en réalité quand vous êtes déjà dans une situation très difficile, trouver la force de se battre contre la MGEN en même temps que contre la maladie est très difficile.
Mon sentiment est que chaque adhérent est scruté. Si le montant de vos remboursement est inférieur à vos cotisations tout va bien. Si c'est l'inverse, on vous pousse à "lâcher l'affaire" pour parler clairement. Ils comptent probablement sur la lassitude et l'épuisement des gens...
J'ajoute que quand vous êtes dans ce genre de maladie, il ne vous est pas possible de changer de mutuelle puisque aucune autre n'acceptera de vous accueillir avec une pathologie lourde. La MGEN très consciente de ce fait -(on me l'a fait remarquer lors d'une conversation téléphonique) n'hésite pas à abuser de sa position.
Pour information, j'ai réussi à vaincre la maladie fin 2020. Changer de mutuelle n'était pas la première de mes priorité, j'ai d'abord repris la vie normale, et profité de ma famille. Néanmoins ce trimestre j'ai trouvé le temps de changer de mutuelle.
Sans regrets...
Toutes les mutuelles ne sont pas aussi mauvaises, loin s'en faut. Simplement la MGEN bénéficie d'un vivier : les enseignants. D'abord ceux-ci n'ont pas le choix, ils ont la MGEN en sécurité sociale et cette société joue de cette ambiguïté pour les pousser à la choisir en mutuelle. Elle utilise aussi des méthodes plus contestables. Du coup, elle n'a aucune raison de se remettre en question puisqu'elle est "assurée" d'avoir un recrutement de nouveaux adhérents de manière quasi automatique. 
Vraiment à éviter...</t>
  </si>
  <si>
    <t>tanguy-132919</t>
  </si>
  <si>
    <t>Contacte téléphoner avec aminata: parfait!!! J ai obtenu tres rapidement les réponses à mes questions. Réponses claires, précises et répondant à mes interrogations.</t>
  </si>
  <si>
    <t>tartuffe82-104557</t>
  </si>
  <si>
    <t xml:space="preserve">Cette mutuelle qui se voulait différente  EN 1960 à perdu son âme en voulant se développer, lorsqu'elle a délocalisé la gestion des sinistres dans des plateformes situées à des centaines de kilomètres de votre ville. Plus moyen de discuter en tête à tête avec la personne chargée du dossier qui sait qu'elle ne risque rien car couverte par sa hiérarchie.
En effet après trois avis contradictoires en une semaine j'ai demandé en août 2020 à changer de gestionnaire pour reprendre le dossier à zéro en toute sérénité. ( Qui est d'ailleurs le nom de mon contrat) Je n'ai jamais eu de réponse de ladite hiérarchie injoignable de toutes facons. Des qu'on tape le numéro du sinistre on tombe sur le gestionnaire de votre dossier lorsqu'il répond ou sur un collègue qui note un message mais qui ne répond rien. 
A la MAIF LA DISTANCIATION SOCIALE  ils connaissent  bien et avant le covid ! Mais nous ne sommes pas des virus mais des sociétaires. " ASSUREURS ET ASSURES" .(SOIT DISANT) MAIS QUAND ON A LE ROLE DE L'ASSURÉ ON N'A PLUS AUCUN DROIT !
Autant aller s'assurer dans une banque ou un hyper marché ! Les gens que vous pouvez rencontrer en délégation sont réduits au rôle de commerciaux.
Pour info je suis sociétaire depuis 1973 et je suis tombé sur une gestionnaire qui n'arrêtait pas de me dire "on n'est plus des enfants" jusqu'au moment où exaspéré je lui ai fait remarquer que j'avais 67 ans !
Déçu, très déçu, extrêmement déçu.
</t>
  </si>
  <si>
    <t>21/02/2021</t>
  </si>
  <si>
    <t>cantissimo-64695</t>
  </si>
  <si>
    <t>Chez Santiane depuis 2014, j'ai été recontacté par le service client aujourd'hui. La conseillère clients a été très aimable et patiente et les conseils prodigués, judicieux. Je suis très satisfait. Cantissimo.</t>
  </si>
  <si>
    <t>12/06/2018</t>
  </si>
  <si>
    <t>marc-62224</t>
  </si>
  <si>
    <t>ATTENTION SERVICE CLIENT SANS COMPETENCE
IMPOSE UNE SIGNATURE ELECTRONIQUE SANS AVOIR RECU LE CONTRAT
NE VOUS INDIQUE PAS QUE VOTRE CONTRAT A UNE DUREE DE 1AN OBLIGATOIRE
Etait client en mutuelle d'entreprise 
(attention en tant que privée)</t>
  </si>
  <si>
    <t>12/03/2018</t>
  </si>
  <si>
    <t>etienne-c-111801</t>
  </si>
  <si>
    <t>je suis satisfait des services, mais n’ayant jamais eu aucun accident depuis toujours, ma prime ne fait qu 'augmenter ..!!!
Certes vous allez me dire qu'ailleurs c'est plus cher, mais le client exemplaires que je suis se trouve fort peu récompensé !!
Cordialement, etienne</t>
  </si>
  <si>
    <t>willy-61550</t>
  </si>
  <si>
    <t>Assuré tous risques depuis plus de 12 ans, sans sinistre, 50% de bonus. Avec 2 véhicules assurés chez eux, en tous risques. Au mois de septembre un véhicule se déboitant sans regarder m'a réduit ma voiture à l'état d'épave. L'expert à leurs ordres a proposé un prix ridicule pour mon véhicule, alors que je n'étais pas en tort et que j'avais fourni toutes les preuves d'un entretien régulier et du parfait état de ma voiture. Celà va faire 6 mois et il ne m'ont envoyé qu'un chèque qui ne correspond même pas à la proposition de l'expert. C'est une bande de ...(on m'a dit de ne pas dire ce que j'en pensais), il n'y a que dans les pubs à la télé qu'ils sont au service du client. Je vais résilier tout ce que j'ai chez eux. Une assurance à fuir absolument.</t>
  </si>
  <si>
    <t>18/02/2018</t>
  </si>
  <si>
    <t>zazouille-97661</t>
  </si>
  <si>
    <t>Assurée depuis 22 ans chez eux, j'ai vu la gestion des dossiers s'aggraver au fil des années et surtout depuis 1 an et demi. Nous avons décidé de ne plus cotiser à une mutuelle santé tellement nous avons été écœuré de l'augmentation excessive et de leurs comportements quand nous avons demandé à changer le mode de prélèvement, etc... Nous ne voulons plus cautionné cet environnement malsain surtout que nous fonctionnons plutôt en mode nature donc quasiment jamais chez le médecin... Je ne peux que l'avouer, cette mutuelle santé est à fuir, et ce malgré des tarifs, sachez le, bien placés par rapport aux autres compagnies. Ne pas oubliez une chose : l'appât du gain avant tout car depuis l'intégration dans le groupe vyv, leur priorité c'est d’amasser de l'argent!!! Du coup, communication et bienveillance devenus inexistantes. Quelle pitié! J'espère juste qu'elle est en train de se foutre une balle dans le pied....</t>
  </si>
  <si>
    <t>cosmicboy-99304</t>
  </si>
  <si>
    <t>Rien a reprocher, l équipe est toujours a l écoute et fait tout pour trouver des solutions rapides. Bravo et bonne continuation. Je suis fidèle à amv depuis plus de 10 ans.</t>
  </si>
  <si>
    <t>27/10/2020</t>
  </si>
  <si>
    <t>01/10/2020</t>
  </si>
  <si>
    <t>bastien-m-136799</t>
  </si>
  <si>
    <t>Je suis satisfait de la rapidité de l'adhesion et des garanties proposées ainsi que du prix des prestations. La simplicité d'inscription est vraiment formidable.</t>
  </si>
  <si>
    <t>09/10/2021</t>
  </si>
  <si>
    <t>mim26-55313</t>
  </si>
  <si>
    <t xml:space="preserve">EUROFIL A FUIR !!!!! 
Je suis dans la même situation que les autres, je demande si je peux rajouter ma fille jeune conductrice en tant que conductrice secondaire sur ma voiture et HOP on me résilie mon contrat !!! Le pire j'appelle le service client on me dit qu'ils ne peuvent rien faire c'est bon résilié et ils veulent aussi me faire croire que moi même j'ai dit que même si vous n'acceptez pas de jeune conducteur je laisserai quand même ma fille conduire ! En plus elle me dit ça nous arrive pas de résilier des contrats d'un coup comme ça ! Vu vos commentaires je me dis que je ne suis pas la seule. </t>
  </si>
  <si>
    <t>12/06/2017</t>
  </si>
  <si>
    <t>foufuret-65404</t>
  </si>
  <si>
    <t>Parlons-en depuis plus de 15 ans sociétaire MACIF. Tout va bien si vous n'avez pas de sinistre. En Février 2018, gros dégat des eaux, en principe sommes couverts.L'expert passe tout va bien, il transmet son rapport à la MACIF alors là rien ne va plus (+10000 € de travaux) le rapport d'expert est incomprehensible, avec des erreurs de dates, le nom mentionné sur le rapport ce n'est même pas le notre. Enfin, bref, ils  nous ont envoyé des lettres types truffées de fautes tout ça pour nous dire que nous ne serons pas dédommager. Et la on hallucine, pourquoi s'assurer, que l'on m'explique. Malgré tous mes courrier en LRAR toujours la même réponse. La décision est prise nous ne vous dédommagerons pas. On nous répond de contacter encore une fois par courrier le Médiateur de la MACIF. On croit rêver. Nous irons jusqu'au bout nous ne lacherons rien. Nous irons devant les tribunaux s'il le faut.
C'est tout juste lamentable.</t>
  </si>
  <si>
    <t>19/07/2018</t>
  </si>
  <si>
    <t>julo-107806</t>
  </si>
  <si>
    <t xml:space="preserve">Très satisfait ,personnes à l'écoute, et options très satisfaisante. Je recommande L'OLIVIER Assurance, prix bas et pas mal d'options au choix. Aucun regret. </t>
  </si>
  <si>
    <t>24/03/2021</t>
  </si>
  <si>
    <t>zeller-b-128679</t>
  </si>
  <si>
    <t>Globalement satisfait, jusque là sachant que je viens juste de souscrire, c'est au moment où j'aurai un soucis que je pourrai donner un avis sur le service.</t>
  </si>
  <si>
    <t>19/08/2021</t>
  </si>
  <si>
    <t>jessica-d-110016</t>
  </si>
  <si>
    <t xml:space="preserve">je suis très satisfaite du service et je recommande .Service très recaptive aux problèmes et très a l écoute de ses clients et les prix sont très abordable aux jeunes conducteurs </t>
  </si>
  <si>
    <t>sofifon-63773</t>
  </si>
  <si>
    <t>Assurance qui ne sert à rien, aucune réactivité, très mauvaise prise en charge, aucun suivi, bref A EVITER!!! J'ai eu un accident (non responsable) et j'ai du attendre 3 semaines pour avoir un véhicule de prêt!!! Inacceptable</t>
  </si>
  <si>
    <t>04/05/2018</t>
  </si>
  <si>
    <t>pons-68174</t>
  </si>
  <si>
    <t>Suite au décés de ma grand mére le 30/05/2018. L'AFER nous a envoyé le dossier dans le mois afin de regler les sommes. Nous avons mis 4 mois pour obtenir l'acte de notoriété du notaire et nous l'avons envoyé de suite car nous avions déjà le dossier. 
L'afer a reglé la somme en 3 semaines. 
Rien à dire contrairement à Cardif.</t>
  </si>
  <si>
    <t>sotiris86-66589</t>
  </si>
  <si>
    <t xml:space="preserve">MAIF  A éviter absolument !!! Pour régler les cotisations aucun problème...Mais en cas de sinistre faut être vraiment patient aucune écoute d un conseiller quelqu il soit, renseignements erronés lenteur du traîtement du dossier dirigé vers un soi-disant expert: union d experts qui n a d expert que le nom pas le moindre respect au téléphone presque ils nous crient dessus  se contente de recevoir des devis ou factures  en donnant son avis sur l'indemnisation Aucun contact par téléphone Faut 3 semaine minimum pour traiter un dossier Aucune relation client assuré à la MAIF !!! Dans mon cas sinistre pour un portable acheté neuf 700€ en 2014 indemnisation écoutez bien 125€ et sur les 125€ faut compter une franchise de 125€ donc pas de remboursement </t>
  </si>
  <si>
    <t>04/09/2018</t>
  </si>
  <si>
    <t>01/09/2018</t>
  </si>
  <si>
    <t>nicolas-saldana--92141</t>
  </si>
  <si>
    <t xml:space="preserve">Impeccable j’ai demander un devis tout ces bien passer et on m’a proposer un bon prix très abordable en tant que jeune conducteur et je recommande fortement cette assurance </t>
  </si>
  <si>
    <t>24/06/2020</t>
  </si>
  <si>
    <t>malek-55599</t>
  </si>
  <si>
    <t>L'olivier assurance en clair un prix certes mais rien mais alors rien d'autre Après 2 constats clairs ils sont là non pas pour défendre vos intérêts mais  pour vous faire porter des responsabilités même si pour n'importe quel assureur ceci est une évidence un conseil ne souscriver jamais chez eux  puisqu au final au moindre accrocs ils défendent les intérêts de la partie adverse</t>
  </si>
  <si>
    <t>23/06/2017</t>
  </si>
  <si>
    <t>melissa-52486</t>
  </si>
  <si>
    <t xml:space="preserve">Partez en courant!!!! Le prix est attractif mais dès que vous avez souscris c'est l'horreur ! Chercher du prix c'est bien mais pas au détriment de la qualité. Du coup je préfère payer un peu plus chère mais avoir des gens compétents qui n'essaye pas de vous avoir. J'aurai du regarder les avis avant de souscrire car quand j'ai lu les commentaires je n'étais pas étonné. </t>
  </si>
  <si>
    <t>16/02/2017</t>
  </si>
  <si>
    <t>frederic-97497</t>
  </si>
  <si>
    <t xml:space="preserve">Cegema m'a donné satisfaction concernant les prestations mais trouvant la cotisation élevé, je me suis dirigé vers une autre mutuelle. Je ne suis pas certain d avoir fait le bon choix....
</t>
  </si>
  <si>
    <t>16/09/2020</t>
  </si>
  <si>
    <t>vigilant83-70628</t>
  </si>
  <si>
    <t xml:space="preserve">la MAAF qui est une mutuelle dont les objectifs ne sont censément pas être les mêmes qu'une assurance à but lucratif, ne propose pas des tarifs véritablement inférieurs, mais surtout et malheureusement utilise les mêmes méthodes que les assureurs privés pour pénaliser ou évincer ses clients au moindre sinistre, même après plusieurs années voir décennies sans sinistre. </t>
  </si>
  <si>
    <t>26/01/2019</t>
  </si>
  <si>
    <t>illoa-j-116149</t>
  </si>
  <si>
    <t>Les prix sont convenables, mais je n'ai que l'assurance habitation pour l'instant donc mon avis n'est pas forcément à l'échelle de la réalité. Je pense que pour un T1 BIS en périphérie d'une petite ville, pour un étudiant, 119€ reste cher ... Mais je ne me plains pas car il y a certainement plus cher</t>
  </si>
  <si>
    <t>06/06/2021</t>
  </si>
  <si>
    <t>stephgo77-60477</t>
  </si>
  <si>
    <t>Après deux passé chez Direct Assurance, je suis parti !
Les raisons : 23% d'augmentation en 2 ans ! cherchez l'erreur. Et ça sans aucuns accidents !
Ils peuvent vous attirer avec de beaux tarifs mais c'est un leurre...</t>
  </si>
  <si>
    <t>14/01/2018</t>
  </si>
  <si>
    <t>perraudin-p-109147</t>
  </si>
  <si>
    <t>LE MEILLEUR PRIX avec le furet en attendant la suite de vos services. J'espère ne pas m etre trompé . Avec mes remerciements. Philippe Perraudin, Annecy.</t>
  </si>
  <si>
    <t>04/04/2021</t>
  </si>
  <si>
    <t>alban-61663</t>
  </si>
  <si>
    <t>Impossible de joindre quelqu'un. Courrier en recommandé retourné car personne n'est venu le chercher. Impossible de changer d'assurance car absence des informations Bonus/Malus. A fuir...</t>
  </si>
  <si>
    <t>26/03/2018</t>
  </si>
  <si>
    <t>abby-139584</t>
  </si>
  <si>
    <t>A fuir, cet assureur vous demande sans cesse des attestations vétérinaires ou autres documents en plus de la feuille de soin et des factures. Ma vétérinaire ne fait que leur faire des attestations mais ça ne va jamais. Tout est fait pour ne jamais rembourser les assurés. Surtout ne venez pas chez assur'o poil!!! Vous ne serez pas couvert car ils ne vous remboursent jamais. Moi je suis resté une année et j'ai compris que jamais je ne serai remboursé. Quand on appelle un conseiller, on m'explique que dans les conditions générales il est indiqué que l assureur peut demander tout les justificatifs qu il juge utile avant remboursement !!! Donc cet assureur demande encore et encore des justificatifs....et il ne rembourse jamais.</t>
  </si>
  <si>
    <t>14/11/2021</t>
  </si>
  <si>
    <t>mojave-89334</t>
  </si>
  <si>
    <t>Site mal testé. Il vous déconnecte après un moment d'inactivité, ce qui est bien, mais il empêche de se reconnecter, ce qui n'est pas bien. Donc pas moyen d'envoyer un message.</t>
  </si>
  <si>
    <t>03/05/2020</t>
  </si>
  <si>
    <t>barbier-s-117763</t>
  </si>
  <si>
    <t>Prix compétitif. Pb de communication sur le devis au départ et pb de référence sur la version de la voiture. Mais interlocuteur aimable. Bien vérifiés les infos 2 fois ;-)</t>
  </si>
  <si>
    <t>21/06/2021</t>
  </si>
  <si>
    <t>aftam93-44662</t>
  </si>
  <si>
    <t xml:space="preserve">suite a une demande sur un comparatif santiane ma appeler le conseiller ma demander la date de fin de ma mutuel actuel la date 01/02/2018 il a fait le contrat indiquant la même date mais ma mutuel actuel suite au courrier a résilier pour le 31/05 j'ai contacter santiane envoyer une copie du courrier demander qu'il prenne effet le 01/06/2017 et suite a plusieurs appel de ma part je n'est  plus de nouvelle , je conseille de fuir cette mutuelle </t>
  </si>
  <si>
    <t>23/05/2017</t>
  </si>
  <si>
    <t>hrc-88685</t>
  </si>
  <si>
    <t>Client Allianz depuis plus de 10 ans.</t>
  </si>
  <si>
    <t>04/04/2020</t>
  </si>
  <si>
    <t>a-guichard-57500</t>
  </si>
  <si>
    <t>je suis totalement insatisfait de cette mutuelle, heureusement pour moi que quelqu'un m'avait conseillé un cabinet qui trouve des solutions à ce genre de soucis j'ai appelé le 01.82.83.70.31 ils sont très professionnels</t>
  </si>
  <si>
    <t>21/09/2017</t>
  </si>
  <si>
    <t>cerisien-110046</t>
  </si>
  <si>
    <t xml:space="preserve">Je suis assuré chez Santévet pour mon chat depuis 6 ans et n'ai pas à m'en plaindre. Il est vrai que des problèmes peuvent surgir mais les choses se règlent par téléphone. Je viens d'avoir le cas et les personnes avec qui je suis entré en contact ont été très correctes et un accord a été rapidement trouvé. Quant au tarif pratiqué pour mon niveau de garantie je le trouve honnête et en corrélation avec ceux pratiqués par d'autres assurances.    </t>
  </si>
  <si>
    <t>12/04/2021</t>
  </si>
  <si>
    <t>camille31-53744</t>
  </si>
  <si>
    <t xml:space="preserve">Ayant mon véhicule assuré à la MAAF, j'ai voulu assurer également mon habitation (que j'avais souscrite auprès de ma banque lors de la contraction du crédit immobilier). Un tarif m'a été annoncé par téléphone et j'ai reçu par courrier un contrat moins cher mais avec moins de garanties. J'ai donc téléphoné afin d'avoir les garanties et le tarif annoncé au départ mais cela n'a pas été possible : le tarif proposé n'existe pas ! Très sérieux la MAAF Toulouse Dupuy ! </t>
  </si>
  <si>
    <t>31/03/2017</t>
  </si>
  <si>
    <t>jetcia-100006</t>
  </si>
  <si>
    <t xml:space="preserve">La Macif à éviter
Suite à un dégât des eaux dû à un voisin (sinistre de 30/04/2020 ) plus de 6mois que ça dur. On a une chambre condamné suite au dégât des eaux.  j'ai appelé plusieurs fois, on me balade de plate forme téléphonique en plate forme téléphonique. c'est pas nous c'est l'expert, l'expert c'est pas nous c'est la Macif. Une belle partie de ping pong . j'ai 5 véhicules 50% de bonus , une habitation, une garantie accident a la Macif. jamais davantage, jamais une remise commerciale. juste bon a payé un service inexistant. je vais faire un tour chez les furets . com 
 </t>
  </si>
  <si>
    <t>12/11/2020</t>
  </si>
  <si>
    <t>moi-110683</t>
  </si>
  <si>
    <t>Je met 1 étoile car je n'ai pas la possibilité de mettre moins. 5 contrats habitations depuis plusieurs années, 1 litige de déclaré : le 29 août 2020 j'ai accroché une dame sur le trottoir, comme elle était au téléphone, celui ci est tombé. Déclaration devis le tout envoyé à Direct assurance. Malgré les relances 8 mois après je viens de savoir pas de remboursement car la boutique c'est trompée de date sur le devis le 20.08.2020 .J'ai essayé de prouver ma bonne foi mais rien à faire ils ne veulent rien payer. 300 euros . Je vais résilier mes contrats car je me dis si un jour ma maison brûle il me faudra attendre des années. Dans leur réponse, ils sont sur d'eux, c'est moi qui ai tort .ASSURANCE  A  FUIR</t>
  </si>
  <si>
    <t>liloo-111775</t>
  </si>
  <si>
    <t xml:space="preserve">Les remboursements des frais sont très longs, il faut compter plus de 15 jours, surtout quand les sommes sont importantes, dommage. Mais le contrat est bien respecté. </t>
  </si>
  <si>
    <t>christophe-v-111877</t>
  </si>
  <si>
    <t>Mon contrat Auto a été résilié sans demande de ma part !!!!!!!! Si demain j'ai un sinistre, on fait comment !!!!!???? Impossible d'avoir le service client !!!</t>
  </si>
  <si>
    <t>ingeli-125568</t>
  </si>
  <si>
    <t>Impossible d' avoir son agence, service sinistre incompétent bref beaucoup de belles pub à la télé mais que des promesses.
Payez et espérez ne pas avoir de sinistres à fuir !</t>
  </si>
  <si>
    <t>baptiste-l-124596</t>
  </si>
  <si>
    <t xml:space="preserve">Très pro et réactif  dans l accompagnement pour la création dune boulangerie
Explication claire et précise sur l ensemble du contrat d assurance.
Rien à redire </t>
  </si>
  <si>
    <t>Mapa</t>
  </si>
  <si>
    <t>multirisque-professionnelle</t>
  </si>
  <si>
    <t>ca--109300</t>
  </si>
  <si>
    <t>Ayant eu une MLD je n’ai eu aucune information et aucune aide, ni morale, ni matérielle pendant toute la durée du traitement , ni aucun renseignement sur les prises en charge, les courriers que j’envoyais n’arrivaient pas..... 
a la suite d’un accident peu après, la MAIF a signé un accord avec. la MGEN, mais celle ci l’ignorait.... et les remboursements trainaient en longueur, la MAIF a été obligée d’intervenir. 
Quand on est en « bonne santé » on n’a pas de problème, la MGEN se propose même pour vous assurer de belles vacances, mais si vous n’allez pas bien, elle vous tracassera un maximum, c’est ce que je retiens après plus de 60 ans d’adhesion. Qui dit mieux? On a un bel espace client, mais le personnel ignore les messages, ou ignore l’informatique. Quand vous avez un problème commencez avec les antidépresseurs....</t>
  </si>
  <si>
    <t>pascal-s-131775</t>
  </si>
  <si>
    <t>Simple et clair.  Les tarifs sont attractifs, les explications claires, le graphisme soigné. Options bien documentées. A voir à l'usage mais commence pas mal.</t>
  </si>
  <si>
    <t>07/09/2021</t>
  </si>
  <si>
    <t>abo-88305</t>
  </si>
  <si>
    <t>Le prix, uniquement le prix. Erreur d'information de la part d'un conseiller le mois dernier je me prend une pénalité de rejet de la banque alors qu'on m'avait certifié que l'on m'enverrait un mail pour payer en ligne par cb AVANT de représenter le prélèvement.  Ça n'a pas été le cas.  J'appelle,  on me balance que c'est ma faute et que le conseiller à du mal s'exprimer.  Pas de geste commercial, même pas d'excuses, rien. Ah oui et apparemment je fait tout une histoire pour "juste 8 euros"mais c'est le principe : si j'avais été informée que le prélèvement serait représenté,  j'aurais remis un peu d'argent sur le compte avant de le cloturer. Service client zéro.</t>
  </si>
  <si>
    <t>13/03/2020</t>
  </si>
  <si>
    <t>santi-c-107747</t>
  </si>
  <si>
    <t xml:space="preserve">il faudrait peut être un suivi et une réponse un peu plus rapide lorsqu'on vous écrit par mail dans l'application .Par contre votre service par sms est au top que se soit Hélène ou l'autre personne que j'ai eu </t>
  </si>
  <si>
    <t>neris-a-108976</t>
  </si>
  <si>
    <t>Je suis pour le moment satisfaite de mon inscription, je verrai par la suite la gestion en cas de sinistres. Merci de votre compréhension
Cordialement</t>
  </si>
  <si>
    <t>andre-m-106526</t>
  </si>
  <si>
    <t>Je suis satisfait du service, simple et pratique. En effet, le site est compréhensible et limpide. J'attribue donc trois étoiles chacune pour les prix et ma satisfaction.</t>
  </si>
  <si>
    <t>axelnit-69981</t>
  </si>
  <si>
    <t>Service client aimable mais incompétant : Très mauvais suivi des dossiers entre les différents conseillers. Il faut relancer souvent pour avoir des réponses. Grosse lenteur de traitement des dossiers.
Chez eux depuis 2 ans. Un sinistre dernièrement et me voilà résiliée.</t>
  </si>
  <si>
    <t>07/01/2019</t>
  </si>
  <si>
    <t>marc-c-127655</t>
  </si>
  <si>
    <t>Depuis x années chez AMV, toujours aussi satisfait à la fois des prix et du service. Je viens de changer mon contrat suite à un remplacement de moto, un jeu d'enfant.Je recommande sans réserve.</t>
  </si>
  <si>
    <t>liazid-a-126466</t>
  </si>
  <si>
    <t>Entièrement satisfait pour ce qui concerne le site internet. Pour le reste je n'ai pas encore d'opinion. Je pourrais me prononcer une fois mon assurance effective</t>
  </si>
  <si>
    <t>04/08/2021</t>
  </si>
  <si>
    <t>asmae-l-127990</t>
  </si>
  <si>
    <t xml:space="preserve">Super assurance de qualité par rapport aux prix aucun soucis. Je fais de grandes économies et sa fait du bien 
Je suis satisfaite grandement 
Merci direct assurance 
</t>
  </si>
  <si>
    <t>salomon-s-111460</t>
  </si>
  <si>
    <t xml:space="preserve">Le site est simple et pratique. 
Prix compétitif. 
On verra sur la durée.
je vais recommander cette assurance à mes proches pour la simplicité et le tarif. </t>
  </si>
  <si>
    <t>23/04/2021</t>
  </si>
  <si>
    <t>frederic-s-134662</t>
  </si>
  <si>
    <t>Prix attractifs après a voir en cas de sinistres
Après être obligé de mettre 150 caractère sur mon avis alors que je ne connais pas encore cette assurance
C'est moyen</t>
  </si>
  <si>
    <t>jojo-79079</t>
  </si>
  <si>
    <t xml:space="preserve">Délais de traitement des dossiers trop longs </t>
  </si>
  <si>
    <t>thierry-k-111601</t>
  </si>
  <si>
    <t xml:space="preserve">les prix sont en adéquation avec les franchises demandés en cas de dommage.
A étudier avec la concurrence. afin de trouver la meilleure offre possible  </t>
  </si>
  <si>
    <t>25/04/2021</t>
  </si>
  <si>
    <t>mjv-86534</t>
  </si>
  <si>
    <t>aucun suivi des dossiers . aucune synchronisation entre les services et l'agence locale .désolant</t>
  </si>
  <si>
    <t>xavier--106080</t>
  </si>
  <si>
    <t>A éviter à tout prix.Ma mère, 85 ans, a un sinistre qui n est pas résolu depuis 2 ans!
Aucune réponse aux e-mails , impossible de les joindre téléphoniquement, et lorsque vous allez dans une agence, vous avez des agents qui ont de la bonne volonté mais qui sont incapable de faire bouger leur propre organisation !
Du jamais vu!</t>
  </si>
  <si>
    <t>10/03/2021</t>
  </si>
  <si>
    <t>faiza-m-108853</t>
  </si>
  <si>
    <t xml:space="preserve">j' ai appelé le service pour un devis auto et habitation 
la conseillère m' a donné les prix 
je lui ai dit que j'allais en parlé avec ma femme pour voire les formules qu' elle m'a proposé la quelle on souscrit 
et elle m'a dit qu'elle allait m'a le lendemain 
j'attendais son appelle elle ne m'a jamais rappelé 
du coup je suis allé sur mon espace pour le voir les devis et me souscrire il n ' y a pas de devis 
du coup il faut encore pour tomber sur un autre pour tout recommencer </t>
  </si>
  <si>
    <t>normande14100-71429</t>
  </si>
  <si>
    <t>Nous sommes le 20 février 2019. je n'ai toujours pas reçu ma carte mutuelle de 2019. et Harmonie ne s'est toujours pas connecté avec la sécu malgré mes nombreux appels téléphoniques.</t>
  </si>
  <si>
    <t>20/02/2019</t>
  </si>
  <si>
    <t>joejoe-50501</t>
  </si>
  <si>
    <t>Très très mauvaise mutuelle.
J'ai le maximum en optique et dentaire.
Je paye 830 € par an alors que j'ai que 38 ans.
Je me suis fait faire des panoramiques dentaire 2 plombages deux extractions et un détartrage.
Et un comblement osseux.
Sur une facture de 1200 € la Sécu m'a remboursé 280 et harmonie mutuelle seulement 120 €</t>
  </si>
  <si>
    <t>20/12/2016</t>
  </si>
  <si>
    <t>soumaya--b-128147</t>
  </si>
  <si>
    <t xml:space="preserve">Re contactée rapidement pour répondre à mes questions par une personne très gentille et polie qui a su me guider et donner des repses claires à mes questions... et rapidité du site qui est simple d'utilisation </t>
  </si>
  <si>
    <t>sandwell-95950</t>
  </si>
  <si>
    <t>Déplorable. Leur service de devis en ligne ne fonctionne pas. Je souscris un devis et je me retrouve en conducteur principale ET secondaire. Je me fait engueuler au téléphone quand je leur fait remarquer. Du coup j'arrête de discuter et je demande a arranger la situation.
L'opératrice me dit qu'il faut annuler le contrat et en faire un nouveau.
Du coup je viens de payer 480euros et je dois repayer 480euros pour un contrat sans faute.
5min plus tard l'opératrice me rappelle et me dit que je suis toujours conducteur principal ET secondaire. Elle ne s'excuse toujours pas et je dois refaire un 3eme contrat parce que ce coup-ci c'est bon ça va marcher. Je suis toujours dans l'attente de mes chèques de remboursement, mais ils trouvent toujours des excuses pour ne pas me les envoyer...
Bref un désastre</t>
  </si>
  <si>
    <t>05/08/2020</t>
  </si>
  <si>
    <t>fonso-64450</t>
  </si>
  <si>
    <t xml:space="preserve">assurance vie à déconseiller fortement, ils trouvent toutes les excuses pour ne pas payer, ils perdent systématiquement les courriers et même les recommandés avec accusé de réception, il manque toujours une pièce au dossier.Mes parents on souscrit une assurance vie en pensant nous laisser un petit quelque chose à leurs décès et c'est le parcours du combattant pour que la cnp débloque le petit capital, c'est une honte. </t>
  </si>
  <si>
    <t>04/06/2018</t>
  </si>
  <si>
    <t>silvia-78550</t>
  </si>
  <si>
    <t>assurance habitation de groupama a fuir absolument!
cherche des excuses pour ne pas vous indemniser!
paye des experts hors de prix mais vous refuse 2 indemnisations pour 2 sinistres!
me suis fait cambrioler toute ma maison et meme pas recu 1 euro pour acheter tv ou cafetiere.....7 mois après! rien!!!!!!!!!!!!!!!!!!
sauver vous! à éviter à tous!</t>
  </si>
  <si>
    <t>20/08/2019</t>
  </si>
  <si>
    <t>mutu-89497</t>
  </si>
  <si>
    <t xml:space="preserve">Adhérents Maif depuis une cinquantaine d'années, nous tombons de haut vu la gestion inacceptable de notre dossier de sinistre type CatNat sécheresse. Suite à une expertise insuffisante, limitée à des prises de photos des fissures autour et dans la maison et particulièrement expéditive, la Maif nous informe de sa décision de ne pas donner suite au dossier. Aucune étude technique sol/fondation ne vient soutenir le rapport de l'expert, (qui en outre comporte une grossière erreur de date sur un point important, ce qui montre l'aspect très superficiel de la dite expertise), mais le pire est la désinvolture dans la gestion du dossier. Suite à réclamation, et demande de contre-expertise, on apprend à quelques temps de là que la conclusion de l'expertise est validée par un "expert régional", qui ne s'est même pas déplacé pour venir nous rencontrer ! Au fil du temps, on réalise qu'on se fait lanterner par la référente Maif qui est en charge du dossier. Aucune réponse n'est donnée aux arguments précis que nous avons fait valoir, qui probablement n'ont pas été lus. Au lieu de cela on nous assure que "la maif est une grande famille" (sic) - mais qui apparemment esquive l'obligation de solidarité vis à vis de ses membres. Mutualistes de toujours, nous réalisons que l'expression "Maif assureur militant" n'est plus qu'un marqueur publicitaire. En conséquence, nous nous préparons à aller en justice, forts d'arguments et de pièces justificatives en faveur de notre dossier. Un de nos grand-pères a participé à la fondation de la Maif, il y a bien longtemps, quel crève-cœur d'être aujourd'hui contraints de devoir aller contre elle devant un tribunal ...  (à signaler que plusieurs de nos voisins, pour un dossier identique, bénéficient d'une prise en charge par leurs assurances - même pas des mutuelles !)  </t>
  </si>
  <si>
    <t>09/05/2020</t>
  </si>
  <si>
    <t>jeremy-d-125620</t>
  </si>
  <si>
    <t>Satisfait parfait bien ras top moumoutte je recommande cette assurance a mes proche et j'espère que je ne vais pas éclater ma nouvelle caisse qui est sale</t>
  </si>
  <si>
    <t>seboons-71675</t>
  </si>
  <si>
    <t>Je souscrit à raison d'une prime de 38e/mois, puis je déménage à 50m de là, mon véhicule bénéficiant d'un garage 10X plus sécurisé. Surprise, ma prime passe à 47e/mois pour les mêmes garanties. Avec les multiples frais ajouté pour tout le travail réalisé ma prime annuelle finie en beauté à 660e/an, soit 55e/mois....elle est belle l'affaire avec l'olivier hein ?</t>
  </si>
  <si>
    <t>26/02/2019</t>
  </si>
  <si>
    <t>salles--98840</t>
  </si>
  <si>
    <t xml:space="preserve">Cher et pas du tout de remboursement en cas de problème. Sur plusieurs dégâts, des diagnostics qui traînent et aucun remboursement. Vous êtes renvoyé à un gestionnaire au siège qui vous mène en bateau. En réalité, on est pas assuré. On paie pour rien. A fuir 
</t>
  </si>
  <si>
    <t>16/10/2020</t>
  </si>
  <si>
    <t>abella-133009</t>
  </si>
  <si>
    <t xml:space="preserve">Très bon acceuil téléphonique de Mariama.
Mes questions ont été résolues très rapidement. Suite à une coupure de réseau mon interlocutrice m'a rappelée. J'apprécie beaucoup la démarche. </t>
  </si>
  <si>
    <t>martin-113958</t>
  </si>
  <si>
    <t xml:space="preserve">En effet c'est catastrophique ce qu'il se passe chez Mercer en ce moment. 
Délais incroyablement longs pour se faire rembourser de frais médicaux et aucunes réponses aux mails, ni traitements des pièces jointes envoyées. 
Je suis collaborateur Manpower et je pense qu'il serait bon d'auditer et de référencer une nouvelle mutuelle d'entreprise. 
Cdlt
</t>
  </si>
  <si>
    <t>alexis-m-125851</t>
  </si>
  <si>
    <t>je suis satisfait du service 
tres rapide ..
bon rapport qualite/prix
Pour preuve je viens d assurer mon scooter, maintenant je vais faire un devis pour ma voiture</t>
  </si>
  <si>
    <t>flo-68954</t>
  </si>
  <si>
    <t>Assurée à la MAIF depuis bientôt 10 ans pour l'habitation et la voiture. Aucun soutien en cas de pépin, sauf s'il s'agit de récupérer de l'argent auprès de tiers. Des réparations très mal remboursées, et pour l'automobile, même quand on ne les sollicite pas, ils font sauter le bonus pour un oui pour un non. Le client est une vache à lait. Leurs conseillers donnent des avis contraires, les délais de réponse sont de près d'un mois.</t>
  </si>
  <si>
    <t>27/11/2018</t>
  </si>
  <si>
    <t>antho93-fontana-101689</t>
  </si>
  <si>
    <t xml:space="preserve">Bonne assurance en général mais lorsque l'on demande de modifier un relevé d'information ou figure une ligne inutile mise en place par l'olivier assurance...il n'y a plus personne...
Perte de temps </t>
  </si>
  <si>
    <t>20/12/2020</t>
  </si>
  <si>
    <t>mamat-56825</t>
  </si>
  <si>
    <t xml:space="preserve">L Ag2r une entreprise ou la satisfaction de ses clients ne doit pas être l objectif majeur ... Un service client déplorable en attente d un versement de prévoyance deces qui est soit disant bloqué du a un souci informatique ... C est vrai qu en 2017 une entreprise comme l ag2r ne doit pas avoir de service informatique compétent pour régler le problème ... 
C est honteux ! 
</t>
  </si>
  <si>
    <t>23/08/2017</t>
  </si>
  <si>
    <t>pierrot--111017</t>
  </si>
  <si>
    <t xml:space="preserve">Le niveau des prix est attractif tant qu'on n'est pas encore client, après et bien, ils augmentent, surtout si on prend des packs, (faut bien qu'ils gagnent un peu de sous).
Sinon les contacts téléphoniques sont rapides, les interlocuteurs sont courtois. L'application téléphone est pas mal. </t>
  </si>
  <si>
    <t>20/04/2021</t>
  </si>
  <si>
    <t>brice973-135394</t>
  </si>
  <si>
    <t xml:space="preserve">Bonjour,
Les interlocuteurs sont très réactifs.
Je suis satisfaites des prestations de la MGP agréable et très réactifs.
Je suis adhérentes depuis 1997.
JE suis très bien informé sur ma situation 
CDT
</t>
  </si>
  <si>
    <t>joly-52056</t>
  </si>
  <si>
    <t>assuré depuis plusieurs années j'ai demandé un geste comm. pour compenser les augmentations abusives alors que je n'ai aucun acc. responsable depuis + 20 ans.....pas de réponse ???? vous appelez ça sérieux? Je cherche une autre assurance.</t>
  </si>
  <si>
    <t>05/02/2017</t>
  </si>
  <si>
    <t>nadir-b-117576</t>
  </si>
  <si>
    <t xml:space="preserve">je suis satisfait du service proposer rapide fiable pas chère
tres rapide comme service.
tres professionnel.
rien a dire je recommanderai a mon entourage  </t>
  </si>
  <si>
    <t>19/06/2021</t>
  </si>
  <si>
    <t>giaisse-72367</t>
  </si>
  <si>
    <t>A fuir.
Ils ont soudain perdus mon numéro de sécu, pas de remboursements pendant 2 mois, aucune explications suite à leurs défaillences. J'attends toujours les remboursements...</t>
  </si>
  <si>
    <t>21/03/2019</t>
  </si>
  <si>
    <t>alicounette-114859</t>
  </si>
  <si>
    <t xml:space="preserve">Quand je vois tous les avis négatifs je me sens moins seule... 
Ne faudrait-il pas remonter tous les problèmes que nous rencontrons avec MERCER depuis 2020 à la commission de contrôle des mutuelles et assurances ? </t>
  </si>
  <si>
    <t>26/05/2021</t>
  </si>
  <si>
    <t>pas-m-138486</t>
  </si>
  <si>
    <t xml:space="preserve">
Je  suis  extrêmement  satisfait  du  service, le prix est très bien.
De plus la simplicité avec laquelle on peut adhérer à l'assurance est impressionante.</t>
  </si>
  <si>
    <t>merigaud-d-133840</t>
  </si>
  <si>
    <t xml:space="preserve">Prix abordable pour un jeune permis je recommande petit bémols vous n’assurez pas les véhicules anciens cependant les interlocuteurs téléphoniques sont aimables </t>
  </si>
  <si>
    <t>mike-114933</t>
  </si>
  <si>
    <t xml:space="preserve">Quelle tristesse/fonctionnement d'un autre temps/8 mois pour une demande de traitement d'un dossier dépendance /lamentable pas d'autre mot/relance sur relance aucune compassion des robots au téléphone/une remise en question serait bénéfique </t>
  </si>
  <si>
    <t>antoine-57097</t>
  </si>
  <si>
    <t>Je suis aujourd'hui dans l'impossibilité de contracter auprès d'une autre assurance car assurbonplan refuse de me donner mon relevé d'information cette situation est absolument inacceptable je suis au bord du gouffre à cause d'eux
Vous rendez-vous compte que je suis dans l'impossibilité de me rendre sur mon lieu de travail car je ne peux assurer mon nouveau véhicule à cause du fait qu'ils ne veulent pas me donner mon relevé d'information</t>
  </si>
  <si>
    <t>05/09/2017</t>
  </si>
  <si>
    <t>kozette-117234</t>
  </si>
  <si>
    <t>A fuir absolument, le médecin conseil qui instruit vos dossier de prise en charge en incapacité invente des affirmations de votre médecin qui n’existe pas, l'instruction est bâclée afin de ne pas vous rembourser, donc vous cotisez pour une assurance emprunteur fantôme ! toutes les excuses sont bonnes pour vous dire que vous êtes apte à travailler sans prendre en compte votre profession. mon époux de 58 ans est plombier chauffagiste depuis l'age de 17 ans et c'est fait opérer une ablation partielle du ménisque il bosse à genoux la plupart du temps et eux ils vous disent: dossier sans suite il est apte à reprendre une quelconque activité professionnelle. par contre pour encaisser les cotisation ils sont au top ! fuyez...</t>
  </si>
  <si>
    <t>Afi Esca</t>
  </si>
  <si>
    <t>16/06/2021</t>
  </si>
  <si>
    <t>lisou-67518</t>
  </si>
  <si>
    <t>très bonne prestation relation client sérieuses remboursements rapides</t>
  </si>
  <si>
    <t>10/10/2018</t>
  </si>
  <si>
    <t>nebs-114131</t>
  </si>
  <si>
    <t>Vraiment déçu de cette assurance on nous à volé puis incendiées nôtre véhicule le 08/05  et pas du tout joignable on réussi enfin le 14/05  a avoir une personne  l'expert passe  le 17/05 on reçoit un mail pour nous dire que les frais de gardiennage et de remorquage sont à nos frais on ne comprend pas et pourtant assurer tout risque et la ils vous raccroche au nez plus jamais ??</t>
  </si>
  <si>
    <t>pat22-66061</t>
  </si>
  <si>
    <t xml:space="preserve">Se faire traiter de "sale Français" par l'assistance d'une plateforme, en toute logique, au Maroc n'est pas acceptable ! </t>
  </si>
  <si>
    <t>08/08/2018</t>
  </si>
  <si>
    <t>01/08/2018</t>
  </si>
  <si>
    <t>dominique-h-125625</t>
  </si>
  <si>
    <t>Simple et pratique, les prix me conviennent parfaitement. La souscription en ligne est plutôt facile et rapide. Site agréable. Les prix sont corrects.</t>
  </si>
  <si>
    <t>moi-69685</t>
  </si>
  <si>
    <t>A fuir !!! Aucune réponse à mes mails suite à mon accident, aucun remboursement effectué à ce jour suite à une avance de frais effectuée.</t>
  </si>
  <si>
    <t>26/12/2018</t>
  </si>
  <si>
    <t>martinot-l-138526</t>
  </si>
  <si>
    <t xml:space="preserve">Les prix seraient plus attractif j assurerait plus de véhicules et aussi l appartement et peu être aussi d autre assurance santé et complémentaire santé </t>
  </si>
  <si>
    <t>29/10/2021</t>
  </si>
  <si>
    <t>yann-c-131383</t>
  </si>
  <si>
    <t>JE SUIS SATISFAIT DU SERVICE? RAPIDE ET SANS PRISE DE TETE; prix correct, info compréhensible, moins cher que mon assureur actuelle. merci d'avance, pour  la rapidité.</t>
  </si>
  <si>
    <t>nino-117595</t>
  </si>
  <si>
    <t>Cette mutuelle est vraiment spécialisée en moto. Ils sont pro, accueillants et de bon conseil.
Suite à un accident de scooter, j’ai été remboursé rapidement et même le casque et mon jean ont été payé.
Je recommande.</t>
  </si>
  <si>
    <t>franky123-78203</t>
  </si>
  <si>
    <t>Bonjour  à tous,
Direct assurance  et une très bonne  assurance. 
Assuré  depuis  de nombreuses  années  chez eux.</t>
  </si>
  <si>
    <t>05/08/2019</t>
  </si>
  <si>
    <t>giova-122497</t>
  </si>
  <si>
    <t>Fidèle à mon assurance AMV depuis que je roule en moto.
C’est a dire 5 ans.
Très satisfait sur le suivi , l’accompagnement en cas de difficultés est très bien géré.
Remorquage ou autres….
Je recommande AMV à 100%</t>
  </si>
  <si>
    <t>06/07/2021</t>
  </si>
  <si>
    <t>570080-129134</t>
  </si>
  <si>
    <t>Etant adhérent chez Néoliane que depuis peu (début Juillet 2021) je n'ai pas de commentaire particulier à communiquer. Par contre, venant de connaitre un problème de connexion (de ma faute) j'ai fait appel à vos services et j'ai eu un échange téléphonique (assez long car mes connaissances en informatique sont limitées) avec une personne se prénommant Emeline. Je la remercie d'avoir été aussi patiente avec moi, d'avoir su m'expliquer avec calme comment résoudre  mon problème. Je la félicite et la remercie très sincèrement.</t>
  </si>
  <si>
    <t>pepememe-66165</t>
  </si>
  <si>
    <t>Bonjour,
J'essaye de resilier mon contrat d'assurance en faisant jouer la loi chatel(resiliation dans les 20 jours suivant la reception de l'échéancier) . Ou du moins je pensais le faire mais je n'ai pas reçu cet échéancier. Attendant le fameux échéancier je me réveille un peu tard certes (la veille de
du renouvellement de contrat) pour indiquer mon envie de résilier. Apres plusieurs message avec le service client, toujours la même réponse : c'est trop tard d'après eux le courrier est parti depuis trop longtemps. Mais pour prouver ma bonne foi je dois leur envoyer une copie de la lettre, cachet de la poste faisant foi... Lettre que je n'ai pas reçu je vous dit !! J'essaye d'appeler le service client : une boîte vocal me demande de faire les fameux choix et quand je tape pour indiquer qu'il s'agit d'une résiliation : le répondeur me dit qu'il faut que je passe par courrier ou internet donc impossible d'avoir un humain !!! Et les humains que j'ai par internet me demande de faire une copie d'une lettre que je n'ai pas reçu !
Je vous passe les fautes dans les courriers reçus de l'assistance. Par contre le courrier de rappel (premier que j'ai reçu) me menace dans un français impeccable que si je ne paye pas, ben je devrais payer quand même et ce sans être assuré.
Conclusion, si vous avez besoin d'une carte verte pour rouler c'est bon, si vous pensez avoir du service, passez votre chemin</t>
  </si>
  <si>
    <t>13/08/2018</t>
  </si>
  <si>
    <t>marc-d-110962</t>
  </si>
  <si>
    <t>Opération pratique par le net, assurance rapidement mise en place. Tarifs attractifs. Espérons ne pas avoir besoin d'utiliser les garanties souscrites mais pourvu qu'elles soient bonnes.</t>
  </si>
  <si>
    <t>mel-101281</t>
  </si>
  <si>
    <t xml:space="preserve">Pour moi le meilleur assureur en ce moment et une équipe très à l'écoute et compétente.
Je vais bien sur le proposer à mes proches et la rapidité est surprenante, très satisfaite </t>
  </si>
  <si>
    <t>11/12/2020</t>
  </si>
  <si>
    <t>grasdubid-53244</t>
  </si>
  <si>
    <t xml:space="preserve">toujours, pas de remboursement, je suis vraiment mecontent et j'en passe, j'aimerais me faire rembourser mes 88 euros merci active assurance. a et vous trouver ca normal de payer sans avoir recu de devis ?
et ca serai sympa de repondre au mail aussi </t>
  </si>
  <si>
    <t>14/03/2017</t>
  </si>
  <si>
    <t>lcb51-79735</t>
  </si>
  <si>
    <t>POUR MOI PESONELLEMENT JAI EU INTELLIGENCE DE PRENDRE UNE ASSURANCE PAR MON BOULOT AU Q 'UA OU VOILA si probleme. ETENDONNER QUE ASSURANCE AGRI PREVOYANCE ME VERSE UN COMPLEMENT DE SALAIRE .CB4 YOU ... CNP....NE RENTRE PAS EN COMPTE DANS MON DOSSIER POUR RAISON ABSENCE DE REMUNERATION  alors attention sa fait 6 ans que je paye une assurance pour absolument rien du tout .bien lire le contrat de a .a .z me croyant bien couvert mais pas du tout que dale.............a fuir totalement</t>
  </si>
  <si>
    <t>04/10/2019</t>
  </si>
  <si>
    <t>isabelle-m-128617</t>
  </si>
  <si>
    <t>Simple et facile
mais je n'ai pas trouvé où il fallait inscrire mon code parrainage, vu que c'est mon neveu qui m'a conseillé votre compagnie et qu'il est satisfait de vos services en tant que client</t>
  </si>
  <si>
    <t>dannat-71132</t>
  </si>
  <si>
    <t xml:space="preserve">Service exécrable avec une très mauvaise expérience de Groupama protection juridique. Cas toujours pas résolu et toujours en attente du retour de Groupama après 4 mois. Je ne recommande pas ce service et la personne se nommant Mme Hugonenq est dépassée et incompétente. Elle n'a aucun tact avec le client et se fout clairement de la qualité du travail fourni. Quelle honte. 
Son manager devrait la virer. </t>
  </si>
  <si>
    <t>09/02/2019</t>
  </si>
  <si>
    <t>nat06-130277</t>
  </si>
  <si>
    <t xml:space="preserve">Humanis à bannir, pas contente depuis 1 ans et demi il traine à traiter correctement mon dossier. J’attends qu’une personne efficace me contacte. Merci </t>
  </si>
  <si>
    <t>Malakoff Humanis</t>
  </si>
  <si>
    <t>30/08/2021</t>
  </si>
  <si>
    <t>emilie-d-116954</t>
  </si>
  <si>
    <t xml:space="preserve">je suis très satisfaite des services de la GMF.
Disponibilité, gentillesse et réactivité, des prix raisonnables.
Je recommande sans hésitation la GMF.
</t>
  </si>
  <si>
    <t>14/06/2021</t>
  </si>
  <si>
    <t>amel-k-132146</t>
  </si>
  <si>
    <t>Bonjour à toute l'équipe je suis très très satisfait pour votre service tout simplement la meilleure assurance que j'ai facile et efficace merci beaucoup</t>
  </si>
  <si>
    <t>09/09/2021</t>
  </si>
  <si>
    <t>romain-99416</t>
  </si>
  <si>
    <t xml:space="preserve">Après avoir résilié tout mes contrats je reçois une lettre d'un huissier pour réglé je ne sais quoi pour 800e
Inacceptable 
Toujours une règle pour les dedoinnés
Ou pour vous explique pourquoi ils ne peuvent pas vous remboursé
Ne prennent pas en compte les documents envoyés
À fuir tre mauvais expérience 
Très chère 
Assureur nul nul nul </t>
  </si>
  <si>
    <t>30/10/2020</t>
  </si>
  <si>
    <t>christophe-p-105792</t>
  </si>
  <si>
    <t>Après avoir subit un confinement de plus de 3 mois et des couvres feu depuis un an. Je n'ai réclamer aucune remise spécifique. Mais l'augmentation de 26% de ma prime sur 2 ans me reste bien en travers de la gorge. 494€ en 2019 et maintenant 624€. Trop c'est trop je demande un relevé d'information pour moi et ma femme et allons changer d'assurance pour l'ensemble de nos contrat</t>
  </si>
  <si>
    <t>08/03/2021</t>
  </si>
  <si>
    <t>presci-112464</t>
  </si>
  <si>
    <t>Devis validé oralement le 15/04/2021,signature électronique puis à l'issue envoie du contrat !
Surprise !!! Le tarif a augmenté entre le devis et la signature du contrat. 
10jrs que je contacte mr SOW téléphoniquement et par mail et il me répond à chaque fois, qu'il s'agit d'un problème technique et que cela sera réglé dans 1h, c'est bon!!!
Ça fait 10jrs que ça doit être réglé dans 1h!
PRATIQUE COMMERCIALE TROMPEUSE!?
Même si les tarifs sont intéressants, la signature du contrat doit correspondre au devis surtout si aucun changement n'a été fait !!!??????
Courrier avec AR à la DDPP, 60 millions de consommateurs et tribunal d'instance pour ma part. 
Merci ZENUP!</t>
  </si>
  <si>
    <t>cc11-57790</t>
  </si>
  <si>
    <t>Bonjour. Prévoyance à fuir. Mon employeur a déjà adressé plusieurs fois un dossier incapacité de travail  pour la période janvier 2015 à juillet 2017.... aucune réponse.  Et pire encore ils disent n'avoir rien reçu.  Ma situation devient catastrophique.  Je déconseille fortement.</t>
  </si>
  <si>
    <t>03/10/2017</t>
  </si>
  <si>
    <t>adrien-h-106910</t>
  </si>
  <si>
    <t xml:space="preserve">Je suis entièrement satisfait des services de Direct Assurance
Les prix que Direct Assurance propose son ceux les moins chers que j'ai pût apercevoir sur le marché !
Cependant, je trouve que l'interface du site internet est un peu trop simpliste, elle manque de convivialité, un peu de couleurs...! ;) </t>
  </si>
  <si>
    <t>17/03/2021</t>
  </si>
  <si>
    <t>reine-89094</t>
  </si>
  <si>
    <t xml:space="preserve">Je ne suis pas du tout satisfaite. Pour avoir un remboursement il faut faire des pieds et des mains. Pour les frais d'optique ils nous envoi vers des partenaires pour ne pas payé, et finalement on se retrouve avec plus de 100€ de frais. </t>
  </si>
  <si>
    <t>23/04/2020</t>
  </si>
  <si>
    <t>augras-p-123397</t>
  </si>
  <si>
    <t>je suis satisfait des services de l'olivier et je le recommande très souvent à mon entourage , un peut cher pour l'assurance habitation mais très compétitif en assurance auto .</t>
  </si>
  <si>
    <t>jo-102940</t>
  </si>
  <si>
    <t xml:space="preserve">Adhérente depuis des années je n’ai jamais eu de problème 
Mutuelle très disponible et à l’écoute. 
Des conseillers très professionnels 
Des tarifs très corrects 
Je recommande </t>
  </si>
  <si>
    <t>20/01/2021</t>
  </si>
  <si>
    <t>julie-76481</t>
  </si>
  <si>
    <t>Attention à l'argument mensonger du conseiller démarcheur Generali: celui qui m'a obligeamment ouvert deux contrats l'an passé m'a présenté les produits comme des "supers livret A". Ce sont des placements boursiers... Hem. Il m'a fallu le récapitulatif annuel pour me rendre compte de la vraie nature de mes "comptes épargne"... Et tant qu'à faire, le brave conseiller démarcheur m'a "concocté" deux contrats au risque maximal!!! Bah oui, tant qu'à faire, quand c'est l'argent des autres, on y va, autant prendre un maximum de risques. Aujourd'hui j'ai effectué les démarches pour clôturer ces deux livrets A qui fluctuent avec les cours boursiers (pas mal, moi qui avait bien précisé que je souhaitais souscrire ces "comptes épargne" pour placer de l'argent et me constituer un capital, sans risque... un super livret A). Heureusement que ce démarcheur conseiller hyper prévenant et bienveillant m'avait bien assuré qu'il avait parfaitement cerné mon besoin d'épargne et mon profil allergique au risque, et bla, et bla. Le petit comique m'a même expliqué, lorsqu'il m'a fait signer les contrats: "oui, on sait très bien que personne ne lit les contrats car c'est difficile à comprendre. D'où notre intérêt à nous, professionnels, de bien respecter les demandes du client" (tu m'étonnes!).
Enfin, par chance je n'ai pas versé trop trop d'argent (ouf!), car entre la perte de 4% sur les 4 placements Generali (Generali Europe Mid Caps + Generali France Future Leaders + JPM Global Macro Opps + Generali IS SRI Ageing Population), et les frais de rachat de mes livrets A (ah pardon, assurances vie...), eh bien il ne va plus rester tout à fait la même somme...
Et enfin, courriers envoyés en reco par ma banque habituelle début mai. Réponse hier de Generali: "veuillez indiquer un motif". Bref, ça traîne la savate plus plus pour vous restituer les fonds qu'ils vous reste... En fin de compte, c'est plutôt du gagnant-perdant les placements Generali (et pas avec Generali dans le rôle du perdant, évidemment).</t>
  </si>
  <si>
    <t>04/06/2019</t>
  </si>
  <si>
    <t>oliveau-103131</t>
  </si>
  <si>
    <t xml:space="preserve">bonjour
tres bon acceuil telephonique et tres bonne efficacé .
l'hotesse d' acceuil tres  agreable et tres efficace sur la demande due je lui est formulé.
merci </t>
  </si>
  <si>
    <t>23/01/2021</t>
  </si>
  <si>
    <t>moi277-67643</t>
  </si>
  <si>
    <t xml:space="preserve">Après un grave problème de double contrat sur mes biens aucune réaction sans pression importante. Toujours pas réglé au bout de plus de 2 mois. Impact financier 400 euros ! Scandaleux. </t>
  </si>
  <si>
    <t>13/10/2018</t>
  </si>
  <si>
    <t>glaser-c-117484</t>
  </si>
  <si>
    <t xml:space="preserve">L’inscription est Simple, rapide et les prix sont  attractifs. C’est super facile s’ouvrir un contrat d’assurance auto. Je recommande cet assureur sans souci </t>
  </si>
  <si>
    <t>claude-68628</t>
  </si>
  <si>
    <t>Toujours utile de prendre de nouveau contrat une autre histoire lorsqu'il faut faire jouer les garanties</t>
  </si>
  <si>
    <t>15/11/2018</t>
  </si>
  <si>
    <t>manonvanr-103342</t>
  </si>
  <si>
    <t>J’ai souscris une assurance habitation chez Allianz que j’ai arrêtée lorsque j’ai quitté mon logement en juin 2019. Ils ont continué de me prélever malgré l’arrêt du contrat et ont promis de me rembourser la totalité des mensualités depuis juin 2019. Toujours pas de nouvelles dû remboursement, je dois constamment les rappeler, chaque semaine, pour qu’on me répète « vous aurez votre remboursement sous 2 semaines ». Ça fait deux mois.
Je ne recommande pas cette assurance.</t>
  </si>
  <si>
    <t>27/01/2021</t>
  </si>
  <si>
    <t>naima-n-132540</t>
  </si>
  <si>
    <t xml:space="preserve">Très satisfaite du service et de la rapidité de cette assurance.
Le paiement est aussi rapide que la souscription. Les tarifs aussi sont concurrentiel avec un service client super </t>
  </si>
  <si>
    <t>12/09/2021</t>
  </si>
  <si>
    <t>christophe-m-133357</t>
  </si>
  <si>
    <t>Je suis satisfait du service.
Le prix est en dessous de ce que je paie actuellement chez la MAAF.
La souscription en ligne c'est passé vraiment facilement. J'apprécie ce fonctionnement car je n'ai généralement pas le temps en semaine.</t>
  </si>
  <si>
    <t>dimecres-116091</t>
  </si>
  <si>
    <t>Sans cesse une prise de tête ! Incompétence ! A chaque fois que je les ai au téléphone pour régler un problème c'est moi qui doit leur dire comment fonctionne la loi! J'ai du moi-même les appeler pour passer mon taux bonus/malus à 1% après deux ans révolus sans accident! 
Et là ils m'inventent un taux de malus sans avoir eu d'accident et en plus je dois payer parce qu'ils ont oublié de prendre en compte un accident qui s'est produit il y a trois ans!!!! (Sans me prévenir évidemment, je m'en suis rendue compte après vu que ma cotisation avait doublé !)
Et les conseillers que j'ai au téléphone cafouillent, ne sont pas sûrs de leurs infos, et demandent l'avis de leurs supérieurs qui n'en ont rien à faire et qui font des interventions sur les contrats sans même prévenir le client! 
En résumé, prix attractifs, mais n'ayez jamais de problème avec eux parce que c'est là que commence le parcours du combattant !</t>
  </si>
  <si>
    <t>05/06/2021</t>
  </si>
  <si>
    <t>toulliou-c-114564</t>
  </si>
  <si>
    <t>Je suis satisfait du service 
Rapport qualité prix
Rapide, simple, efficace
Parfait pour jeune conducteur.
Je recommande très fortement l'Olivier Asuurance</t>
  </si>
  <si>
    <t>22/05/2021</t>
  </si>
  <si>
    <t>tony-111307</t>
  </si>
  <si>
    <t>Assurance très réactive aussi bien lors de l'inscription que pendant la période assurée.
Tout est clair et sans vice. J'utilise cette compagnie à chaque fois que j'achète un deux roues et je la recommande à toutes celles et ceux qui souhaitent savoir ce qu'ils signent.</t>
  </si>
  <si>
    <t>muriel-o-133603</t>
  </si>
  <si>
    <t>satisfaite du service. rapide efficace et clairement explicité.
Le suivi est réellement présent et la temporalité aussi. L'interlocuteur à l'écoute et fait preuve d'une grande patience.
Merci</t>
  </si>
  <si>
    <t>20/09/2021</t>
  </si>
  <si>
    <t>glyph-76115</t>
  </si>
  <si>
    <t>Assuré tous risques j'ai été victime d'un sinistre auto non responsable il y a 7 semaines. Aujourd'hui, je ne sais toujours si mon véhicule va être réparé ou non. A chaque appel téléphonique j'ai un nouveau gestionnaire, il reprend le dossier et vous jure que cela va avancer mais ils ne vous rappellent  jamais et le dossier s'enlise. Aucune action n'a été réalisée depuis 1 mois, aucun prêt de véhicule pour me dédommager du délais de traitement (presque 3h / jour de transport en commun pour aller bosser). Passez votre chemin, il y a certainement beaucoup plus sérieux pour seulement quelques euros de plus.</t>
  </si>
  <si>
    <t>21/05/2019</t>
  </si>
  <si>
    <t>sydney33-54295</t>
  </si>
  <si>
    <t xml:space="preserve">Cliente depuis 2012 chez direct assurance, je m'apprête à aller à la concurrence (Maaf) qui offre les mêmes prestations pour 200€ de moins. Depuis deux ans, je suis passée de 695€ à un avis d'échéance à 787€ pour 2017/2018! A ce rythme on me demandera de régler 1000€ dans 3 ans. J'ai contacté le service client qui m'a expliqué que cela était dû à l'actualisation des risques qui est réalisée chaque année, aucun geste commercial ne m'a été proposé. Je vous invite donc à passer votre chemin et même si vous êtes nouveau adhérent avec un prix attractif de départ, attendez vous a des augmentations annuels énormes! </t>
  </si>
  <si>
    <t>26/04/2017</t>
  </si>
  <si>
    <t>surfer-76438</t>
  </si>
  <si>
    <t>J ai cette mutuelle obligatoire qui vaut quand même 150 euros par mois en tenant compte de la part employeur. Il remboursement aucun dépassement d honoraire car il ont signé une convention ou aucun médecin spécialiste n est affilié il.prenne l argent et rembourse comme si tout les médecin était sur la liste 1 alors que tous les spécialiste sont sur la liste 2. Il sont incapable de fournir une liste de médecin convention fonctionne avec eux et vous reproche d en avoir pris un trop chère
. Une honte mutuel à venir car aucun accueil téléphonique toujours en retard pour les remboursement</t>
  </si>
  <si>
    <t>03/06/2019</t>
  </si>
  <si>
    <t>franck-p-124133</t>
  </si>
  <si>
    <t>impossible de vous joindre, ni téléphone ni chat, et impossible d'agir sur le site une catastrophe !
contrat auto bien place niveau prix au départ, et a l'occasion d'un changement de véhicule, vous êtes au double du marche</t>
  </si>
  <si>
    <t>21/07/2021</t>
  </si>
  <si>
    <t>tumatau-p-124923</t>
  </si>
  <si>
    <t xml:space="preserve">je suis satisfait de la prestation de votre assurance car il n'est pas cher et convient à ma situation familliale. merci beaucoup j'espers que cela va continuer </t>
  </si>
  <si>
    <t>david75-88004</t>
  </si>
  <si>
    <t>Fuyez viteeeeee!!!!!
une équipée d'incapables et d'incompétents  qui parlent un français très approximatif et qui sont incapable de fournir le moindre renseignement.
Mieux vaut payer le double ou même le triple ailleurs!!!!</t>
  </si>
  <si>
    <t>05/03/2020</t>
  </si>
  <si>
    <t>dals-139222</t>
  </si>
  <si>
    <t>je deconseille  cette assurance car elle est bien plus chère que la concurrence et n'offre pas de bonnes garanties.
De plus elle n est pas sérieuse dans le traitement des dossiers</t>
  </si>
  <si>
    <t>Suravenir</t>
  </si>
  <si>
    <t>09/11/2021</t>
  </si>
  <si>
    <t>black-bird-43508</t>
  </si>
  <si>
    <t xml:space="preserve">Bonjour, voilà quel que mois je me rendis à une de leurs agence, j'ai été très bien reçu, j'ai obtenue un rendez vous assez rapidement, le lendemain, un peut d'attente en salle d'attente, ce qui est normal pour l'assurance la plus populaire de France. 
Un conseiller, après avoir étudier avec attention mon dossier que malheureusement la Macif ne pourrait pas m'assurer du fait que je soit jeune conducteur avec un véhicule trop "puissant" pour m'a faible expérience (Renault Twingo2 Diesel 85 cv moteur pour 4cv fiscaux ) Pour une première voiture bien sur. 
J'ai été "contraint" d'accepter l'offre d'Allianz en tous risque avec ce véhicule 2.300 euros l'année, un peut chère en effet mais je pense que s'est le prix de la sérénité en fin je l'espère.  Le conseiller Macif m'a conseiller de faire 1an  ou 2 ans avec eux (pour prendre de l'expérience), et si après le tarif reste élever libre a moi de revenir à la Macif  et qu'il pourront en fonction de mes antécédents avec Allianz me proposer un tarif plus raisonnable pour les mêmes garantis, à voir en temps voulu. 
Tout ça pour dire que malgré que je ne soit pas assurer chez eux leurs sens du service est assez correct même si il devrait être un peut plus ouvert pour les jeunes conducteur quitte a relever les tarifs accepter tous les véhicules dans la limite du raisonnable bien sur. 
Apres je ne peut pas juger honnêtement de la qualité des garantis vue que je ne suis pas assurer chez eux. </t>
  </si>
  <si>
    <t>14/12/2016</t>
  </si>
  <si>
    <t>gerald-d-112814</t>
  </si>
  <si>
    <t>on me demande un relevé d information alors que j ai déjà un contrat d assurance auto
en attente d être contacté et espérant être bien assurer
sincères salutation</t>
  </si>
  <si>
    <t>lickel-a-139296</t>
  </si>
  <si>
    <t>Je suis très satisfaite de l'accueil téléphonique que j'ai reçu et des prestations proposées par Olivier Assurance. Les formalités d'inscriptions sont claires et précises Je remercie 0livier assurances</t>
  </si>
  <si>
    <t>mariloumimi-90001</t>
  </si>
  <si>
    <t xml:space="preserve">Toujours en attente d'un complément de salaire suite à un arrêt en intérim hors mission datant du 18/01/2020 !!!!! 
Tout les documents ont été envoyés via le mail donné mais il manque toujours une nouvelle pièce qui a pourtant été jointe, preuve à l'appui... c'est d'inadmissible !!! 
Je me retrouve dans une situation financière plus que compliquée.
Je pense à saisir les autorités compétentes pour demander réparation </t>
  </si>
  <si>
    <t>28/05/2020</t>
  </si>
  <si>
    <t>thierry-11400--104505</t>
  </si>
  <si>
    <t xml:space="preserve">Suite à un dégât des eaux venant de ma toiture, j'ai décidé de faire jouer l'assurance.... Erreur grave, incompétent et de mauvaise foi. Ah si pardon j'ai reçu un appel d'une entreprise qui voulait venir refaire la peinture. En attendant, j'ai toujours ma fuite et aux dernières nouvelles, c'est tout le faîtage à refaire.... Mais bon on paye des assurances pour rien. </t>
  </si>
  <si>
    <t>19/02/2021</t>
  </si>
  <si>
    <t>sarahbjr-81168</t>
  </si>
  <si>
    <t xml:space="preserve">Je suis entièrement satisfaite de cette assurance. La service client est d'une qualité irréprochable, des interlocuteurs compétents qui maîtrisent leur sujet et qui ont envie d'aider et de vous renseigner au mieux. Ce n'est pas une société qui recherche uniquement à assurer le strict minimum sur vos prestations, ils vont au delà de leur périmètre pour satisfaire le client. J'ai eu depuis 3 ans, une dinzaine d'interlocuteurs et ils ont tous été très agréable et d'une grande aide y compris sur les sujets plus complexes (vice caché, défaut de remboursement de la part du propriétaire...). Je recommande et je recommanderai cette assurance. </t>
  </si>
  <si>
    <t>20/11/2019</t>
  </si>
  <si>
    <t>ivaldi-j-131928</t>
  </si>
  <si>
    <t>SATISFAIT DU DEBUT A LA FIN RIEN A DIRE BRAVO LE CONSEILLER A ETE SUPER IL M'A PROPOSE LA FORMULE ADAPTE A MES BESOINS, RAVI DE SON PROFESSIONALISME !!!</t>
  </si>
  <si>
    <t>08/09/2021</t>
  </si>
  <si>
    <t>mimi95-94952</t>
  </si>
  <si>
    <t xml:space="preserve">Déclaration d'un sinistre depuis maintenant un mois zéro nouvelle de l'assurance malgres le nombre d'appels interminables. Vraiment déçu. Très active pour la création d'un contrat mais invisible pour les problèmes </t>
  </si>
  <si>
    <t>23/07/2020</t>
  </si>
  <si>
    <t>lio-63495</t>
  </si>
  <si>
    <t>c est une bonne assurance mais attention au revers de la médaille</t>
  </si>
  <si>
    <t>23/04/2018</t>
  </si>
  <si>
    <t>glt-76024</t>
  </si>
  <si>
    <t>Assuré depuis 20 ans jamais de problème. Dernièrement un accident. Contact avec un conseiller ,conseils, suivi du dossier parfaits. Pas de délais. Prise en charge du véhicule expertise et réparation rapide. 5 étoiles merci l'équipe de Lannion (22)</t>
  </si>
  <si>
    <t>17/05/2019</t>
  </si>
  <si>
    <t>cindy--v-104999</t>
  </si>
  <si>
    <t>Je sui assez satisfaite du service pour le moment mais je n'ai encore jamais eu besoin d'appeller pour un sinistre donc pour le moment je n'ai rien à dire de particulier</t>
  </si>
  <si>
    <t>tambadou-m-139730</t>
  </si>
  <si>
    <t>J'ai été pris en charge alors que je n'avais même pas fini de signer mon contrat d'assurance .Je suis satisfait du service rendu par l'équipe de l'Olivier assusance.</t>
  </si>
  <si>
    <t>16/11/2021</t>
  </si>
  <si>
    <t>fonzi04-109368</t>
  </si>
  <si>
    <t xml:space="preserve">Bonjour, 
Faites très attention, cette assurance pour laquelle je suis sociétaire depuis plus de 20 ans est une grande déception, la qualité de l'accompagnement qui faisait leur force, disparait peu à peu.
En mai 2019 je constate une fissure latérale importante sur le sous bassement de ma maison. Je déclare le sinistre auprès de mon assurance qui décline l'envoi d'un expert car il n'y a pas d'arrêté de CATNAT dans cette période. quelques jours après je m'aperçois que mon terrain a bougé dans son ensemble et fait une nouvelle déclaration en mairie. Mandaté par la préfecture les experts de la RTM m'indiquent après étude, qu'il s'agit probablement d'un glissement de terrain aggravé par la rupture d'une canalisation municipale des eaux pluviales qui borde mon terrain. Je transmet donc le rapport à la Maif qui diligente dès lors une expertise. Je constate entre temps qu'un arrêté de CATNAT glissement de terrain couvrant une période proche a été publié. L'expert privé mandaté par la MAÏF conclu sans vérifier les éléments du premier rapport, à un problème de sécheresse. Retour à la case départ, si je veux contester il faut que je finance la moitié d'une troisième expertise parmi trois cabinets que me propose la Maïf. Considérant qu'il y a peu de chance qu'un cabinet désigné par l'assurance contredise un autre cabinet lui aussi désigné par l'assurance, je me renseigne et décide de demander à ce que mon dossier soit transmis à l'expert régional MAIF. Une demande anodine qui me permettrait d'avoir l'avis d'un expert de terrain estampillé à la fois sociétaire et Maïf dont l'analyse serait à mon sens plus neutre. Là après m'avoir confirmé oralement à deux reprises que ma demande était prise en compte, je viens de recevoir un courrier m'indiquant que le dossier ne serait finalement pas transmis audit expert. Mon assurance fait tout ce qu'elle peut pour me décourager et ne pas m'accompagner dans ce sinistre. Il semble que la mutualisation qui a fait son succès est disparue et que la philosophie soit bien différente aujourd'hui.
C'est incompréhensible, très inquiétant et révoltant. On a mis en doute ma bonne foie, ignorée une expertise des plus sérieuse, assuré que mon dossier suivait son cours alors qu'il en était rien. Ils attendent sans doute que les 2 ans qui finiront d'enterrer mon dossier se soient écoulés, pour le classer. 
Je ne vois qu'une issue, saisir le tribunal et les associations de consommateurs.
Réfléchissez y à deux fois avant d'adhérer, il semble que ce type de témoignage augmentent considérablement
</t>
  </si>
  <si>
    <t>remy--98133</t>
  </si>
  <si>
    <t>MAFF à éviter ne sert que pour encaisser vos primes ... indigne de confiance vous insite à quitter de façon sournoise si vous avez la malchance de faire des déclarations en tord  ou pas .... à la MAFF évitez de vous faire emboutir par un ou une bourrée qui roule à gauche sinon hop dehors ??</t>
  </si>
  <si>
    <t>yves-a-115789</t>
  </si>
  <si>
    <t>Je suis satisfait  très satisfait du site web et de sa facilité à l'usage.
J'ai souscrit mon contrat sans grosses difficultés.
Continuez comme cela.
Merci</t>
  </si>
  <si>
    <t>sarah1-81287</t>
  </si>
  <si>
    <t xml:space="preserve">Je suis actuellement client gan prévoyance et ravi d'être  assuré chez eux depuis 15 ans service client en amélioration constante prix mutuelle au top cf magazine ufc que choisir d'octobre personnel compétent à l'écoute avec l'envie de bien faire on a toujours tendance à dire quand ça va mal mais aujourd'hui je suis très satisfait de cette entreprise et je le dis </t>
  </si>
  <si>
    <t>23/11/2019</t>
  </si>
  <si>
    <t>fabio-138934</t>
  </si>
  <si>
    <t xml:space="preserve">Ils sont passés à zéro en août. Quelqu'un m'a volé mon vélo quand la police a découvert  était cassé et ils ont fait tout ce qu'ils pouvaient pour ne pas payer pour le spectacle Je ne recommande pas cette compagnie d'assurance Ils sont nuls </t>
  </si>
  <si>
    <t>04/11/2021</t>
  </si>
  <si>
    <t>riri-110653</t>
  </si>
  <si>
    <t>Je ne peux soumettre aucun pignon,car étant assuré que depuis janvier 2010 je n’ai jamais eu le besoin d’eux.
Par contre je suis assuré pour        8 000 km,et je ne fais que            6 000 km.</t>
  </si>
  <si>
    <t>16/04/2021</t>
  </si>
  <si>
    <t>lea-f-107261</t>
  </si>
  <si>
    <t xml:space="preserve">Satisfaite du prix proposé
service clientele agréable
bémol; lorsqu'on ouvre un contrat il faut pouvoir payer la somme d'un an 
à suivre jusqu'à l'année prochaine </t>
  </si>
  <si>
    <t>20/03/2021</t>
  </si>
  <si>
    <t>maxime-c-135389</t>
  </si>
  <si>
    <t xml:space="preserve">Je suis satisfais di site internet et du contact par téléphone, je trouve juste dommage de devoir payer pour avoir un conseillé alors que je suis client chez vous.
Sinon je recommande vraiment cette assurance même si quand on a plusieurs véhicules chez vous sa ne change rien a notre cotisation.  </t>
  </si>
  <si>
    <t>ali-mohamed-a-107606</t>
  </si>
  <si>
    <t xml:space="preserve">je trouve cette assurance très rapide et très efficace.
 la relation cliente est optimal
 les personne sont a l'écoute.                                                  
 </t>
  </si>
  <si>
    <t>23/03/2021</t>
  </si>
  <si>
    <t>lavachealait-63619</t>
  </si>
  <si>
    <t>Un assureur très cher, et cela ne se justifie pas, aucun service et si vous avez un problème, il cherche par tous les moyens de minimiser les réparations. De plus des gens désagréables, leurs militants sont des gens hargneux, et payés par cette société -  tarif + 1,5 % en 2017, prévision de 2% pour 2018</t>
  </si>
  <si>
    <t>27/04/2018</t>
  </si>
  <si>
    <t>joce-53763</t>
  </si>
  <si>
    <t>À 91 ans, se voir obligée de rembourser un dédommagement de 2 182, 22 € à cause d'un incendie de ma cuisine et être accusée de faux et usage de faux alors que je suis assurée à cette mutuelle depuis plus de 60 ans.
J'ai réglé toutes les factures aux artisans qui ont remis en état ma cuisine et un pseudo conseiller me soupçonne de fraudes. Ce qui entraîne de la part de Groupama une demande de remboursement de l'acompte que j'ai reçu.</t>
  </si>
  <si>
    <t>kambarabara-e-109965</t>
  </si>
  <si>
    <t>suis satisfait, c est vraiment agréable de pouvoir travail avec l olivier assurance, donc je pourrais recommandé à mes connaissances pour qu' ils puissent s assure</t>
  </si>
  <si>
    <t>thidel-69559</t>
  </si>
  <si>
    <t>tarif incompréhensible (du simple au double entre le tarif proposé sur le comparateur et le tarif du contrat actuel) - offre bidon (50% de bonus à vie)</t>
  </si>
  <si>
    <t>19/12/2018</t>
  </si>
  <si>
    <t>samuel-a-106544</t>
  </si>
  <si>
    <t>188 € en 2019 
244 en 2021
Heureusement que mon bonus est passé à 50% et que je n'ai jamais eu le moindre accident.
Je vais profiter de l'avis d'échéance pour voir chez la concurrence...</t>
  </si>
  <si>
    <t>dimitri-k-131846</t>
  </si>
  <si>
    <t>Efficace et rapide prix abordable ! 
Nous somme heureux de trouver une assurance aussi rapidement et de pouvoir bénéficier d’autant de reconnaissance merci !</t>
  </si>
  <si>
    <t>pierreedouard92-62520</t>
  </si>
  <si>
    <t xml:space="preserve">Bonsoir, je tiens à vous remercier pour l'aide que vous m'apporté pour assurer mon véhicule. </t>
  </si>
  <si>
    <t>20/03/2018</t>
  </si>
  <si>
    <t>gysmo78-86001</t>
  </si>
  <si>
    <t xml:space="preserve">Je cherchais une assurance pour mon fils. Je suis passé par les furets et j'ai comparé les prix. Devis direct en ligne. J'ai appelé pour un complément d'information, accueil très sympathique et explication claire. Je ne peux pas juger le reste n'ayant jamais eu besoin de leur service pour l'instant. </t>
  </si>
  <si>
    <t>16/01/2020</t>
  </si>
  <si>
    <t>sylvie-n-115809</t>
  </si>
  <si>
    <t>Simple et pratique dans la gestion de mes contrats d'habitation. Une fidélité aurait pu permettre de s'aligner sur les tarifs contrats auto, mais sans succès.</t>
  </si>
  <si>
    <t>marchal-a-136109</t>
  </si>
  <si>
    <t>Assurance réactive et fiable, le prix est accessible à tout et modulable selon les besoins. Je recommande.
Le prix est très attractif, la qualité des services est top</t>
  </si>
  <si>
    <t>05/10/2021</t>
  </si>
  <si>
    <t>cel64210-90300</t>
  </si>
  <si>
    <t xml:space="preserve">Intérimaire, je dépends de la prévoyance AG2R. 
Suite à une blessure sur le poste de travail le 11/10/19 je suis dans l attente de mes indemnités !!!!!!!!
Reprise impossible car opération obligatoire. 
La sécu a mis plus de 7 mois à statuer sur mon dossier et décision maladie pro en mai 2020 ( ouverture dossier acc de travail le 11/10/19). La prestation est donc la même et origine professionnelle reconnue. 
A chaque appel les délais grimpent.... 8 semaines puis 9 puis aujourd'hui on me dit qu on traite les dossiers de mars.... soit peut être une prestation en août.
Après plusieurs tentatives pour faire avancer ce dossier on me dit que tout est informatique décision sécu en mai, donc dossier traité à compter de mai.... pardonne humainement parlant ne peut contrer l ordinateur et prendre en compte mon attente depuis 9 mois!!!!!! J ai tout perdu a cause d une blessure au travail et personne ne m entends !!!!!
</t>
  </si>
  <si>
    <t>dominique-b-105098</t>
  </si>
  <si>
    <t>dossier difficile a constituer,il manque toujours un document malgré que j'ai vraiment l'impression d'avoir tout fournis.a mon avis,il manque un peu de réactivité.</t>
  </si>
  <si>
    <t>christiane-w-107490</t>
  </si>
  <si>
    <t>Rien à redire, si ce n'est juste petit accroc à la signature électronique de mon contrat ce jour. La mail de confirmation m'est parvenu mais sans les pièces jointes que je dois conserver bien scrupuleusement.</t>
  </si>
  <si>
    <t>shirley-r-131297</t>
  </si>
  <si>
    <t xml:space="preserve">Contente de faire des économies et d'être assuré quasiment pareil que mon ancienne assurance la GMF 
SACHANT QUE JE SUIS EN CONGÉ PARENTAL ÇA ME FACILITE LA VIE </t>
  </si>
  <si>
    <t>smt75-64040</t>
  </si>
  <si>
    <t xml:space="preserve">EXTREMEMENT DECU !!
Je suis client AFER depuis 31 ans.  Depuis quelque temps, je ne reconnais plus cette association qui a pourtant longtemps été réputée pour le sérieux de sa gestion et la performance de ses fonds.
Côté gestion des fonds, la migration informatique du gestionnaire AVIVA a été juste catastrophique : impossibilité d'accéder à son compte pendant près de 5 mois, puis erreurs sur les comptes qui n'ont été corrigées qu'au bout de plusieurs mois.
Côté service client, le passage des Comptoirs du Patrimoine à Astoria Finance n'a pas non plus été une grande réussite.  J'ai la malchance de tomber presque systématiquement sur une conseillère qui fait preuve d'un manque de professionnalisme assez ahurissant (i.e. irrespectueuse et agressive, quand elle n'est pas méprisante).
Par ailleurs, je ne compte plus les mésaventures que je rencontre avec l'AFER ces derniers mois : un premier chèque qui a mis deux mois à être crédité sur le compte, puis un deuxième chèque envoyé fin août, débité le 9 septembre et qui n'est toujours pas crédité sur le compte aujourd'hui 26 octobre car l'AFER en a perdu la trace !!!!
Je ne recommande plus cette association à mes proches ou à mes connaissances, et je pense que je vais récupérer mon argent et le transférer chez un concurrent plus sérieux.
</t>
  </si>
  <si>
    <t>26/10/2020</t>
  </si>
  <si>
    <t>jean-francois-l-122081</t>
  </si>
  <si>
    <t>Contact facile et réactivité. Suite à une demande de modification de mon contrat mon interlocuteur a agit de suite.
Le prix de mon assurance est raisonnable et pour le service j'espère à ne jamais avoir a déclarer de sinistre.</t>
  </si>
  <si>
    <t>mimosas72-50167</t>
  </si>
  <si>
    <t>Ne respecte pas les clients de ses collègues précédents</t>
  </si>
  <si>
    <t>12/12/2016</t>
  </si>
  <si>
    <t>sandrine55-67326</t>
  </si>
  <si>
    <t>Sogecap une longue histoire..., vous payez une assurance de prêt immobilier pendant des années, le jour où vous tombez malade ne comptez pas sur eux pour vous indemniser, entre les pertes de dossier, vous êtes envoyez chez un médecin expert à 2h de chez vous, génial quand vous souffrez qui de plus vous torture et vous traite comme de la merde, ils vous indemnisent quelques mois et vous estiment consolidé donc plus droit à rien... franchement assureur à bannir !!!!! La justice fera son travail beaucoup mieux qu'eux !!!!!</t>
  </si>
  <si>
    <t>05/10/2018</t>
  </si>
  <si>
    <t>li-a-133921</t>
  </si>
  <si>
    <t>souhaitant que l'année prochaine, je n'ai pas à devoir résilier puis ré-souscrire pour bénéficier un tarif intéressant. Que se soit fait automatiquement chez vous si possible.</t>
  </si>
  <si>
    <t>22/09/2021</t>
  </si>
  <si>
    <t>titine-105810</t>
  </si>
  <si>
    <t>Bonjour,
j'ai pris cette assurance pour faire fructifier l'argent de ma fille qu'elle a reçu depuis sa naissance en pensant bien faire soit 8000 euros. Mal m'en a pris. Environ 300 euros de frais de dossier qui je suis sûre ne mon pas été notifiés....coup de fil à ma gestionnaire qui me dit que si et qu'ils seront rapidement rentabilisés. Détresse de ma part, j'ai fais perdre de l'argent à ma fille alors que l'on me promettait un super plan. Et là, je viens de recevoir les intérêts normalement de son placement pour l'année 2020... -45 euros. J'ai contacté ma conseillère axa en lui disant que j'arrêtais les frais avant qu'il ne reste plus rien à ma fille. Contact téléphonique pour prendre un rdv en urgence pour arrêter l'hémorragie. Elle ne veut rien entendre, je n'ai rien compris, elle me hurle dessus au téléphone pour crier plus fort que moi, enfin, du délire. J'ai rdv avec elle mercredi, je pense que cela ne va pas être une partie de plaisir, mais stop, quitte à encore perdre de l'argent, j'arrête de cautionner ce contrat qui semble merveilleux et qui finalement coûte très cher. Je culpabilise d'avoir fait cela à ma chérie et vais la dédommager de ses pertes, là honte sur moi et cette conseillère qui ne m'a finalement rien expliquée, merci AXA..
Quelqu'un a t il eu les mêmes déboires???
Merci de vos réponses
Franceline Gauthier Champy</t>
  </si>
  <si>
    <t>remcou-77411</t>
  </si>
  <si>
    <t xml:space="preserve">A la suite de 2 prélèvements rejetés car changement coordonnées bancaires pas de mail ni de sms ils m'ont facturé 320 euros de frais recouvrement et radié aucun détail pas de facture RELATION CLIENT NULLE </t>
  </si>
  <si>
    <t>07/07/2019</t>
  </si>
  <si>
    <t>julien-89309</t>
  </si>
  <si>
    <t>Satisfait de ce contrat d'asurance vie bien meilleur que ceux proposés dans les établissements bancaires</t>
  </si>
  <si>
    <t>diabolo-77500</t>
  </si>
  <si>
    <t>nous avons pris cette complémentaire au mois de Février en demandant bien les remboursements de soins ostéopathie et hospitalisation et au moment de se faire rembourser on nous a dit que nous n'étions pas couverts</t>
  </si>
  <si>
    <t>SwissLife</t>
  </si>
  <si>
    <t>10/07/2019</t>
  </si>
  <si>
    <t>hiphop77-56472</t>
  </si>
  <si>
    <t>à fuir</t>
  </si>
  <si>
    <t>03/08/2017</t>
  </si>
  <si>
    <t>kilicool-121368</t>
  </si>
  <si>
    <t>Après un accident NON responsable, on me signifie que ma franchise sera fortement augmenté ou bien je serais résilié a la prochaine échéance !
Plusieurs contrats chez eux depuis une dizaine d'années n'y ont rien fait, comme on dit, c'est en cas de problème que l'on juge la qualité des services rendus !!!
Hé bien la MAAF est complètement nul, payer payer payer, et si vous avez un pépins vous êtes prié de prendre la sortie.
Fuyez donc....</t>
  </si>
  <si>
    <t>27/06/2021</t>
  </si>
  <si>
    <t>berthaud-y-111754</t>
  </si>
  <si>
    <t xml:space="preserve">JE SUIT TRES SATISFAIT DU SERVICE DE L'ASSURANCE l'olivier part la qualité du prix ainsi que l'accueille est des conseils afin d'avoir une assurance a mes besoin  </t>
  </si>
  <si>
    <t>momo-64742</t>
  </si>
  <si>
    <t>La réponse à ma demande a été rapide et correspond a ce que je recherche. Les explications sont claire et les démarches rapides.</t>
  </si>
  <si>
    <t>13/06/2018</t>
  </si>
  <si>
    <t>guillaume-s-108585</t>
  </si>
  <si>
    <t>Le prix ça va. Mais je me demande à quoi ça sert. Un jour j' ai appelé parce qu une voiture m avait défoncé un rétroviseur. Personne ne savait ce qu il fallait faire. A chaque fois on me renvoyait vers un autre numéro. Quand je vois des pubs marquées "Direct assurance, numéro 1" Je rigole. Lol.</t>
  </si>
  <si>
    <t>31/03/2021</t>
  </si>
  <si>
    <t>chauvet-a-115603</t>
  </si>
  <si>
    <t>Satisfait du service &amp; de l'assurance souscrit auprès de l'Olivier Assurance. 
C'est une première auprès de l'olivier Assurance. J'espère que la formule conviendra.</t>
  </si>
  <si>
    <t>kingue-c-127627</t>
  </si>
  <si>
    <t xml:space="preserve">Je suis satisfait du service et les pri me conviennent. L'adhesion fut simple et pratique. J'ai ete appele assez rapidement par vos collaborateurs qui m'ont explique les modalites et les points essentiels du contrat. </t>
  </si>
  <si>
    <t>11/08/2021</t>
  </si>
  <si>
    <t>lo--100151</t>
  </si>
  <si>
    <t xml:space="preserve">C’est bien dans l’idée de proposer des prix bas mais le reste ne suis pas .
- des frais de 17€ pour un changement d’adresse 
- des accidents en plus , qui n’ont jamais eu lieu . 
Nul </t>
  </si>
  <si>
    <t>william972-97447</t>
  </si>
  <si>
    <t xml:space="preserve">Très déçu car muté en outre-mer, je dois rompre le contrat pacifica en métropole, puis ouvrir un compte bancaire crédit agricole en Martinique pour pouvoir reprendre une assurance auto à la pacifica en Martinique. N'importe quoi </t>
  </si>
  <si>
    <t>monkour-94092</t>
  </si>
  <si>
    <t>Je suis "plutôt" satisfait du prix. Je suis déjà assuré, j'ai fais plusieurs devis chez d'autres concurrent. Si vous m'accordez une remise en plus sur mon devis actuel c'est sur que je choisirai votre assurance.</t>
  </si>
  <si>
    <t>14/07/2020</t>
  </si>
  <si>
    <t>marjorie-l-126914</t>
  </si>
  <si>
    <t>Anciennement assuré pour une ZOE aussi, j'étais en tous risque pour 200 euros de moins !!!
Les options de paiement lors de la souscription ne permettent pas de choisir un paiement mensuel ... Alors que je suis déjà client ...
Bref à revoir !</t>
  </si>
  <si>
    <t>courtier-70579</t>
  </si>
  <si>
    <t>Je me suis rétracté après avoir souscrit un contrat chez Neoliane, j'ai quand même été prélevé de la cotisation, cotisation que j'ai fait rejeter par ma banque, je suis relancé pour défaut de paiement pour des prestations auxquelles je n'ai pas droit. Impossible de contacter le service client pour expliquer mon problème...</t>
  </si>
  <si>
    <t>25/01/2019</t>
  </si>
  <si>
    <t>caroline-p-110965</t>
  </si>
  <si>
    <t>souscription facile; clair et rapide depuis un ordinateur. 
les contrats personnalisable sont appréciables.
validation et assurance immédiate.
service client non testé</t>
  </si>
  <si>
    <t>moi-89839</t>
  </si>
  <si>
    <t>Nous sommes restaurateurs clients depuis 17 ans chez allianz et pour la crise du COVID-19 on nous a indemnisés de 160€ soit une goutte d'eau c'est absolument honteux...</t>
  </si>
  <si>
    <t>22/05/2020</t>
  </si>
  <si>
    <t>mourad-z-114631</t>
  </si>
  <si>
    <t xml:space="preserve">Très satisfaisant. Toujours eu une réponse facile et efficace. C'est pour ça que je reste fidèle à vous car niveau tarif y a pas mieux chez vous. Et je vous remercie </t>
  </si>
  <si>
    <t>23/05/2021</t>
  </si>
  <si>
    <t>m-alcaraz-94453</t>
  </si>
  <si>
    <t xml:space="preserve">Sans sinistres responsables l augmentation des tarifs des cotisations est incompréhensible. Réponse du service client nos meilleurs tarifs sont réservés à nos nouveaux clients... solution? Résilier et redevenir client ? </t>
  </si>
  <si>
    <t>17/07/2020</t>
  </si>
  <si>
    <t>melisya-77389</t>
  </si>
  <si>
    <t xml:space="preserve">Bonjour, 
INCROYABLE, en lisant les différents commentaires sur ce site (que je remercie d'ailleurs au passage), je lis exactement ce que je vie depuis plus de 8 mois.
Mon sinistre date du 22/10/2018 et j'ai beau relancer régulièrement par téléphone ou par mail, j'ai toujours et toujours la même réponse: Nous attendons la réponse de la partie adverse. Mais encore combien de temps dois-je encore attendre ? 8 mois ce n'est pas encore assez long ?
Aujourd'hui, nous sommes le 05/07/2019, et je demande a l'interlocutrice (qui a remplacée sa collègue depuis peu) qui s'occupe de mon dossier, Quand avez vous relancé pour la dernière fois la compagnie adverse ? Réponse: au mois d'avril sur votre demande. MERCI AMV !! j'ai l'impression que mon dossier est laissé a l'abandon dans un tiroir.
Pire encore, après cette aberration, je décide de contacter directement la partie adverse qui m'informe qu'il manque des documents que j'ai pourtant transmis a AMV depuis plusieurs mois déja. 
Il y a vraiment un problème de gestion sans compter les promesses de rappel non tenue.
En attendant, J'ai du avancés les Frais médicaux et ma moto reste inutilisable à ce jour.
Furieux, je ne sais pas quoi faire car j'ai par ailleurs plusieurs véhicules assuré chez AMV (société et perso).
Mais que faites-vous AMV ?
</t>
  </si>
  <si>
    <t>05/07/2019</t>
  </si>
  <si>
    <t>luc-l-103968</t>
  </si>
  <si>
    <t>Un très bon niveaux de conseil ; une qualité de la relation par téléphone excellente. Une rapidité de mise en place exceptionnelle. 
Je recommande vivement</t>
  </si>
  <si>
    <t>10/02/2021</t>
  </si>
  <si>
    <t>farahn-98891</t>
  </si>
  <si>
    <t>La conseillère est très à l'écoute et gentille. Elle a pris son temps  pour bien me répondre.
Je suis nouvelle et je trouve le service client assez bien. 
Merci 
Farah</t>
  </si>
  <si>
    <t>19/10/2020</t>
  </si>
  <si>
    <t>bery-j-115159</t>
  </si>
  <si>
    <t>Très bon rapport qualité prix. Contact par téléphone facile. Personnes compétentes et renseignements donnés exacts. Je recommande pour leur réactivité et leur sérieux.</t>
  </si>
  <si>
    <t>steinbach-n-138280</t>
  </si>
  <si>
    <t xml:space="preserve">Je soussigné Mr Nathan Steinbach, après mon expérience sur votre espace client. La finalisation des documents et signature des contrats est trop long et compliqué. </t>
  </si>
  <si>
    <t>mounir-m-112281</t>
  </si>
  <si>
    <t xml:space="preserve">Le prix ne m'arrange pas du tout je compte changer d'assurance au plus vite , j'ai  trouver des prix moins chère ailleurs et ils propose une meilleurs assurance </t>
  </si>
  <si>
    <t>dan33-101499</t>
  </si>
  <si>
    <t>bjr, je suis content du prix de L'Olivier Assurance, mais très déçus car je n'ai toujours pas reçu ma prime de parrainage ainsi que mon filleul (M.Yves CHAILLOUX), depuis presque 1 an, que se passe t-il ?. Cdlt
M. Daniel CHAILLOUX</t>
  </si>
  <si>
    <t>16/12/2020</t>
  </si>
  <si>
    <t>m-b06000-54067</t>
  </si>
  <si>
    <t>Bonjour, apres avoir fait appel a un comparatif de mutuel en ligne la societe Santiane ma telephoner afin de souscrir un contrat via signature electronique, apres verification des pratiques dites douteuses je me suis retracter le jour meme afin danuller ces contrat Malakoff sante et Neoliane prevoyance.</t>
  </si>
  <si>
    <t>13/04/2017</t>
  </si>
  <si>
    <t>chrismai-97583</t>
  </si>
  <si>
    <t>Je souhaite racheter mon solésio vie chez CNP assurance. Plusieurs recommandés envoyés mais redemandent des documents déjà envoyés pour bloquer la procédure. Impossibilité de récupérer son argent. Honteux.</t>
  </si>
  <si>
    <t>18/09/2020</t>
  </si>
  <si>
    <t>luong-f-121133</t>
  </si>
  <si>
    <t xml:space="preserve">Je suis satisfait du service.
Le tarif me convient parfaitement.
Très content d'avoir choisi l'Olivier assurance.
Je conseillerai volontiers à mes proches.
</t>
  </si>
  <si>
    <t>bibi47-57869</t>
  </si>
  <si>
    <t>En général bonne assurance</t>
  </si>
  <si>
    <t>jacues008-77713</t>
  </si>
  <si>
    <t>Merci a William pour ses conseils et le contrat qu'il m'a trouvé réponds à tout mes besoins et à mon budget...
Le service client est tres réactif et a pu me remettre en contact avec lui des que j'en ai eu besoin.</t>
  </si>
  <si>
    <t>17/07/2019</t>
  </si>
  <si>
    <t>pierre-f-125735</t>
  </si>
  <si>
    <t>très satisfait il doit bien y avoir plus de cinquante ans que je suis a la gmf et je pense que je ne changerai pas a moins que ce soit vous qui changerez. Merci</t>
  </si>
  <si>
    <t>31/07/2021</t>
  </si>
  <si>
    <t>joseph-52388</t>
  </si>
  <si>
    <t xml:space="preserve">assuré depuis des années sans accidents ,jamais un conseiller m'a contacté pour voir le contrat ;augmentation chaque année, assurance beaucoup trop chère par rapport aux autres avec les memes prestations donc voir pour résiliation. </t>
  </si>
  <si>
    <t>13/02/2017</t>
  </si>
  <si>
    <t>c-o-101103</t>
  </si>
  <si>
    <t>Grosse déception: la maif m'a accusé à tort de ne pas avoir payé ma cotisation a temps, alors que j'avais payé, puis tout en avouant cette erreur et en me remboursant la somme que j'avait finalement payé deux fois à refusé de remettre en route mon contrat Raqvam sans aucune justification.... malgré mes mails et mes appels personne n'a pu m'expliquer la cause de ces actes qui me semblent injustes. je ne comprends pas cette attitude qui manque de respect et d'explications.</t>
  </si>
  <si>
    <t>08/12/2020</t>
  </si>
  <si>
    <t>jean-claude-g-126064</t>
  </si>
  <si>
    <t>Manque de bureau de proximité en remplacement de celui qui était place des Pradettes à Toulouse;  les conseils personnalisées sont souhaités par les clients. Pour des bureaux   ville l'accès est difficile.</t>
  </si>
  <si>
    <t>02/08/2021</t>
  </si>
  <si>
    <t>dona-60813</t>
  </si>
  <si>
    <t>A FUIRE ! Contrat N°275208, J'ai été résiliée sans être prévenue pour un document manquant dont on ne m'a pas informé (4 photos du véhicule) ni à l'ouverture du contrat ni lorsque j'ai fait parvenir les autres documents Dont ils ont fait "bonne réception"! 3 mois de cotisation payée pour n'être assurée qu'1 mois et ils me demandent en plus de régler 2 mois de cotisation pour être assurée de nouveau ! Le remboursement n'est même pas une chose envisageable pour eux et lorsque on appelle le service au téléphone la discussion tourne en rond et aucune reconnaissance des tords de leur part n'est assumée !! Je vais donc faire appel auprès de l'Autorité de Contrôle Prudentiel et de Résolution !</t>
  </si>
  <si>
    <t>25/01/2018</t>
  </si>
  <si>
    <t>romain-v-107431</t>
  </si>
  <si>
    <t>Je suis satisfait des services que vous proposez. 
Les tarifs sont abordables et votre personnel répond présent quand on en a besoin. Jusqu'ici tout va bien, nous verrons si un jours j'ai un incident et que j'ai vraiment besoin d'une prise en charge de votre part...</t>
  </si>
  <si>
    <t>kiki76-50866</t>
  </si>
  <si>
    <t>la misere</t>
  </si>
  <si>
    <t>02/01/2017</t>
  </si>
  <si>
    <t>lulu22eme-62331</t>
  </si>
  <si>
    <t xml:space="preserve">a déconseiller service client plus que nul 
aucune réponse après quatre mail envoyé
on vous écris dossier incomplet et on ne vous dit pas ce qu'il manque 
quand je téléphone on me dit que le dossier est complet et que je vais recevoir ma carte verte 
j'attend toujours 
sur le site dossier incomplet 
mon attestation provisoire se termine et personne ne vous dit  rien </t>
  </si>
  <si>
    <t>17/04/2018</t>
  </si>
  <si>
    <t>jean-102049</t>
  </si>
  <si>
    <t xml:space="preserve">Contrat adaptable au plus près de ses besoins. Facilité et sécurité pour joindre une conseillère. Echange toujours agréable.
Renseignements précis.
Remboursement très rapide. </t>
  </si>
  <si>
    <t>31/12/2020</t>
  </si>
  <si>
    <t>mamadou-s-130594</t>
  </si>
  <si>
    <t>Très satisfait du service proposé, je recommande pour tout motocycliste voulant s'assurer de venir le faire chez vous.
Pour une personne n'ayant aucune connaissance c'est très simple et très rapide.</t>
  </si>
  <si>
    <t>emmanuel-b-123584</t>
  </si>
  <si>
    <t>Déplacement ce jour à l'agence GMF de Valenciennes (59) suite à prise de RDV (10H45) pour assurer un véhicule neuf. Accueil cordial par une employée qui me demande de m'assoir et de patienter. Jusque là, normal. 11H45 toujours rien soit 30 mn de retard. Le directeur d'agence devant personnellement me recevoir, ça peut importe, je ne l'ai pas sollicité. 11H00, arrivée d'un couple ayant RDV à 11H15, même cérémonial d'accueil et réception directe par une autre employée. Mais oui bien sûr...Ah bon, là c'est 1/4 d'avance sur l'horaire prévu du RDV initial, j'ai du mal à comprendre, je vais m'enquérir de la situation et essayer de comprendre, la 1ère employée, tout confuse de ce dysfonctionnement, tente de sauver les meubles en me recevant à 11H20.A mon départ à 11H35, le chef d'agence toujours en RDV... Pensez vous qu'il se serait inquiéter de ce dysfonctionnement, et bien non!!! Je quitte l'agence, médusé, frustré et courroucé. Aujourd'hui, la compagnie GMF n'aura pas à coup sûr respecter sa devise "assurément humain" mais plutôt "assurément vilain"!!!</t>
  </si>
  <si>
    <t>10/08/2021</t>
  </si>
  <si>
    <t>jeanmi-138436</t>
  </si>
  <si>
    <t>Bonjour, voici mon avis issu de l'expérience que je viens de subir :
Mes deux contrats d'assurance véhicule ont été résiliés sans aucune information préalable et surtout sans aucune justification de leur part. J'ai appris cette situation lors d'un rendez-vous à ma banque qui n'a pas su me donner d'explication crédible si ce n'est que je devrai rattacher mes autres contrats véhicules auprès de PACIFICA, ce que je ne souhaitai pas. Face à cette situation, dans l'urgence, j'ai du contacter mon assureur avec lequel je suis rester pour les autres véhicules qui les a repris, aucun étonnement de sa part puisque ce n'est pas la première fois que cette situation se produit avec d'autres clients.
Ces contrats ont été mis en place lors de ma réactualisation du taux d'intérêt de l'emprunt sur l'achat de ma maison ou il m'a été demander, voir un peu forcer je dois dire de prendre ces contrats pour argumenter auprès de leur direction at avoir un taux d'intérêt de remboursement plus attractif.
Ce que je déplore le plus dans cette situation, c'est que j'ai été mis devant le fait accompli lors de ce rendez-vous, le plus fâcheux, c'est que j'ai été harceler au téléphone à plusieurs reprises pour me demander de faire un courrier mentionnant le fait que c'est moi qui est fait cette demande  de résiliation, bien entendu ce que je n'ai pas fait. 
Malgré tout, j'ai reçu un courrier de la part de PACIFICA qui mentionne la résiliation à ma demande, ce qui est totalement faux, c'est une honte</t>
  </si>
  <si>
    <t>marc-103051</t>
  </si>
  <si>
    <t>Bonsoir
Depuis décembre 2009, j'ai investi une grosse somme à la BNP BANQUE PRIVEE en assurance vie CARDIF.
Mes dividendes et intérêts sont absorbés par les frais de gestion + les frais de compte + etc ...
Trop de vaste, trop de personnel, etc ...
Cordialement</t>
  </si>
  <si>
    <t>jojo56-66399</t>
  </si>
  <si>
    <t>Assurance à bannir, Aucun suivi de leurs dossiers, pas capable des les traiter surtout quand vous résiliez, il continue de préléver. A bannir.... Tournez vous vers d'autres assureurs, c'est le meilleur conseil que je peux vous donner.</t>
  </si>
  <si>
    <t>25/08/2018</t>
  </si>
  <si>
    <t>bingue-r-123598</t>
  </si>
  <si>
    <t xml:space="preserve">Je suis satisfait car le prix et les garanties conducteurs sont  plus bénéfique que mon ancienne assurance . Merci de votre réactivité. Bien cordialement. </t>
  </si>
  <si>
    <t>16/07/2021</t>
  </si>
  <si>
    <t>s95-55993</t>
  </si>
  <si>
    <t>Scandaleux 
Ma voiture volée et brûlée 3 semaine pour avoir une expertise et une fois celle ci faite la valeur donnée est basée que sur les prix les plus bas du marché aucun contact avec l'expert qui refuse d'entendre qu il est a plus de 1000 euros en dessous de largus alors que ma voiture avait a peine 2 ans...la macif propose donc que je paie un expert puis sera missionné un 3eme expert donc encore un mois de galère sans prêt de véhicule...</t>
  </si>
  <si>
    <t>13/07/2017</t>
  </si>
  <si>
    <t>01/07/2017</t>
  </si>
  <si>
    <t>sb-70386</t>
  </si>
  <si>
    <t>TRÈS MAL COUVERT, NOTAMMENT POUR LE DÉPANNAGE, VAUT MIEUX PAS TOMBER EN PANNE. PAR EXEMPLE, SI VOUS ETES VICTIME D'UNE CREVAISON, NE COMPTER PAS SUR DIRECT ASSURANCE, MÊME LA NUIT AU MILIEU DE NUL PART.</t>
  </si>
  <si>
    <t>20/01/2019</t>
  </si>
  <si>
    <t>lili--114876</t>
  </si>
  <si>
    <t>Très déçus j ai eu un dégât des eaux ne m on trouver aucun plombier d urgence j ai du le trouver moi même vous attendez des heures entre l assurance et l assistance il se renvois la balle bref vraiment déçu je vais chercher une autre assurance !</t>
  </si>
  <si>
    <t>elbrahmi270-94179</t>
  </si>
  <si>
    <t>Encore une expérience catastrophique avec la macif.
Aujourd'hui j'ai reçu 14 courrier sous plis et identique de la part de la macif pour m'indiquer que le mandat était bien mis en place.
Ma cotisation est 147 euros pour tout mes contrats.
Suite à une erreur de leur part ils ont présenté un prélèvement sur mon compte de 265 euros que j'ai évidemment rejeté.
Après les avoir contacté, on m'indique que suite à ce rejet je vais recevoir un courrier me demandant la cotisation annuelle à régler.. plus de 1200 euros.
Pourtant je les ai contacté à plusieurs reprises avant ce rejet pour être sur qu'il n'y aura pas d'erreur sur le montant qui sera prélevé en août... évidemment à chaque appel un conseiller différent et un discours différent pour au final me mettre dans une situation difficile.
Je conseille vraiment aux personnes de ne pas souscrire des contrats à la Macif qui met en en avant des valeurs humaines et bla bla bla pour se différencier des concurrents.
Ils sont pires que les autres, ils ne sont pas à l'écoute de leur sociétaire et ils se moquent de nous.
Le dernier conseiller que j'ai eu au téléphone m'a pris de haut, il ne disait plus rien au téléphone, il attendait simplement que je mette moi-même fin à la communication.
Suite à la crise sanitaire pareil, ils n'ont même pas pris la peine de rembourser une partie des cotisations prélevées pendant les 3 mois de confinement, aucun geste en faveur de leur sociétaire c'est honteux avec l'argent qu'ils brassent sur notre dos.
Bref Macif à bannir je vous le conseille.</t>
  </si>
  <si>
    <t>11/08/2020</t>
  </si>
  <si>
    <t>brocard-69778</t>
  </si>
  <si>
    <t xml:space="preserve">Fuyez cette assurance qui n assure rien. Suite fuite d eau dans apt du dessus également assuré Axa.  Aucune intervention possible par leur service d urgence car le service sinistré est fermé pour les fêtes </t>
  </si>
  <si>
    <t>31/12/2018</t>
  </si>
  <si>
    <t>jcs-54726</t>
  </si>
  <si>
    <t xml:space="preserve">ATTENTION A TOUS, Direct assurance est une compagnie qui ne tient pas ses engagements 
Je suis assuré chez Direct Assurance depuis plus de 10 ans, dont ces 5 dernières années avec le même véhicule.
Je suis en tout risque, avec un pack sérénité et 51% de bonus, je viens de faire assurer un deuxième véhicule + un deux roues depuis plus de 8 ans
L’année dernière, on me notifie dans mon avis d’échéance que j’aurai 20% de remise l’année prochaine pour récompenser ma fidélité (5 ans).
Je reçois mon avis d’échéance au mois d’avril et là surprise, pas de remise de 20%
Je contacte leur service client le 29-04, il me confirme que c’est un oubli, qu’ils vont remonter l’information au service comptabilité et que j’aurai un retour de leur part la semaine suivante.
Au bout d’une semaine, pas de nouvelles. Je recontacte le service client, toujours le même discours et au bout d’une semaine toujours rien.
Entre temps, je déclare un sinistre NON RESPONSABLE (une personne a rayé mon pare choc en reculant)
Je me décide à leur écrire à travers mon espace client, et là surprise il me réponde que je n’ai pas droit à mes 20% de remise car j’ai déclaré un sinistre.
Ceci est une excuse car le sinistre est arrivé après et en plus non responsable
Bref, voici comment direct assurance récompense ses clients.
Ce sont des menteurs et des filous
Je savais déjà qu’ils avaient une politique de prix agressive pour les nouveaux clients et ensuite les prix augmentent, mais là c’est quand même énorme.
J’ai effectué quelques recherches sur le web et à priori je ne suis pas le seul :  
Pour moi c’est décidé, je vais résilier l’ensemble de mes contrats chez eux
</t>
  </si>
  <si>
    <t>18/05/2017</t>
  </si>
  <si>
    <t>yannick-h-116243</t>
  </si>
  <si>
    <t>Service et réactivité au TOP, des prix très compétitifs!
Fidèle à DIRECT ASSURANCE depuis plusieurs années, je ne peux que recommander vivement cette société :)</t>
  </si>
  <si>
    <t>07/06/2021</t>
  </si>
  <si>
    <t>remi-42118</t>
  </si>
  <si>
    <t xml:space="preserve">j'ai fait mon devis d'assurance en ligne bien détaillé.
y compris pour faire mon contrat et transmettre les documents demandés en ligne.
ainsi qu'un suivi de direct assurance de mon dossier très rapide .
tout est très bien expliqué.
avec un bon retour dans ma boite mail.
je vais recevoir mon attestation bientôt.
et la loi Hamon est bien pratique.
donc je vais faire aussi mon contrat de logement y compris l'assurance scolaire..
merci.
Direct assurance à bientôt.
Rémi..
</t>
  </si>
  <si>
    <t>14/11/2020</t>
  </si>
  <si>
    <t>david2272--123390</t>
  </si>
  <si>
    <t>Chez AXA j'ai une assurance habitation et une protection juridique, pour rentrer chez AXA j'ai dû prendre deux assurances sinon mon entrée été refusé, dans mon agence il faut de contrat pour rentrer chez AXA. À part ça je n'ai rien à dire je n'ai pas de contact avec eux, il ne me contacte jamais donc je ne peux pas dire si je suis satisfait ou non, à part le fait que j'ai l'obligation de prendre de contrat ce qui est pas normal mais visiblement c'est leur</t>
  </si>
  <si>
    <t>olg-63833</t>
  </si>
  <si>
    <t>4 mail envoyés pour resilier une assruance vu que mon handicap  ne me permets pas le telephone, aucune reponse. et ce n est pas la premiere fois que cela arrive, je vais en envoyer un 5eme sans grand espoir</t>
  </si>
  <si>
    <t>20/05/2018</t>
  </si>
  <si>
    <t>mous-90118</t>
  </si>
  <si>
    <t xml:space="preserve">Suite à un dégâts des eaux l artisan veux réparer que le plafond alors que l l'expert d après les gestionnaires les travaux comprend plafond et mur , j ai refusé l intervention de l artisan pour clarifier les choses depuis à peu près 4 mois rien ne bouge malgré les appels ou contact avec le bureau Macif , ce que je trouve anormal c est que je n ai pas le droit d avoir ni le devis ni la facture pour savoir quelle genre de matériaux que l artisant utilise </t>
  </si>
  <si>
    <t>02/06/2020</t>
  </si>
  <si>
    <t>plume16-75857</t>
  </si>
  <si>
    <t>Bonjour,extrêmement déçu, adhérente depuis environ une dizaine d'années sans aucun arrêt maladie jusqu'à il y'a quelque mois.Dans l'ensemble Pas trop de problème et puis surprise le versement du 20 mars 2019 impossible d'avoir Le versement.
L'impact de cette situation :ne plus pouvoir payer son loyer ,les factures ,les repas alors là on en parle même pas le minimum vital.</t>
  </si>
  <si>
    <t>13/05/2019</t>
  </si>
  <si>
    <t>yvin1956-108120</t>
  </si>
  <si>
    <t xml:space="preserve">Tres mauvais assurreur manque d amphatie quand éventuellement on a un problem d argent il  y a quand même le covid et n hesite pas à vous mettre dand les mains d entreprise de recouvrement faisant doubler l addition à fuir </t>
  </si>
  <si>
    <t>corinne3006-98263</t>
  </si>
  <si>
    <t xml:space="preserve">Personnel très accessible, à l écoute et répondent très rapidement à notre demande. Propose des contrats adaptés à nos besoins et n insistent pas sur la signature des contrats. </t>
  </si>
  <si>
    <t>02/10/2020</t>
  </si>
  <si>
    <t>sergio24-102500</t>
  </si>
  <si>
    <t>Adhérent depuis octobre 1988, je n'ai jamais eu à me plaindre de ma mutuelle qui m'a toujours donné satisfaction que ce soit au niveau des remboursements que des réponses aux qu'elles je me posais des questions.</t>
  </si>
  <si>
    <t>12/01/2021</t>
  </si>
  <si>
    <t>aandrie-107027</t>
  </si>
  <si>
    <t>Pire assurance qui puisse avoir en activité à l'heure actuelle, 
Vous vous assurez pour un contrat tout risque, et lorsque vous vous faite desosser votre véhicule dans un parking sécurisé, cette "assurance" ne prend pas en charges les pièces volées. 
Du jamais vu</t>
  </si>
  <si>
    <t>guylain-m-127671</t>
  </si>
  <si>
    <t>Je suis satisfait du prix et de la qualité du service qui est rapide
Merci, et je n'hésiterais de recommander direct Assurance à d'autres personnes...</t>
  </si>
  <si>
    <t>soares-e-108545</t>
  </si>
  <si>
    <t xml:space="preserve">personnel sympathique ! je viens de souscrire donc j'espère ne pas être déçue et les prix sont très compétitifs d'où mon intérêt pour cette assurance </t>
  </si>
  <si>
    <t>ignacio-l-111834</t>
  </si>
  <si>
    <t xml:space="preserve">Personnel très à l'écoute et répond bien aux questions. Ils prennent le temps de tout mettre en ordre et s'assurent de ne rien oublier par rapport aux assurances. </t>
  </si>
  <si>
    <t>marie-laure-m-109601</t>
  </si>
  <si>
    <t xml:space="preserve">je suis assez satisfaite de cette assurance pas embêtant et très réactif et pratique, le petite bémol c'est en cas de suspension après le tarif change ! </t>
  </si>
  <si>
    <t>08/04/2021</t>
  </si>
  <si>
    <t>etienne-c-108278</t>
  </si>
  <si>
    <t>Une assurance qui se repose trop sur ses lauriers en pensant être la meilleure ayant très peu de considération pour ses clients de longue date. Aucune communication entre les services, un jour on vous accorde une fleur commerciale qu'on s'empresse d'annuler le lendemain.
Que dire de plus? Le résultat est tellement catastrophique que je n'ai pas de mots assez forts pour refléter le désastre. 
Cordialement</t>
  </si>
  <si>
    <t>27/03/2021</t>
  </si>
  <si>
    <t>charlene-t-115271</t>
  </si>
  <si>
    <t>J ai toutes mes assurances chez vous et je suis très satisfaite de vos services, je n'hésite pas à vous conseiller auprès de futurs, je l'espère pour vous, assurés chez vous.</t>
  </si>
  <si>
    <t>29/05/2021</t>
  </si>
  <si>
    <t>nicholas-f-112887</t>
  </si>
  <si>
    <t xml:space="preserve">Vraiment très déçu de mon retour chez direct assurance.C'est la seconde fois que j'assure un véhicule chez direct assurance, et j’étais ravis du service jusqu'à ces derniers jours.Cela fait déjà trois fois que mon contrat change à cause de négligence de téléopérateur, malpolis et accusateur envers moi.J'ai envoyé une réclamation pour avoir un entretien avec un responsable, aucune réponse depuis.Par contre je reçois de la pub tous les jours.J'attends toujours de pouvoir m'expliquer si cela intéresse quelqu'un chez vous, sinon je résilierais mon contrat et ceux de mes connaissances.
</t>
  </si>
  <si>
    <t>karl-l-125366</t>
  </si>
  <si>
    <t>Je suis satisfait du service client, j ai jamais était déçu car assurer depuis plusieurs années, je recommande cette assurance auprès de mes proches. .</t>
  </si>
  <si>
    <t>29/07/2021</t>
  </si>
  <si>
    <t>jeanlo-85694</t>
  </si>
  <si>
    <t xml:space="preserve">Service rapide bonne compréhension des besoins
Remises pour les contrats multiples </t>
  </si>
  <si>
    <t>09/01/2020</t>
  </si>
  <si>
    <t>chespel-75127</t>
  </si>
  <si>
    <t>Je suis cliente chez Néoliane depuis 5 ans, aucun soucis à déclarer, remboursements rapides et prestations en adéquation avec le contrat souscris.</t>
  </si>
  <si>
    <t>16/04/2019</t>
  </si>
  <si>
    <t>estelle-t-131455</t>
  </si>
  <si>
    <t>Souscription facile, contact conseillère très bon, proposition correcte... C'est la première fois que je suis chez Direct Assurance, donc j'espère que les démarches échéantes seront toujours aussi simples</t>
  </si>
  <si>
    <t>sylvie-c-106616</t>
  </si>
  <si>
    <t>je contact pour renégocier mon contrat, on me raccroche au nez, évidemment le discours est bien appris. J'ai 4 assurance chez vous, je vais aller voir ailleurs si l'herbe est plus verte.  il faut attendre l'échéance du contrat...</t>
  </si>
  <si>
    <t>elodie-g-124365</t>
  </si>
  <si>
    <t xml:space="preserve">Très contente de l’assurance et niveau prix aussi je recommande votre assurance direct assurance et vous êtes très rapide pour assurer ma voiture bien cordialement Mme Gibauts </t>
  </si>
  <si>
    <t>zouzoute-52167</t>
  </si>
  <si>
    <t>25 ans dans cette assurance pour les voitures et aussi pour l'habitation. Et depuis peut pour une mutuelle
A toujours assumé normalement dans les sinistres sans faire de blocage ou chichi et toujours a l'avantage de son assuré
Service client toujours à l'écoute, prend le temps et est agréable et poli</t>
  </si>
  <si>
    <t>07/02/2017</t>
  </si>
  <si>
    <t>iefev-76811</t>
  </si>
  <si>
    <t xml:space="preserve">Fuyez ou n'essayez jamais de souscrire avec Active Assurance.
Plusieurs problèmes.
J'ai souscrit une assurance avec dépannage 0 km. Sauf qu'un jour, je suis tombé en panne un vendredi après-midi, je les ai donc contacté et m'ont assurer que je n'avais pas souscrit d'assurance 0km. La blague, j étais bien certains que j'avais cette assurance et m ont donc demandé de moi même vérifier. Ce que j'ai fais et comme prévu, j'avais bien cette assurance 0 km.
Je les rappelle (attention, 80 centimes la minute!) et me dise qu'il doivent vérifier de leur côté mais qui'il est trop tard et que je dois attendre lundi, tout ca avec ma voiture en panne en pleine rue. Ils m'ont donc demandé d'avancer les frais et si javais effectivement l'assistance dépannage 0 km, ils me rembourseraient.
Je trouve ca inadmissible, j'ai donc envoyer un mail pour avoir des explications, on ne m'a jamais répondu, jamais d'excuses. Mais ca ne s'arrête pas la.
Vu leur incompétence totale en matière d'assurance, de services clients (attention aussi, les personnes qui vous répondent au téléphone ne sont pas situé en France et s'expriment parfois avec un Français approximatif), j'ai demandé une résiliation selon la loi hamon car j'y ai droit. Et là les problèmes commencent. Ma résiliation est acceptée et effective à partir du 24 juin 2019, j'ai déjà payer pour la période allant du 12 juin 2019 au 11 juillet 2019, ils doivent donc me rembourser 2 semaines de cotisation. Non content de cela, ils me réclament en plus la cotisation qui va du 12 juillet au 11 aout 2019 en me menaçant de perdre le bonus que j'ai avec le nouvel assureur ou je ne sais quoi. Même ma nouvelle assurance sont complétement abasourdi par cette histoire. Je reçois sms et mail m'ordonnant de payer cette cotisation. Je ne la paierai jamais avec tout ce que j'ai du endurer avec eux. Je précise que jamais je me plaind sur le net mais la ils sont tellement incompétent que je dois partager ma mauvaise expérience.  Ils travaillent avec d'autres assureur et vous change d'assurance pendant votre contrat, on vous demande de signer un nouveau contrat avec un nouveau numéro de référence client, bref un bordle jamais vu auparavant. </t>
  </si>
  <si>
    <t>15/06/2019</t>
  </si>
  <si>
    <t>jlp13-66484</t>
  </si>
  <si>
    <t>Pareil que Charly,Demande de remboursement fait 2 fois par mail et Téléphone car ils m'ont prélevé pour toute l'année alors que j'avais coché la case prélèvement mensuel. Délai donné de 24 à 72 h actuellement ça fait 15 jours toujours pas remboursé ! J'ai rappelé et ils sont incapable de me dire quand est ce que je vais être remboursé ! Du coup je pas encore envoyé les documents qu'ils me demandent mais ça n' a pas l'air de  les stresser... il reste 15 jours et si je n'ai pas de retour, j'annule tout car j'ai bien peur que si il arrive quoi que se soit ça risque d'être compliqué pour les démarches.... JLP13</t>
  </si>
  <si>
    <t>29/08/2018</t>
  </si>
  <si>
    <t>nadege-133204</t>
  </si>
  <si>
    <t xml:space="preserve">A FUIR !!!!!!!!!!!!!!!!!
Assurance qui traite ses clients comme des moins que rien. Fais trainer les demandes. Redemande des pièces impossibles à fournir malgré un mail les informant. N'est absolument pas sérieux. Obligé de les relancer systématiquement pour avoir une réponse. Dossier en cours depuis 2 mois </t>
  </si>
  <si>
    <t>emmanuelle-b-115550</t>
  </si>
  <si>
    <t xml:space="preserve">JE SUIS SATISFAITE PAR LES SERVICES DE LA GMF 
JE SUIS SATISFAITE PAR LES SERVICES DE LA GMF
JE SUIS SATISFAITE PAR LES SERVICES DE LA GMF
JE SUIS SATISFAITE PAR LES SERVICES DE LA GMF
</t>
  </si>
  <si>
    <t>ruidi972-68341</t>
  </si>
  <si>
    <t>Une adhésion rapide, une réactivité pour le traitement des documents et la carte verte expédié dans la journée.</t>
  </si>
  <si>
    <t>kylara20-75051</t>
  </si>
  <si>
    <t>Imposible à les joindre. Radiation faite pour moi car nouvelle mutuelle, mais ils ont oublié de radier ma fille de 6 ans qu'est rattachée à 2 mutuelles actuellement.
Impossible de les joindre mais  ils m'envoient bien les factures à payer pour ma fille.
J'ai relancé mon ancien boîte pour qu'ils le contacte car moi je n'arrive pas pour aucun moyen.</t>
  </si>
  <si>
    <t>14/04/2019</t>
  </si>
  <si>
    <t>marie-chantal-w-129521</t>
  </si>
  <si>
    <t xml:space="preserve">SUPER SATISFAITE FACILLE DE FAIRE SON DEVIS SUR LE SITE TOUT EST BIEN DETAILLIER BRAVO JE LE RECOMMENDE  A TOUTLE MONDE PLUS CAS FAIRE SUIVRE LES DOCUMENT </t>
  </si>
  <si>
    <t>bossiere-f-126494</t>
  </si>
  <si>
    <t xml:space="preserve">Parfait, pour rapidité du devis et du contrat proposé et fait de l'accueil et du prix .
Facilité de la création du compte client et de sa mise en place.  </t>
  </si>
  <si>
    <t>armando-e-98033</t>
  </si>
  <si>
    <t>Je suis parfaitement satisfait du service car il est si simple à utiliser et on peut modifier la saisie puis voir directement l'impact sur le prix de l'assurance. En plus l'option de voir le dévis directement après la saisi des données sans besoin d'enregistrer le mail est vraiment un gros point positif ! Ne rien changer, le service est parfait tel qu'il est !</t>
  </si>
  <si>
    <t>pumpernickel-32282</t>
  </si>
  <si>
    <t xml:space="preserve">Ils ne sont pas en retard pour prélever. Pour payer ... c'est autre chose. 
Suite à sinistre le 11 octobre, je fais ma déclaration le 12 et j'envoie tous les documents demandés, le jour même, via mon espace client. L'expert est passé dans la semaine et ma voiture est déclarée épave. Je reçois les documents de cession que je complète et renvoie par courrier le jour même. Et désormais, ça traine. A chaque fois que j'appelle pour savoir où en est mon dossier, on me répond qu'il y a une étape à valider, puis que je serai remboursé. Et chaque appel, une nouvelle étape dont on ne m'avait pas informé, avec un nouveau délai. 
Pour exemple, mes deux derniers appels : j'ai appelé mardi dernier, on m'a dit "le virement a été saisi, l'argent va arriver sur votre compte". Comme je n'avais toujours rien, j'ai rappelé aujourd'hui "oui, le virement a bien été saisi mardi dernier. Mais il doit être validé par le responsable, et il est très occupé donc il n'a pas encore eu le temps, Il faut compter 10 jours pour qu'il valide". A chaque étape, une nouvelle étape et un nouveau délai.
4 semaines après la cession (20 octobre), toujours pas de remboursement, et il faudra encore attendre quelques jours pour la validation, puis les délais bancaires. 
Expertise : j'ai fait changer mes pneus avant en juillet. J'ai roulé 2828 km entre le changement de pneus et mon accident. L'expert évalue leur usure à 30 % ! Je vous laisse vous faire votre avis. 
Autre problème : j'ai fait suspendre mon contrat, étant sans voiture actuellement. De ce fait, je n'ai plus accès à mon dossier de sinistre sur l'espace client ! Donc impossible d'en suivre l'avancement. J'en ai informé mes différents interlocuteurs chez l'Olivier, leur réponse est "c'est bizarre" et c'est tout. Personne ne se souci de faire régler le bug. 
Autre point : il n'y a pas de service Réclamation. Toute remarque doit être adressée en recommandé avec accusé de réception au service qualité, il n'y a aucun autre moyen de les joindre. </t>
  </si>
  <si>
    <t>17/11/2020</t>
  </si>
  <si>
    <t>melie-121476</t>
  </si>
  <si>
    <t xml:space="preserve">Intervention complètement inutile et coûteuse : pour un acte de vandalisme, je m'en tire avec 620€ de frais dont 205 € de franchise pour une réparation qui a coûté 322€!!! Au bout de 15 jours de Ping pong avec l'assureur, l'assistance, le service réparation, j'ai surtout payé des dysfonctionnements et des erreurs de communication plus énormes les uns que les autres. On sous crut vite et ils sont là pour prélever, ça c'est sûr. Mais en cas de problème : Accompagnement nul, sens du service client nul, prestation nulle. Le personnel vous dit tout et son contraire, vous promet des choses qui n'arrivent jamais… A fuir. Appelez plutôt un ami.  </t>
  </si>
  <si>
    <t>29/06/2021</t>
  </si>
  <si>
    <t>david-h-116618</t>
  </si>
  <si>
    <t>Les prix sont un peu plus chére que la concurrence et surtout ça augmente tout les ans. et donc c'est pas terrible d'augmenter les prix quand le cout de la vie diminue.</t>
  </si>
  <si>
    <t>10/06/2021</t>
  </si>
  <si>
    <t>clarisse-p-123061</t>
  </si>
  <si>
    <t xml:space="preserve">Oui un peu marre de les appeler tous les ans pour faire baisser la note, 
au téléphone ils sont assez limite , un ton qui me plait pas pour certains conseiller pour qui on se demande quel est leur problème , on sent qu ils recitent une procédure l et la fameuse "je demande a mon responsable" ou ils partent prendre un café et reviennent 10 minutes apres avec "on peut pas faire grand chose" 
ca c est le clou du spectacle :-) 
pas de super remise , bon je reste pour l instant mais envisage de les quitter a la prochaine échéance </t>
  </si>
  <si>
    <t>10/07/2021</t>
  </si>
  <si>
    <t>oleg-111381</t>
  </si>
  <si>
    <t xml:space="preserve">Je suis un client de Matmut et leur travail n'est pas content - parce que l'accident s'est produit 28.01.2021 Pas de ma faute (l'ennemi m'a frappé par derrière) tous les documents émis et soumis au bureau pendant le temps, l'examen a été effectué. 01/02/2021 Répendu de l'assurance 50/50. Je ne suis pas d'accord avec ça. Il a fallu 3 mois et il n'y a aucune action de leur part.
 Je ne vois pas le travail professionnel de la société et une attitude indifférente envers les clients. En conséquence, j'ai reçu en termes d'assurance dans la société MATMUT  980001473154U - Prolems, passé du temps, une voiture battue et un paiement de 1 300,00 - Juste pour le fait que j'ai brisé la voiture.
</t>
  </si>
  <si>
    <t>laura-61187</t>
  </si>
  <si>
    <t>J'ai trouvé de meilleurs garanties pour moins chers, les conseillés s'occupe de la résiliation de mon contrat.
j'ai eu toutes les réponses a mes questions.</t>
  </si>
  <si>
    <t>06/02/2018</t>
  </si>
  <si>
    <t>nunes-s-131558</t>
  </si>
  <si>
    <t>Très content du prix mais également de la souscription très facile et rapide. Dans les agences traditionnelles, j'aurais très certainement passé mon après-midi à faire les démarches.</t>
  </si>
  <si>
    <t>sebseb007-107512</t>
  </si>
  <si>
    <t xml:space="preserve">Assuré chez axa depuis 5 ans, j'étais ravi de mon assurance jusqu'au moment ou malheureusement j'ai eu un premier accident responsable ( Pédale des gaz resté bloqué ) grosse frayeur mais heureusement j'ai eu le réflexe d'embrayer et de piler donc rien de grave un parechoc a remplacer bref! 
J'ai pris contact avec mon assurance pour rentrer mon constat, au même moment j'ai informé axa que j'étais désireux de payer les réparation de ma poche afin d'éviter l'augmentation du malus, axa ma donné l'accord mais qu'ils attendaient encore la constat de la partie adverse mais qu'une fois reçu ils reprendrais contact avec moi pour m'informer le montant des réparation..
2ans (et 3 changements de véhicule donc 3 maj de mon dossier) sont passé sans nouvelle j'ai pensé a une fraude de la partie adverse ce qui aurait eu comme conséquence un abandon (d'un coté heureusement pour moi)
il y a quelque mois je fais une demande pour un autre véhicule je m'aperçois que le malus a augmenté, je prends donc contact avec l'assurance afin de voir de quoi il s'agit, on me dit alors que normal que j'ai eu un accident en 2018! 
je le leurs alors des explication sur le fait que mon Bonus n'as pas bougé durant tout ce temps et qu'en plus de cela j'avais déclaré payé les frais, je n'ai toujours pas eu de réponse concernant le temps que ça a mis, et vont jusqu'à nier le fait que j'ai eu l'autorisation de régler les frais de ma poche.. 
malgré les preuves de cela aucun moyen de pouvoir me défendre sauf d'engager des actions en justice.. 
Je déconseille donc fortement cette compagnie!  </t>
  </si>
  <si>
    <t>coco-68542</t>
  </si>
  <si>
    <t xml:space="preserve">trés bon contact avec la conseillère prix raisonnable accueil agréable a l'écoute très aimable patiente et explique très bien </t>
  </si>
  <si>
    <t>12/11/2018</t>
  </si>
  <si>
    <t>snoopy-87447</t>
  </si>
  <si>
    <t>très mauvaise communication - les dommages signalés plus de deux semaines plus tard une lettre de la compagnie d'assurance, pour l'expert - 
les mails ne reçoivent pas de réponse. l'objection contre l'expertise est ignorée.  des déductions trop élevées pour les objets de valeur, en raison de l'age - pièces unique - une valeur croissante avec l'ancienne</t>
  </si>
  <si>
    <t>robby-62632</t>
  </si>
  <si>
    <t>N'honore pas leurs devis, change le tarif par téléphone sans accord, 200e de plus sur un claquement de doigts, 2/2 conseillers telephoniques désagréables qui ne repondent pas à vos questions</t>
  </si>
  <si>
    <t>23/03/2018</t>
  </si>
  <si>
    <t>chanchandijon-127867</t>
  </si>
  <si>
    <t>A fuir !!  
Je n'y suis que depuis fin mai, et déjà mes remboursements n'ont rien à voir avec ce que l'on m'avait fait miroiter avant mon adhésion.
En 2 remboursements seulement (cure thermale + semelles orthopédiques), j'ai perdu 242 € par rapport à ce que j'aurais eu avec ma précédente mutuelle !
Je n'avais pas voulu croire aux 95 % d'avis négatifs en ligne, mais malheureusement, si, je comprends à présent que j'ai fait une grosse erreur d'adhérer à cette mutuelle !
Très très déçue, surtout si je dois rester 1 an à cette mutuelle dont je ne suis pas satisfaite du tout !  Fuyez, n'adhérez pas. (et je précise que j'ai l'option la plus haute !!)</t>
  </si>
  <si>
    <t>gonnot-v-131216</t>
  </si>
  <si>
    <t xml:space="preserve">Je suis satisfaite du services et du prix affiché j’ai eu un problème avec mon contrat et il on tous mit en place pour m’aider super équipe à notre disposition </t>
  </si>
  <si>
    <t>corinne-89311</t>
  </si>
  <si>
    <t xml:space="preserve">Bonjour à tous, si je peux vous aider ne prenez pas de contrat chez cet assureur, nous y sommes depuis plusieurs années et nous avons constater qu'il est très difficile de se faire rembourser des sommes qui dépassent les 200 euros. Ils nous doivent 1000 euros de remboursement pour de l'orthodontie et je crains que malheureusement nous ne les récupérions pas. Pourquoi sommes nous restés? par négligence... </t>
  </si>
  <si>
    <t>sandrine-95486</t>
  </si>
  <si>
    <t xml:space="preserve">demande de prise en charge de mon assurance sur emprunt depuis le 13/05, résultat le 22/07 un courrier qui ne m'est pas adressé et aucunes autres nouvelles. tél service réclamation 2 x 31 minutes et cela raccroche.puis 4 numéros différents pour une réclamation, ce n'est jamais le bon service.
</t>
  </si>
  <si>
    <t>28/07/2020</t>
  </si>
  <si>
    <t>nicole-b-124441</t>
  </si>
  <si>
    <t xml:space="preserve">je suis très satisfaite du tarif proposé. La démarche est simple et pratique. 
Le site est clair et il est très facile d'accès, accessible à tout le monde !
</t>
  </si>
  <si>
    <t>michel-56569</t>
  </si>
  <si>
    <t xml:space="preserve">Suite à un cambriolage, outre les difficultés à établir le dossier de demande de remboursement du fait de consignes particulièrement hétéroclites voire contradictoires, celui ci a été minable par rapport au préjudice subi. Contradiction totale entre l'état d'esprit mutualiste, basé on le suppose sur l'humain ( " Nous, à la Maif ... " ) et les réalités. On a d'ailleurs l'impression que les personnes contactées par l'intermédiaire d'une plateforme téléphonique  sont particulièrement déconnectées de la réalité, particulièrement dans la cas d'un cambriolage, avec effraction, constat de gendarmerie. </t>
  </si>
  <si>
    <t>09/08/2017</t>
  </si>
  <si>
    <t>client41-65908</t>
  </si>
  <si>
    <t>Très mécontent de Neoliane ! Je me fait abuser par téléphone car vulnérable !!! Après trois recommandés pour résilier et interdire qu'on me démarche aucune réponse. par contre un contrat de plus m'a encore été imposé. J'envisage d'engager des procédures auprès des organismes compétents et associations de consommateurs.</t>
  </si>
  <si>
    <t>xantia29-76893</t>
  </si>
  <si>
    <t xml:space="preserve">Rente qui débute à partir de 50/100 de handicap .ne marche pour tous les cas de mortalité. </t>
  </si>
  <si>
    <t>18/06/2019</t>
  </si>
  <si>
    <t>ced-102506</t>
  </si>
  <si>
    <t>Assuré chez direct assurances pour le logement et l'auto, je me vois faire face à un service client déplorable et peu réactif. 
Après avoir assuré mon logement chez eux pendant 1 an, je leur envoie un courrier de résiliation avec AR puis à ma grande surprise, il me renvoie un mail quelques jours plus tard pour me signaler que le courrier n'était pas signé... faux car document signé par signature scannée numériquement, mais bref... Je les contacte, j'ai au téléphone, un homme (ou un robot avec un fort accent), me récitant parfaitement sa leçon, peu compréhensif, peu humains et qui ne veut rien savoir. 
Je renvoie donc un courrier avec signature manuscrite cette fois. Puis de nouveau un retour de la compagnie, cette fois-ci me stipulant qu'ils ne peuvent pas résilier car dans le courrier lui-même il n'y avait pas le numéro de contrat. Je l'avais seulement stipulé dans l'objet... 
Je me décide à rappeler et à mon grand bonheur, une dame, fort sympathique, me stipule que je n'avais même pas besoin de renvoyer un courrier et que le premier était bon et que la signature était bel et bien validé... Merci à ce monsieur peu compétent (ou incompétent j'hésite) de m'avoir fait perdre mon temps et mon argent. 
Puis vient la résiliation de mon véhicule pour vente (à un professionnel). Tout bonnement, je réitère ma résiliation, lettre AR, documents joints, je me suis bien renseigné sur l'adresse d'envoie en amont. 
Puis... retour de la compagnie par mail (vous vous en doutiez ) car "le motif de résiliation indiqué n'est pas prévu dans les Conditions Générales de votre contrat" mais ils me stipulent plus loin dans le même mail :"VOUS N'AVEZ PLUS DE VOITURE ? Dans ce cas, nous pouvons suspendre ou résilier votre contrat. Il vous suffit de nous le confirmer par courrier recommandé, signé par le souscripteur"... Bon d'accord, je me dis que c'est une plaisanterie... J'appelle une fois, on me fait patienter 15 min puis leur téléphone coupe... je renouvelle et cette fois je reconnais une voix de mon fameux "robot au fort accent" et je me dit que ça va être long. Finalité, demande de documents supplémentaires. 
Je me renseigne et le document qu'il me demande n'est valable que pour une vente auprès de particuliers, ce qui n'est pas mon cas puisque le véhicule a été vendu à une concession... Après avoir passer presque 45' et 1 courrier avec AR, le véhicule est résilié, ne reconnaissent pas leur tords, pas d'excuses... 
Moral de l'histoire, si on veut bien manger, on paye plus cher dans un restaurant étoilé. ;)</t>
  </si>
  <si>
    <t>frederic-d-135308</t>
  </si>
  <si>
    <t>JE SUIS SATISFAIT DES TARIFS ET DU SERVICE JE RECOMMANDERAI CETTE ASSURANCE A DES AMIS DE LA FAMILLE DES VOISINS DES GENS QUE RENCONTRE DANS LA RUE OU A LA BOULANGERIE</t>
  </si>
  <si>
    <t>30/09/2021</t>
  </si>
  <si>
    <t>arka25-55447</t>
  </si>
  <si>
    <t xml:space="preserve">Plutôt très content des services proposés et du service client. Quand j'étais étudiant, j'ai eu un accident non responsable avec ma voiture assuré au tiers (sans aucunes options) dans un parking (ce qui donne en général un 50/50) avec un véhicule de service. Au vue de la situation (lui avait son véhicule, moi rien du tout), la maif a accepté de me prêter une voiture de substitution le temps de l'expertise (qui s'est faite rapidement en une semaine) et tout s'est très bien déroulé. Une assurance que je recommande ! </t>
  </si>
  <si>
    <t>18/06/2017</t>
  </si>
  <si>
    <t>romain-l-123126</t>
  </si>
  <si>
    <t xml:space="preserve">Bonjour,
Service simple et compréhensif. Possibilité de souscrire une assurance en ligne rapidement et pour un prix abordable.
Cordialement,
Au revoir. </t>
  </si>
  <si>
    <t>12/07/2021</t>
  </si>
  <si>
    <t>aurelia-j-116620</t>
  </si>
  <si>
    <t>Les tarifs sont plutôt satisfaisants et les services corresponds parfaitement à mes attentes. Le site est facile et simple, très agréable à naviguer. Rien à redire!</t>
  </si>
  <si>
    <t>plm56-53464</t>
  </si>
  <si>
    <t>Les conseillers AGF de cet assureur m'ont fais souscrire un placement vie en bourse qd celle ci était au plus haut en 2008. Quelques années plus tard à force de courrier, ils se sont deplacés à 3 pour me conseiller d'aller sur un autre contrat pour me refaire. Je ne savais pas qu'en suivant leur précieux conseil j'étais entrain de valider mes pertes et me couper l'herbe sous les pieds pour plus tard me défendre.
Eux le savaient.
(N'attends rien de JIM)</t>
  </si>
  <si>
    <t>anthony-d-112989</t>
  </si>
  <si>
    <t xml:space="preserve">satisfait de votre réactivité.
je recommande la GMF en tant qu'assurance.
je pense venir vers vous pour des prochains contrats.
bonne journée à vous.
</t>
  </si>
  <si>
    <t>07/05/2021</t>
  </si>
  <si>
    <t>cmoi-97731</t>
  </si>
  <si>
    <t>GMF tout va très tant qu'il n'y a pas de problème. Service Sinistre le bien nommé de Noisy-le-Grand (93) 3ans que j'attends patiemment un remboursement fait par leur expert. Mettent la faute sur mon bailleur, ensuite son assurance, puis leur propre expert et me demande au compte gouttes devis, factures, attestation depuis 3 ans pas 1€. C'est décidé je passe a l'action</t>
  </si>
  <si>
    <t>23/09/2020</t>
  </si>
  <si>
    <t>amo-106182</t>
  </si>
  <si>
    <t xml:space="preserve">Très satisfaite .
Personnels très agréables. 
Pas d'attente trop longue au téléphone. 
Les montants du prélèvement par mois sont raisonnables. 
Bonne continuation à l'équipe 
</t>
  </si>
  <si>
    <t>philippe-h-122000</t>
  </si>
  <si>
    <t xml:space="preserve">Je suis satisfait des services.
Le tarif auto bloqué pour cette année est très appréciable.
Démarche en cas de sinistre est facilité grâce à l'outil informatique.
</t>
  </si>
  <si>
    <t>carlos-alberto-t-116197</t>
  </si>
  <si>
    <t>Le garage que s'est occupe de ma voiture a faire un sale boulot!
Le prix de l'assurance est trop élève pour une personne de 45 ans avec 25 ans l'expérience et licence française depuis 2017.</t>
  </si>
  <si>
    <t>palm-127423</t>
  </si>
  <si>
    <t>Suite à un accident  survenu le 25 février 2021 avec une personne n’ayant ni assurance ni permis de conduire Je me retrouve sans véhicule ni ni indemnisation et je me bats tous les jours à fin que mon dossier soit mise à jour. Chaque interlocuteur de Allianz  assurance ne cesse de me balader d’un service à l’autre je trouve cela déplorable. J ai  eu des séquelles physiques morales et dés préjudices financiers Car je suis profession libéral et je ne peux plus travailler depuis cet accident.Dans l’attente d’une indemnisation rapide afin que je puisse reprendre une vie normal car j’ai besoin de mon véhicule je ferai que les avis défavorable au groupe Allianz  assurance à cause de la lenteur et de la non prise en considération de ma situation.</t>
  </si>
  <si>
    <t>maratray-b-110272</t>
  </si>
  <si>
    <t>la Souscription est simple et rapide. personnel compétent, agréable et à l'écoute, pas trop d'attente au téléphone. Je suis satisfait pour le moment..</t>
  </si>
  <si>
    <t>13/04/2021</t>
  </si>
  <si>
    <t>theo-j-125206</t>
  </si>
  <si>
    <t xml:space="preserve">Les prix me conviennent, bon rapport qualité prix ,après satisfaction je pourrai donner un avis favorable                                                       </t>
  </si>
  <si>
    <t>jerome-114050</t>
  </si>
  <si>
    <t>Très déçu des délais de remboursement. 2 mois pour des actes de kinésithératie, j'attends depuis début avril la réponse au sujet d'un devis optique. Qu'en sera t'il du délai de remboursement pour mes nouvelles lunettes?
Impossibilité de joindre vos services.</t>
  </si>
  <si>
    <t>djelissa95-31240</t>
  </si>
  <si>
    <t>UNE CATASTROPHE!  
les délais de traitements pour le traitement  des dossiers est passé à 1 mois (à cause du Covid disent ils)
J'attends un paiement depuis le mois d'Octobre! et je n'ai aucun retour depuis je les appelle tous les jours ai ouvert plusieurs réclamations mais rien ne se passe.
Cerise sur le gâteau je viens de recevoir un règlement  pour mon enfant  sur un devis de 2020 me concernant….
Passez votre chemin.</t>
  </si>
  <si>
    <t>claude-g-128870</t>
  </si>
  <si>
    <t xml:space="preserve">Le prix me convient trés bien 
Je suis en traine de faire ls formalités pour avoir une attestaion d'assurance .Le servive ùme parait compliqué et long </t>
  </si>
  <si>
    <t>20/08/2021</t>
  </si>
  <si>
    <t>choco06-78211</t>
  </si>
  <si>
    <t>Adhérente chez Harmonie depuis plus de 10 ans, je vais résilier cette année car, après des années d'excellence, force est de constater que le niveau a largement baissé depuis un an.
Je paye le max pour être bien couverte.
Etre obligée de batailler 2 mois pour me faire rembourser un Inlay Onlay à hauteur de 400% du BSR (H.M. m'avait remboursé royalement 15 euros me soutenant que ce n'était pas un Inlay Onlay).
3 mois d'attente pour affilier un enfant
Suppression de la télétransmission avec la CPAM pour 2 des mes ayants droits.
Tiers payant inexistant (obligée d'envoyer les factures des praticiens alors que c'est censé fonctionner).
Impolitesse et incompétence de la très grande majorité des "conseillers clientèle" (le dernier en date s'est carrément foutu me moi).
Etre obligé de passer par le service commercial pour avoir un conseiller clientèle (ils ne répondent jamais au téléphone).
Absence de réponses aux mails (ou alors, truffés de fautes d'orthographe)
Bref, mutuelle inhumaine et devenue incompétente au possible.
Revoir le recrutement d'urgence !!!!!!!!!!!</t>
  </si>
  <si>
    <t>06/08/2019</t>
  </si>
  <si>
    <t>niko95-114102</t>
  </si>
  <si>
    <t>J'ai fait l'acquisition de la Citroën Ami, petite voiture électrique sans permis.
Un mois avant la livraison j'appelle la Macif pour connaître les tarifs d'assurance. On me donne un prix intéressant et on me dit que l'on va m'assurer sans problème. Il faut que je rappelle le jour de ma livraison. Le jour J je rappelle.. Il faut me déplacer en agence. Je me déplace et là un monde de fou la conseillère appelle son supérieur. 
On me dit qu'il faut le permis de conduire pour faire assurer une voiture sans permis : (
Permis que je n'ai plus depuis 15 ans c'est évidemment la raison pour laquelle je me suis tourné vers la Citroën Ami. Et bien sur je suis né avant 88 ..
J'ai cru que c'était une caméra cachée. Même la conseillère était gênée en expliquant la raison de son refus.</t>
  </si>
  <si>
    <t>mmi-81529</t>
  </si>
  <si>
    <t>adhérente depuis de nombreuses années 3 sinistres NON RESPONSABLE et on vous résilie. Une amie avait déjà eu le même cas et j'avais du mal à y croire maintenant, je suis fixée A FUIR !</t>
  </si>
  <si>
    <t>02/12/2019</t>
  </si>
  <si>
    <t>cerone-136552</t>
  </si>
  <si>
    <t xml:space="preserve">Aujourd'hui par téléphone mon dossier de réclamation a été très bien traité et dame que j'ai eu au téléphone m'a bien tout expliquée en détail par rapport au fait de déclarer mon médecin traitant les avantages et inconvénients. Aussi à t elle bien traité   </t>
  </si>
  <si>
    <t>driessens-a-131787</t>
  </si>
  <si>
    <t>Simple, rapide, pas cher... Toutes les démarches peuvent se faire en ligne, ce qui est un plus pour moi. Maintenant, à voir si un jour j'ai un problème avec mon véhicule</t>
  </si>
  <si>
    <t>le-boss-111423</t>
  </si>
  <si>
    <t>je possède un contrat prévoyance depuis 3 ans et demi
les premiers mois pas de problème
depuis 6 mois impossible d'avoir une réponse
je les ai appelé plusieurs fois 
à chaque fois on explique les choses jamais à la meme personne
 le télétravail et le Covid à bon dos 
 on doit vous rappelé mais j attend toujours une réponse
le leur ai envoyé plusieurs mails 
désolé mais quand on veut être la meilleure mutuelle
il faut se donner les moyens..............
à bon entendeur
un client pas satisfait</t>
  </si>
  <si>
    <t>frii0-100023</t>
  </si>
  <si>
    <t>J'ai souscrit récemment a un nouveau contrat auto chez l'Olivier Assurance et je suis extrêmement satisfaite des prix ainsi que du contact au téléphone agréable et professionnel. J'ai apprécié la simplicité pour envoyer les documents et recevoir la carte verte très rapidement. Je les recommande grandement.</t>
  </si>
  <si>
    <t>veronade-123197</t>
  </si>
  <si>
    <t>Je ne dirai pas que c'est le moins cher mais c'est dans les moins chers...et au moins vous avez des interlocuteurs qui vous conseillent au mieux et suite à un sinistre je suis épatée du suivi,des explications et les rdv 2 fois directement a mon domicile pour m'expliquer les suites de mon dossier. Vraiment,une vraie prise en charge.</t>
  </si>
  <si>
    <t>gabinou-64070</t>
  </si>
  <si>
    <t>A EVITER ! 30 ans de conduite - 0.52  de bonus - 3 sinistres bris de glace non responsables sur 2 ans (impacts pare-brise) et HOP la MAAF refuse d'assurer mon nouveau véhicule !!!! Honteux
Jamais je n'ai été informé de ce risque, je me retrouve le bec dans l'eau...</t>
  </si>
  <si>
    <t>17/05/2018</t>
  </si>
  <si>
    <t>louvet-a-128819</t>
  </si>
  <si>
    <t>Cest une assurance tout simplement fantastique
Je vous remercie de tant d'attention et d'offres si alléchantes.
A tres bientot pour toute ma flotte de vehicules!!!!!!</t>
  </si>
  <si>
    <t>nagepe-k-106720</t>
  </si>
  <si>
    <t>augmentation de 70 euros ! c'est trop d'autant plus que je n'ai jamais eu de sinistre, responsable ou pas. Je suis très déçu par cette augmentation que je trouve injustifiée. l</t>
  </si>
  <si>
    <t>16/03/2021</t>
  </si>
  <si>
    <t>fred4646-53771</t>
  </si>
  <si>
    <t xml:space="preserve">LAMENTABLE! Bénéficiaires de l'assurance-vie de la femme de notre grand-père, mes soeurs et moi-même avons chacune reçu, fin novembre 2016 un chèque de la part de CARDIF (qui, du reste, a mis 11 années à retrouver les bénéficiaires, preuve d'une recherche active!).
Habitant à l'étranger, j'ai aussitôt prévenu CARDIF que ce chèque m'était parvenu à une adresse à laquelle je ne réside plus. CARDIF m'a communiqué, le 9 décembre 2016, la Lettre de Désistement et la demande d'Opposition à ce chèque, en précisant dans son courrier le numéro du chèque, sa date d'émission, le 28 novembre 2016 et le montant de la somme qui me revient. Conformément aux indications de CARDIF, j'ai dûment rempli cette Lettre de Désistement et Demande d'Opposition, joint mon RIB et envoyé le dossier complet à plusieurs reprises par courrier et par mail.
Nous sommes début avril 2017, et, depuis 4 mois les agents du service téléphonique me baladent dans les grandes largeurs en me disant que mon dossier est complet, que je devrais déjà être payée, que je vais l'être mais qu'ils ne peuvent dire quand et qu'il va etre remis sur le dessus de la pile... Bref le refrain scandaleusement habituel de CARDIF, comme le montrent les témoignages de ses autres victimes sur le site Opinion Assurance et sur d'autres forums internet. 
CARDIF poursuit donc les pratiques illégales qui lui ont valu en 2014 une condamnation à payer 10 Millions d'euros d'amende (cf sur internet l'article Le Particulier n°1097)  en raison d'insuffisances et de retards à se conformer à ses obligations légales qui se sont traduits par "la conservation indue des sommes sommes qui aurait dû  être versées aux bénéficiaires". 
Face à ce laxisme calculé et récidiviste, un signalement à l'Autorité de Contrôle Prudentiel et de Résolution (ACPR) est-il le seul recours pour revoir la couleur des capitaux qui me sont dûs par CARDIF?
</t>
  </si>
  <si>
    <t>02/04/2017</t>
  </si>
  <si>
    <t>citoyendumonde-89040</t>
  </si>
  <si>
    <t>Assurance à fuir ! je vous déconseille !
Je souhaite partager mon expérience avec la compagnie d'assurance DirectAssurance. J'ai souscris un contrat il y a 4 ans avec un plus de 800e annuel pour une 206 !! pendant les deux dernières années, je n'ai pas arrêté de relancer l'assurance sur les prix qu'il me font payer (+cher de +20% que les autres assurances - devis en ligne pour comparaison), sans aucun geste de leur part.
Cette année j'ai acheté une moto est j'ai trouvé une offre auto/moto super intéressante ailleurs.
J'ai bien prévu mon coup et on a fait (avec la nouvelles assurance) une demande de résiliation dans les 20j après réception de l'avis d'échéance (loi chatel -&gt; ce qui me permet d'arreter le contrat, ne rien payer à Direct et me casser) et la je me retrouve coincer car direct assurance refuse la résiliation avec un motif (non réception du mandat) !!!! je leur envoie le document, puis pareil -&gt; refus de la demande !!! bref j'ai passé deux mois (passage à la loi HAMON) à galérer entre les deux assurances pour arrêter les conneries de cette assurance (perte de temps, d'énergie...)
En bref, cette assurance est votre amie tant que vous demander rien et que vous payer super cher... mais une fois que vous voulez partir ils font n'importe quoi de quoi bien vous dégoutter !!</t>
  </si>
  <si>
    <t>21/04/2020</t>
  </si>
  <si>
    <t>heude-y-131869</t>
  </si>
  <si>
    <t>Très bons prix, simple et rapide.
Je suis très satisfait de la simplicité avec laquelle j'ai pu souscrire à mon contrat.
Le fait de pouvoir tout faire par Internet, y compris signer les documents m'a grandement facilité les choses.</t>
  </si>
  <si>
    <t>noresset-62542</t>
  </si>
  <si>
    <t xml:space="preserve">assurance pas chère mes service clients aucune réponse ou juste normal la voiture a de l'âge est quand on leur dit comment on fait car pas les sous bah la réponse faite un credit ou demandez a vos proche ou ami bravo la réponse pour gagner de nouveaux clients </t>
  </si>
  <si>
    <t>21/03/2018</t>
  </si>
  <si>
    <t>zephir-107524</t>
  </si>
  <si>
    <t>La gestion administrative de l'AFER est incroyablement lente. Voilà 3 semaines que j'ai demandé un arbitrage pour passer d'un fond "euro" à des supports plus dynamiques ! J'attends toujours que cela soit effectué… Je ne comprends pas leur lenteur qui me donne envie d'aller voir ailleurs.</t>
  </si>
  <si>
    <t>lechapelierfou-96060</t>
  </si>
  <si>
    <t>L'équipe qui gère mon dossier dans ma région(Bordeaux) est compétente, réactive et sympathique et ce n'est pas une plateforme vraiment un plus. Merci à eux</t>
  </si>
  <si>
    <t>07/08/2020</t>
  </si>
  <si>
    <t>ali-b-115426</t>
  </si>
  <si>
    <t xml:space="preserve">Je suis satisfait du service, conseillers aimables et à l’écoute, prise en charge rapide en cas de sinistre, une assurance simple et pratique.
Merci à l’équipe DIRECT ASSURANCE </t>
  </si>
  <si>
    <t>31/05/2021</t>
  </si>
  <si>
    <t>asa-58332</t>
  </si>
  <si>
    <t xml:space="preserve">Assuré depuis le 03/08/2014, je n'ai rencontré que des problèmes de gestion avec cet intermédiaire. Déjà pour l'enregistrement des pièces nécessaires au contrat, jusqu'aux règlements des quittances. Les prétentions de: sécurité, qualité, transparence et simplicité sont absolument inexistantes. Il est nécessaire d'utiliser le numéro surtaxé pour régler les problèmes que ce "courtier" n'est pas capable de gérer. Toutes ses communications, en plus d'être inefficaces, sont à votre charge et n'en espérez pas le remboursement. Heureusement, il n'y a pas eu de sinistre car il m'aurait été nécessaire de consacrer un budget certain pour faire face aux prix des communications. Même les courriers recommandés sont sans actions sur cet intermédiaire.    </t>
  </si>
  <si>
    <t>24/10/2017</t>
  </si>
  <si>
    <t>garreb-105387</t>
  </si>
  <si>
    <t>Je viens de recevoir un recommandé que vous aller resilier mon assurance auto après trois sinistres par contre il y'a deux sinistres que je suis pas responsable et ce n'est pas avec cette auto. Vous marquez que mon auto est assurée depuis 2019 alors que cette auto je l'ai acheté en 2020.</t>
  </si>
  <si>
    <t>03/03/2021</t>
  </si>
  <si>
    <t>bd-63873</t>
  </si>
  <si>
    <t>MALGRÉ QUE JE SOIS CLIENT DEPUIS PLUS DE TRENTE ANNÉES QUAND J'AI VOULU FAIRE ASSURER MON FILS QUI LUI MÊME AVAIT UN 2 ROUES ASSURE CHEZ EUX ILS ONT  REFUSER DE LE PRENDRE TROP DE RISQUES A ASSURER UN JEUNE.
 DONC FACILE D'ASSURER UN CLIENT QUI A 50% DE BONUS.</t>
  </si>
  <si>
    <t>09/05/2018</t>
  </si>
  <si>
    <t>herve-v-106644</t>
  </si>
  <si>
    <t>Je ne suis pas très satisfait parce qu'on m'a annoncé un prélèvement mensuel et qu'on m'a prélevé une grosse somme ce mois ci qui me mets vraiment mal dans ma gestion financière...</t>
  </si>
  <si>
    <t>itang-78653</t>
  </si>
  <si>
    <t xml:space="preserve">J'ai voulu souscrire chez Axa suite à un emménagement. Les offres d'assurance habitation avaient l'air correctes c'est pourquoi j'ai voulu souscrire à l'une d'entre elles sur leur site. 
Mais malheureusement c'est là que mes problèmes ont commencé.
Le site n'a fait que bugger et quand, après plusieurs tentatives, j'ai pu accéder à la plateforme de paiement, j'ai entré les numéros de ma carte pour payer, j'ai validé puis un chargement s'est effectué.....15 minutes après, la page s'actualise et revient à l'accueil du site. 
J'ai cherché à joindre le service client après ça pour savoir où en était la création de mon dossier et celui-ci est tout simplement introuvable...aucun numéro de service client en ligne n'est mis en avant sur leur site.
J'ai du passer par une agence qui m'a redirigé vers un numéro, puis un autre pour enfin avoir le bon service qui m'indique qu'aucun dossier existe à mon nom et que rien a été débité.
Le soir même je m'aperçois que le prélèvement est en cours. 
Aujourd'hui, 3 semaines après, je me retrouve sans aucun contrat ni numéro de dossier chez eux, mais avec un prélèvement sur 1 an d'effectué. 
Le service clients en ligne est complètement incompétent et ne me donne aucune solution à mon problème.
J'attends une réaction de leur part. 
C'est la pire assistante que j'ai connu de toute ma vie. </t>
  </si>
  <si>
    <t>24/08/2019</t>
  </si>
  <si>
    <t>jpe38-101294</t>
  </si>
  <si>
    <t>A fuir ABSOLUMENT. 
1. Le fonds euro ne rapporte plus rien
2. La pagaille de fonctionnement de l'AFER est générale
3. Aucun contact possible: ils ne répondent ni au tel ni aux mails
4. Le conseiller local ne sert plus à rien car inopérant par rapport aux dysfonctionnements récurrents de l'AFER
5. Les rachats partiels ne fonctionnement pas: bien plus qu'un mois de délai
6. Ma date de naissance est erronée; ça fait plus de 3 ans que mon conseiller AFER les relance sans succès
Que dire de positif? C'était bien jusqu'en 2017. Depuis c'est la catastrophe!!!</t>
  </si>
  <si>
    <t>ghetto92-76636</t>
  </si>
  <si>
    <t>Ne souscrivez j'ai poser une mise en cause je vais les attaquers s'il faut je m'explique :
Premiere année aucun souci , 2e année augmentation de 20% sans aucune raison aucun accident...n'envoie pas la vignette qu'apres demande et 2 mois et demi apres !
3e année résiliations motif echeance assuré et cela sans prevenir et continuer les prelevements on comprend prq ne previent pas et bonus qui n'a pas bouger qui n'evolue pas sans raison , j'ai fait une revocation , mais franchement la c'est un comble.
Je vais prendre un avocat payer 1000e s'il faut !
A bientot</t>
  </si>
  <si>
    <t>11/06/2019</t>
  </si>
  <si>
    <t>mameri-s-110366</t>
  </si>
  <si>
    <t>Prix très compétitif étant donné le profil de ma fille (permis inférieur à deux ans et déjà un sinistre 100% responsable). Communication parfaite. Grande facilité dans le dépôt des documents et la gestion de la mise en route du contrat. Assistance téléphonique rapide, courtoise et efficace. Reste à savoir si les prestations en cas de sinistre sont à la hauteur de la promesse.
En tout cas à ce stade de mon interaction avec l'Olivier je recommande plus que chaudement.</t>
  </si>
  <si>
    <t>sof-115578</t>
  </si>
  <si>
    <t>Assurance santé prise par l'intermédiaire d'un conseiller santiane.
Mise en place compliquée de mon espace personnel par internet du à une confusion entre mon ancien et nouveau contrat.
Heureusement Maria a su me répondre et résoudre le souci.
A voir la gestion à l'avenir ??</t>
  </si>
  <si>
    <t>stephanie-s-111306</t>
  </si>
  <si>
    <t xml:space="preserve">j'ai effectué une demande de changement d'adresse, parce que mon logement est accessible via 2 rues et que sur le bail seule l'une des deux apparait,, une rue parallèle toujours dans la même ville et je me suis vu attribué une augmentation de 0.94€/mois sur le montant de ma cotisation.
je pensais que direct assurance était dans les assurances les plus attractive je me trompe.
deuxième contrat chez vous et pas du tout envie d'un souscrire un troisième quand on voit la qualité de votre service client au téléphone qui ne comprend rien.
bref envie de resilier tout les contrats que j'ai chez vous </t>
  </si>
  <si>
    <t>halim-c-137399</t>
  </si>
  <si>
    <t>Satisfait avec april je suis deja client  assurance auto...merci april 
.</t>
  </si>
  <si>
    <t>14/10/2021</t>
  </si>
  <si>
    <t>ulysse-l-133575</t>
  </si>
  <si>
    <t>LE MOINS CHER TROUVE SUR LE MARCHE ET RAPIDE A SOUSCRIRE
COMPETITIF POUR LES JEUNES
LE CONSEILLE AUX JEUNES CONDUCTEURS COMME MOI QUI N4ONT PAS DE GROS SALAIRE</t>
  </si>
  <si>
    <t>bocchy2b-55011</t>
  </si>
  <si>
    <t>DOSSIER SINISTRE A L'étude depuis 3 mois sans autres indications ???</t>
  </si>
  <si>
    <t>08/03/2020</t>
  </si>
  <si>
    <t>un-fou-de-rage--100827</t>
  </si>
  <si>
    <t xml:space="preserve">ne prenez pas cet assureur,   pour un scooter neuf que je me suis fait volé prix d'achat 2600 euros, remboursement 812 euros, j'étais encore en rodage. </t>
  </si>
  <si>
    <t>coustau-c-107956</t>
  </si>
  <si>
    <t xml:space="preserve">je suis satisfaite des tarifs 
je suis satisfaite de la rapidité du service en ligne 
je suis satisfaite de la simplicité du site 
je suis satisfaite </t>
  </si>
  <si>
    <t>25/03/2021</t>
  </si>
  <si>
    <t>berthet-d-116621</t>
  </si>
  <si>
    <t xml:space="preserve">Je suis satisfait de votre assurance merci
Je recommande vivement cette assurance à d'autre personnes j'en parlerez à mon entourage pour qu'il puisse venir chez vous </t>
  </si>
  <si>
    <t>nanaamb-67921</t>
  </si>
  <si>
    <t>Assurés chez la Macif depuis plusieurs années maintenant et nous avons été cambriolés. Ils ont mis plus de 6 mois à nous répondre que nous ne serons pas remboursés de tout nos objets volés car une clause dans le contrat mentionne qu'en cas d'inhabitation de notre domicile de plus de 60 jours, il n'y pas d'indemnités ?! Mais quelle incompétence de la part du services sinistre ! Les gestionnaires ne rappellent jamais, il faut insister lourdement pour avoir une réponse ! ils ont même mandaté un expert pour se faire entendre dire qu'il y avait une clause... 
Un conseil, faites très attention aux clauses dans les contrat car à la souscription, on ne les mentionne pas !</t>
  </si>
  <si>
    <t>20/10/2018</t>
  </si>
  <si>
    <t>pablo-103505</t>
  </si>
  <si>
    <t xml:space="preserve">Mutuelle au dessous de tout au niveau du traitement des demandes , j'ai via leur site envoyé une facture acquittée pour soins dentaire ,depuis le 5/01/2021 elle est indiquée comme reçu mais non traitée, malgré 4 email de relance pour savoir s'il manquait des pièces au dossier je n'ai jamais obtenu de réponse,  il s'agit d'une somme de 1600euros en tant que retraité il est évident que cela grève significativement mon budget , par contre le nouvel échéancier pour 2021 ainsi que les prélèvements de cotisations n'ont jamais souffert du moindre retard .
Je me demande s'il ne serait pas possible de faire remonter tous nos griefs à une association de consommateurs. </t>
  </si>
  <si>
    <t>03/02/2021</t>
  </si>
  <si>
    <t>gxtouune--124873</t>
  </si>
  <si>
    <t xml:space="preserve">Assurance à fuir ! 
Ils ont profité de ma situation quand j’étais en malus pour être les seuls à pouvoir assurer mon véhicule et me faire payer 240€ d’assurance/mois ! ??
J’ai eu deux malheureux accrochages et un accident matériel et quand j’ai adhéré chez eux, ils n’ont pas bronché et je payais 80€ quand j’ai eu la surprise soudaine de l’augmentation de mon tarif pour au final me radier presque 6 mois après sans raison vraiment valable (ils étaient déjà au courant des sinistres) ! 
Publicité mensongère ! </t>
  </si>
  <si>
    <t>anass-69972</t>
  </si>
  <si>
    <t>A éviter a tout prix, service client délocalisé &amp; conseillers rigide et non professionnels y compris leur responsable. 3 Réclamation au service client non traitées. 10 mois d'attente pour réparation de voiture suite à un sinistre non responsable.</t>
  </si>
  <si>
    <t>fanch-112804</t>
  </si>
  <si>
    <t>Suite à un AVC survenu le 27/12/2020, ma mère est en état de dépendance extrême. 1 mois plus tard,je demande le dossier médical à faire remplir par son médecin. Ma mère décède le 23 février.Le dossier n'est renvoyé  complet que le 20 mars.(dispo médecin, délai transfert postaux, obtention des documents d'hospitalisation..).
Refus d'indemnisation du médecin conseil d'Allianz car le dossier est arrivé après le décès de l'assurée...... Argument non recevable et abusif. Rien dans le contrat n'impose un quelconque délai. Je ne lâcherai rien face à des personnes sans scrupule. Ma mère a cotisé pendant 20 années sans le moindre retard. Et ils essayent de ne pas verser d'indemnisation pour une période de 7 semaines alors que son médecin indique clairement qu'elle était en état de dépendance GIR 1. Une honte!!</t>
  </si>
  <si>
    <t>elody-74601</t>
  </si>
  <si>
    <t>Actuellement employée, c'est ma mutuelle entreprise. Le temps de traîter les dossiers pour les changements éventuels de régimes, ils j'ai été remise sur la base. Au lieu du régime niveau 1. Que j'ai repris ensuite. Sauf que le prorata de mes frais médicaux ont étés refusés... Hors je n'ai pas choisi d'être sur la base le temps des papiers ... Et mon employeur a précisé que normalement il y avait un prorata...
De plus j'ai fait une demande par mail pour une autre raison. mon employeur ne sais pas me répondre... La réponse du mail de la mutuelle. Retourner vous vers votre employeur...  Je tourne vraiment en bourrique avec cette mutuelle.</t>
  </si>
  <si>
    <t>30/03/2019</t>
  </si>
  <si>
    <t>fernez-64307</t>
  </si>
  <si>
    <t>Je déconseille vivement cet assureur, qui refuse systématiquement d'accorder la garantie liée aux sinistres et ne respecte pas les conditions prévues dans le contrat dans le cadre de la protection juridique des clients. En effet, même suite aux réclamations Matmut PJ met tout en oeuvre pour refuser la prise en charge de vos frais. A fuir!</t>
  </si>
  <si>
    <t>30/05/2018</t>
  </si>
  <si>
    <t>gaiap-78400</t>
  </si>
  <si>
    <t>J'ai été assurée avec L'Olivier pendant un an et j'ai été très satisfaite de leur service. Partie vivre à l'étranger j'ai été obligée de réimmatriculer ma voiture et meme ce départ a été rapide et indolore. Je recommande sincérement!</t>
  </si>
  <si>
    <t>13/08/2019</t>
  </si>
  <si>
    <t>frederic--92743</t>
  </si>
  <si>
    <t>Satisfait des services, de la rapidité de traitement de mes demandes, des prix qui nous sont proposés. Les conseillers sont à notre écoute 
Nous conseillions direct assurance autour de nous.</t>
  </si>
  <si>
    <t>bidiouane-y-113462</t>
  </si>
  <si>
    <t xml:space="preserve">#Je suis satisfait du service, échange rapide par mail, équipe professionnel,un prix adapté à mes besoins je recommande. 
#Bien à vous#....….........
</t>
  </si>
  <si>
    <t>luc-h-103334</t>
  </si>
  <si>
    <t xml:space="preserve">Je suis très satisfait du service, nous avons été très bien conseillé avec une personne professionnelle qui a tout au long du processus prit le temps de nous expliquer ce qui n'était pas clair pour nous. 
Je recommanderai ce site sans hésiter.
</t>
  </si>
  <si>
    <t>marjorie-d-130356</t>
  </si>
  <si>
    <t>très satisfaite depuis plusieurs années
rapport qualité-prix très bon
je conseille cette assurance pour l'ensemble des contrats existants: santé, habitation, voiture etc</t>
  </si>
  <si>
    <t>karina75-53971</t>
  </si>
  <si>
    <t>Je ne recommande pas du tout. Incompétence. Galère totale pour se fairfe payer un sinistre. Il faut beaucoup beaucoup de patience. Et dire qu'on pense qu'ils sont les experts de l'assurance! Ne vous assurez pas chez eux</t>
  </si>
  <si>
    <t>10/04/2017</t>
  </si>
  <si>
    <t>maxime-d-131145</t>
  </si>
  <si>
    <t xml:space="preserve">Le prix me convient 
J'ai demandé de m'appeler il y a 3 jours mais toujours pas était appelé c'est pour cela que j'ai mis un 4 étoile pour la satisfaction. </t>
  </si>
  <si>
    <t>josy--138519</t>
  </si>
  <si>
    <t>Je suis très satisfaite  Des services de Néoliane Santors et très bien orientée par Monsieur RAWANE sur son contrat où j’avais rencontré un problème difficile pour moi à résoudre 
Je ne tiens pas à quitter cette mutuelle donc je suis contente ses services 
Merci beaucoup RAWANE et à toutes l’EQUIPE qui m’ont dirigé vers ce conseiller.</t>
  </si>
  <si>
    <t>jess13-67096</t>
  </si>
  <si>
    <t xml:space="preserve">Dossier envoyé début septembre  et toujours pas payer on le redemande des justificatifs que j ai déjà envoyé  complément de salaire du mois d aout toujours pas payer </t>
  </si>
  <si>
    <t>26/09/2018</t>
  </si>
  <si>
    <t>mta-79108</t>
  </si>
  <si>
    <t>Sociétaire depuis 42 ans. C'est mon premier sinistre de dégâts des eaux  dans mon appartement depuis plus d'un mois. Je n'ai aucun interlocuteur pour suivre mon dossier. je suis renvoyé sur un cabinet d'experts. Je demeure avec mon problème malgré plusieurs relances .
L'esprit mutualiste est-il en train d'être sacrifié?</t>
  </si>
  <si>
    <t>effera-59518</t>
  </si>
  <si>
    <t xml:space="preserve">La bonne mutuelle pour perdre sa santé mentale
C'est le titre de la note de deux pages que j'avais écrite en décembre 2016 suite à la radiation de mes deux enfants bénéficiaires, malgré l'envoi à Marseille de leur certificat de scolarité respectif (ils étaient encore étudiants) Après avoir renvoyé une nouvelle fois tous les documents, ils en avaient rétabli un mais oublié le second...
Au final, 6 coups de fils et plusieurs envois postaux pour avoir les cartes in extremis fin décembre 2016.
Cette année, mes deux enfants ont été embauchés à peu près à la même période.
L'un fin septembre, j'avais donc demandé sa radiation car il a une mutuelle obligatoire groupe. Aucune réponse d'AG2R. J'avais essayé de me connecter sur leur site avec mes identifiants, rien ne marchait...! J'ai finalement appelé et on m'a dit que le site était en maintenance depuis...3 semaines !!
Qu'il fallait que j'envoie des attestations de mutuelle obligatoire...Encore fallait-il le savoir, mais comme AG2R n'avait pas répondu à ma demande...
Entre-temps, mon deuxième fils ayant-droit a décroché aussi un poste début novembre avec une mutuelle obligatoire groupe.
Je fais donc un courrier RAR avec comme objet "Radiation bénéficiaires" Je donne le nom et les références de mes deux enfants ayant-droit avec le nom de leur entreprise, je joins les deux attestations de mutuelle obligatoire groupe et je demande que AG2R me fasse (je reprends mon texte)"parvenir le nouvel état de mon contrat et le nouveau montant de ma cotisation suite à la suppression de mon contrat"famille"  puisque, suite à la radiation de mes enfants, mon contrat devenait individuel.
Réponse ce matin (textuellement) :
Nous avons bien enregistré la résiliation de votre adhésion à la complémentaire santé VIASANTE qui prend fin au 1er décembre 2017. 
Nous vous rappelons que vos frais de santé engagés à compter de cette date ne seront plus pris en charge par VIASANTE.
Par ailleurs, si vous êtes toujours en possession de votre carte Santé, nous vous remercions de nous la retourner.
Aucune référence à mes enfants pour lesquels je demandais une radiation bénéficiaires et moi je suis radiée, sans l'avoir demandé !!!!!!!!!!!! 
L'inverse de l'année dernière, en pire !!!!
On se demande vraiment si c'est possible !
Je ne sais pas encore ce que je vais faire (sans doute changer de mutuelle) mais je vais envoyer au centre de "gestion" (mot qui est un énorme contresens) un courrier RAR ainsi qu'à la Direction Générale d'AG2R.
Il n'y a pas de mots pour décrire une telle situation, c'en est grotesque ! Sans compter le temps passé à refaire des courriers, des impressions, des photocopies et l'argent dépensé en RAR. 
Quelqu'un sur le forum disait qu'elle contacterait la Fédération française des sociétés d'assurances. Je pens que ce pourrait être une bonne chose. J'ai moi-même dirigé plusieurs Organisations professionnelles au niveau national pendant plus de 35 ans...et j'ai même vécu (car dirigeant une Confédération de l'artisanat à l'époque) l'imposition d'AG2R au secteur de la Boulangerie qui n'en voulait pas...
La suppression des mutuelles étudiantes est actuellement sous les feux de la rampe. Ce fut un véritable scandale effectivement. AG2R ne vaut pas mieux...
</t>
  </si>
  <si>
    <t>09/12/2017</t>
  </si>
  <si>
    <t>cloe-f-113921</t>
  </si>
  <si>
    <t>Bonjour les tarifs sont tres corrects meme avec les optuins supplementaires choisies.
Comparé aux autres assurances de grandes renommees . J espere ne pas me.tromper .</t>
  </si>
  <si>
    <t>ln201000-113515</t>
  </si>
  <si>
    <t xml:space="preserve">Contente au départ mais le service de MERCER c'est largement dégradé ! les délais de remboursement sont extrêmement long (jusqu’à 2 mois) quand on daigne nous rembourser (2 remboursements n'ont pas été faits et je milite encore après des mois !!! ) 
On songe franchement à changer de mutuelle!! </t>
  </si>
  <si>
    <t>pascaline-g-121545</t>
  </si>
  <si>
    <t>Je suis satisfaite des prestations. Accueil et informations satisfaisantes. je recommanderai votre agence à des amis. l'accès internet est correct et me permet d'accéder à mes documents librement</t>
  </si>
  <si>
    <t>claude-21634</t>
  </si>
  <si>
    <t xml:space="preserve">bonjour oui le bonus a vie es attrape nigo tout la planète le ses des que tu casse et que tu es en torr tu doit payer poins bar  voila  si non sa serais trot baux croie pas dit hein dans quel pays on casse et on donne une prime </t>
  </si>
  <si>
    <t>lbrnbl-71053</t>
  </si>
  <si>
    <t xml:space="preserve">A FUIR SANS HÉSITATION </t>
  </si>
  <si>
    <t>07/02/2019</t>
  </si>
  <si>
    <t>pierre-57974</t>
  </si>
  <si>
    <t xml:space="preserve">Mon dossier n'avance pas on me dit rien. Tous ce fait que je soit d accord ou pas après un mois toujours pas de rapport de l'expert .. suite a mon accident je cest toujour opas si cest pris a 100% ou autre !!! amv on peut les contracter que le matin mais pour vous faire les devis c'est toute la journée... y travail a mi temp c'est scandaleux je vais mettre le dossier dans les main de mon avocat y en a mart!!!  amv a fuire ....un scooter 50 une moto 500 et une 125 que je doit assurer bah j'irai pas chez vous ...plus de moto mes les prélèvement sont bien effectuer </t>
  </si>
  <si>
    <t>11/10/2017</t>
  </si>
  <si>
    <t>fatima-s-107416</t>
  </si>
  <si>
    <t>Dommage depuis plus de 30 ans je faisais confiance à Direct Assurance.
1 sinistre, et plus personne en fasse. Changement de discours lorsque les éléments demandés sont transmis ... Vous jouer sur les mots pour ne pas couvrir le risque qui l'est bien pourtant. Maintenant je demande l'assistance jurique que je paye et là ... votre prestataire m'informe qu'il est débordé !!! Je vous demande d'en désigner un qui soit disponible et à ce jour aucune réponse (sinistre qui date de 12/2020 !!!)</t>
  </si>
  <si>
    <t>vinzvinz-60213</t>
  </si>
  <si>
    <t xml:space="preserve">Fuyez ...Un service souscription très efficace qui vous promets de très belles promo etc... De quoi être optimiste pour un contrat d'assurance ....Mais très vite vous déchanter quand 1 mois plus tard on vous apprend que la réduction ne fonctionne pas et que en succédant les appels au call center au Maroc ,un coup on vous dit noir ,un coup on vous dit blanc .Ne tenant pas leur discours j'ai eu la possibilité de résilier mon contrat au bout d'un mois .Pour payer certes plus cher mais au moins j'ai affaires à quelq'un dans son bureau et qui ne me racontes pas quelque chose de différent à chaque appel ou entrevue .Sans oublier les difficulté qu'à rencontrer ma femme ou sa famille pour des remboursements de sinistre ou autre ... D'ailleurs dans mon entourage plus personne n'est chez direct assurance et tout le monde s'en porte beaucoup mieux </t>
  </si>
  <si>
    <t>olivier-f-122103</t>
  </si>
  <si>
    <t xml:space="preserve">Bonjour Je suis surpris par la facilité et la rapidité de l'inscription Les prix sont très intéressants mais pas par téléphone beaucoup trop d'attente </t>
  </si>
  <si>
    <t>hugues-b-127493</t>
  </si>
  <si>
    <t>Rapidité, efficacité,prix des prestations sont au top chez direct assurance. Je n'hésite pas à vous recommander et à mettre en valeur votre manière de procéder.</t>
  </si>
  <si>
    <t>sandra-100381</t>
  </si>
  <si>
    <t xml:space="preserve">Très contente j'ai eu Fairouz grand merci pour son aide et son professionnalisme . A chaque fois que j'appelle le service j'ai des conseillers compétents et a l'écoute </t>
  </si>
  <si>
    <t>20/11/2020</t>
  </si>
  <si>
    <t>coooo-98220</t>
  </si>
  <si>
    <t xml:space="preserve">Merci à Patricia pour la clarté des informations données, et sa gentillesse. 
Excellent rapport qualité prix 
Assurée aujourd'hui pour mon berger allemand de 2 ans </t>
  </si>
  <si>
    <t>consommation-28400</t>
  </si>
  <si>
    <t>Contrat d'entrée de gamme pour les seigneurs, dommage que le prix pour les séniors soit uniquement en fonction de son âge plutôt qu'a son état de santé. mais trop cher quand comme moi 78 ans je suis en bonne santé. la mutuelle intervient dans les remboursement pour seulement 25% de ma cotisation annuelle. 
Le montant de ma retraite n'a pas augmenté depuis 10 ans!!po
Pour 2021 je pense sérieusement à changer d'assurance pour une véritable assurance sénior..</t>
  </si>
  <si>
    <t>22/10/2020</t>
  </si>
  <si>
    <t>fil-75909</t>
  </si>
  <si>
    <t>C'est mon assureur depuis 3 ans. Toujours impeccable sur tout</t>
  </si>
  <si>
    <t>14/05/2019</t>
  </si>
  <si>
    <t>lukas-77929</t>
  </si>
  <si>
    <t xml:space="preserve">suite a une declaration sinistre l expert designé m a clairementfait comprendre que mon dossier ne serait pas pris en compte et meme si c est le cas le monsieur nous prenait de haut alors désolé le role d expert d une assurance est la aussi pour eviter de casser les societaires et de nous dire que la macif est un peu une assurance bas de gamme aucun service juridiquej ai jamais vu un expert aussi odieux ,l expert de ma voisine etait plus à l écoute il a meme oser dire que ses confreres etait certainement plus large que lui .Il est content de lui il a reussi a me faie changer d avis apres 34 ans de societaire macif et jamais aucun sinistre remboursé  je  pars à la concurrence .et oui, ils ont des experts qui sont la pour vous sapper le moral.Je </t>
  </si>
  <si>
    <t>26/07/2019</t>
  </si>
  <si>
    <t>calouna-101229</t>
  </si>
  <si>
    <t>Abus de confiance par téléphone...PAS DE CONTRAT DE FAIT N'Y DE SIGNATURE ELECTRONIQUE !!??? 
MAIS ILS ONT RÉUSSI A ME PRENDRE 50€47 SUR MON COMPTE ???
CE NE SONT QUE DES RACOLEURS ET DES PERSONNES SANS SCRUPULE !! C'EST HONTEUX....!!</t>
  </si>
  <si>
    <t>10/12/2020</t>
  </si>
  <si>
    <t>faure-n-108438</t>
  </si>
  <si>
    <t xml:space="preserve">L'accueil par les conseiller a été très sympathique le seul soucis est de ne pas avoir le même conseiller a chaque fois ce qui fait perdre beaucoup de temps. A nous et a vous </t>
  </si>
  <si>
    <t>ninie-50111</t>
  </si>
  <si>
    <t>Le tarif de la première année est attractif mais augmente à vue d'oeil. Malgré mon bonus de 0,50 ma cotisation a augmenté de 8 euros par mois, et on ne m'averti que 3 jours avant le prélèvement en recevant la carte verte, les franchises sont exorbitantes et il m'est impossible de consulter mon dossier sur internet. Je les appelle dans la matinée pour demander un relevé d'informations et reprendre mon ancienne assurance que je n'aurais jamais dû quitter.</t>
  </si>
  <si>
    <t>10/12/2016</t>
  </si>
  <si>
    <t>ghisduvar-61960</t>
  </si>
  <si>
    <t xml:space="preserve">ATTENTION : COMMENT SE FAIRE AVOIR DANS LES GRANDES LARGEURS PAR MANQUE D'INFORMATION !!!! tout bonnement lamentable : j'avais un contrat habitation classique avec une extension pour nos 4 chambres d'hôtes qui a été classé "pro" sans qu'on ne nous en informe, surtout sur la partie différence entre la gestion de ces deux bouts de contrat. Je viens de résilier ce contrat pour un autre moins cher sous la loi Hamont ben ..... Maaf a bien résilié le contrat habitation mais fait perdurer la partie pro jusqu'au 31 décembre sous prétexte que ce type de contrat (Pro) n'est pas soumis à la loi Hamont : ravie !!!!! comment ponctionner une toute petite entreprise au CA ridicule qui va devoir payer ENCORE un truc en double alors qu'elle n'en guère les moyens et cherchait par ce biais à réduire ses charges. Merci MAAF !!!!  </t>
  </si>
  <si>
    <t>03/03/2018</t>
  </si>
  <si>
    <t>moimoimoi-72375</t>
  </si>
  <si>
    <t>Bonjour 
J ai été 7 ans assuré à la MAAF.
J ai toujours été bien renseigné.
J ai pas énormément de recul sur la gestion de leur sinistre car je n ai eu qu un bris de glace.
Mais ils se sont occupé de prendre rendez vous avec leur partenaire j ai pu avoir un nouveau pare brise tres bien posé et ma voiture a été nettoyé.
L agence était plutot bien disponible.
Ancien client pour l auto toujours client pour l habitation.</t>
  </si>
  <si>
    <t>26/03/2019</t>
  </si>
  <si>
    <t>gasse-d-115688</t>
  </si>
  <si>
    <t xml:space="preserve">Différence de prix entre le devis et la réalité. Un devis à 299 au début pour finir à 460 c est sur que c est attrayant. Reduction de 50e via poulpes inexistante pour code de réduction bon.. </t>
  </si>
  <si>
    <t>02/06/2021</t>
  </si>
  <si>
    <t>duteil-e-115636</t>
  </si>
  <si>
    <t xml:space="preserve">Je satisfait du service proposé,
Une qualité téléphonique correct.
Des pris très satisfait et une efficacité très rapide. 
Cordialement
Je recommande </t>
  </si>
  <si>
    <t>pascal-60660</t>
  </si>
  <si>
    <t>Je recommande vraiment, l’accueil, la clarté de l'offre, les garanties et le prix sont parfaitement bien, ça change des banques qui veulent être intermédiaires en assurance.</t>
  </si>
  <si>
    <t>michel-80778</t>
  </si>
  <si>
    <t>Cela fait 2mois que je me suis rendu compte que je payais encore l'assurance pour mon ancien appart. Cela fait quand même plus de 2ans que j'ai déménagé et j'ai gardé la même assurance( a priori on peut avoir 2 résidences principale en France en étant célibataire???????).
J'ai envoyé le document manquant et malgré plusieurs relances, à ce jour pas de nouvelle et je continue de payer et d'avoir 2 assurances.</t>
  </si>
  <si>
    <t>06/11/2019</t>
  </si>
  <si>
    <t>mich2929-52184</t>
  </si>
  <si>
    <t xml:space="preserve">Assuré MAAF depuis plus de 30 ans avec bonus à vie (0,50) + bonus Lauréat de 8%, nous avons eu notre premier accident dit " responsable "  car le véritable responsable de l'accident s'est enfuit et nous n'avons pas eu le temps d'identifier son véhicule trop occupé à éviter le choc de la collision. Ma femme a heurté les bornes cimentées du bord du rond point (le 31 décembre 2016). Déclaration faîte le 2 janvier 2017 au bureau MAAF puis 15 jours d'attente pour que l'expert passe voir le véhicule et l'expertise; 4600 euros de réparation ??? Nous avons donc été obligé de racheter un nouveau véhicule et avons attendu encore 15 jours de plus pour avoir un remboursement de MAAF pour notre assurance tout risque. Nous avons été obligé de téléphoner 4 fois au service MAAF assistance (4 personnes différentes à chaque fois) et passer trois fois à l'agence pour faire accélérer le processus d'expertise et de remboursement !!! Décevant, tant que tout va bien, il n'y a pas de soucis mais dès que l'on a un problème c'est là que nous avons la surprise de comprendre véritablement ce que vaut les services MAAF... </t>
  </si>
  <si>
    <t>08/02/2017</t>
  </si>
  <si>
    <t>steve-morey--y-130551</t>
  </si>
  <si>
    <t>Bonne satisfaction dans l'ensemble. Rapide et efficace et bon rapport qualité/prix.
Le site est fluide et les précisions des différentes options sont claires</t>
  </si>
  <si>
    <t>jeankiki-68762</t>
  </si>
  <si>
    <t>pas d'accidents donc pas de problème d'assurance</t>
  </si>
  <si>
    <t>aladdin--126047</t>
  </si>
  <si>
    <t xml:space="preserve">Rien à redire pour l'instant nickel j'ai eu au tel une conseillère ma bien renseignée à l'écoute tarifs correct et compétitif bon choix l'olivier assurance Sajdane </t>
  </si>
  <si>
    <t>vincent-a-131567</t>
  </si>
  <si>
    <t xml:space="preserve">JE SUIS SATISFAIT DU PRIX EN ATTENDANT DE recevoir le contrat final.
votre site est simple d'utilisation , mais certaines questions sont peux pertinentes ( nombres d'enfants, âges etc   </t>
  </si>
  <si>
    <t>van-moorleghem-j-123478</t>
  </si>
  <si>
    <t>Cette compagnie d'assurance, dont la CIC vous vend les contrats, est un vrai cauchemar. Quelque soit votre sinistre (en ce qui me concerne fissures et lézardes suite sécheresse dans les murs de mon habitation) ils trouvent toujours TOUS les arguments pour ne pas vous indemniser. Un vrai scandale. Les avoir au téléphone relève du défi nerveux. A fuir d'urgence.</t>
  </si>
  <si>
    <t>haa-deal-95461</t>
  </si>
  <si>
    <t>perdent votre carte grise et vous resilie pour defaut de carte grise sans vous la redemander!!! 
apres 20ans chez eux et absolument aucun sinistre ...</t>
  </si>
  <si>
    <t>glg29-102716</t>
  </si>
  <si>
    <t xml:space="preserve">Dommage qu'il soit impossible de mettre un double zéro pointé à cette entité dont je n'oses dire le nom tellement l'incompétence de leur service est reine. Depuis 1 an et demi date de ma demande de déblocage de PERP suite à une situation de surendettement ils n'ont et ne font rien, malgré les recommandés, lettre d'avocat , l'envoi de tous les documents, une fois, deux ....rien ... le vide, le néant, c'est une honte. Obligé d'en arriver à écrire un avis sur le web pour peut être avoir la chance d'être enfin entendu, enfin rien n'est encore moins sur ... Pour vous vendre des produits financiers ils savent vous endormir et pour vous le rendre aussi... la prochaine ce passera devant les tribunaux.     </t>
  </si>
  <si>
    <t>15/01/2021</t>
  </si>
  <si>
    <t>tititlze-71106</t>
  </si>
  <si>
    <t>a éviter , ne défend pas vos intérêts, ne sont la que pour faire du vent, si vous avez besoins de rien vous avez trouver le bon assureur</t>
  </si>
  <si>
    <t>antonio75002-97402</t>
  </si>
  <si>
    <t>Je déconseille, suite à un sinistre dans mon local professionel(infiltrations d'eaux) ils n'ont rien fait du tout, pas de suivi, aucun appel en 5ans, je suis toujours en procédure judiciaire avec la copropriété, ils ne veulent plus m'assurer maintenant quand ils ont vu que le sinistre n'était pas réglé, motif "Aggravation du Risque", bref un scandale pour un assureur.</t>
  </si>
  <si>
    <t>dibuch-123904</t>
  </si>
  <si>
    <t xml:space="preserve">Je déconseille fortement cette assurance.....si vous demandez à être rappelé, jamais on ne vous rappelle. j'ai demandé des explications par mail au service sinistre à plusieur reprises mais aprés 3 mails envoyés toujours pas de réponse. 
J'ai quitté la GMF pour venir chez eux et j'ai 5 contrats que je vais trés vite enlevés pour les remettre à la GMF.
</t>
  </si>
  <si>
    <t>20/07/2021</t>
  </si>
  <si>
    <t>babelaere-96694</t>
  </si>
  <si>
    <t>bonjour quand tous vas , et que l'on demande rien tous vas bien!!!On payent, on subit les augmentations  Par contre lors d'un litige de 69 EUR?  et  9 EUR?    Qu'il me devais erreur sur le bonus de mon fils, que l'agence de Coudekerque leur à envoyé, plusieurs mail pour leur signaler et confirmé qu'une erreur   s'étais produite.  leur réponse cela   n'étais pas possible .Après plusieurs mois j'ai eus enfin mon remboursement  .Que se passeras t'il quand malheureusement ces sommes serons a plusieurs millier Euros . J'espère pour moi que cela   n'arrive jamais. J ai pris une décisions ces que a la  fin de chaque contact je men irais déçus de la maison mère mais pas de l'agence .Je me renseigne  auprès d'autre assurances si mon départ je  peut le faire plus tôt    Mr Babelaere</t>
  </si>
  <si>
    <t>26/08/2020</t>
  </si>
  <si>
    <t>jyl-86975</t>
  </si>
  <si>
    <t>Bonjour, je me suis rarement senti dans une situation aussi désagréable par rapport à une entreprise: pour solder une succession, un conseiller qui a pignon sur rue mais ne sait pas comment contacter l'AFER, sauf s'il s'agit de signer un nouveau contrat, sinon le client reste seul face à un répondeur téléphonique...qui ne répond rien.</t>
  </si>
  <si>
    <t>11/02/2020</t>
  </si>
  <si>
    <t>sami84-57119</t>
  </si>
  <si>
    <t>Communication et relationnel impeccable.</t>
  </si>
  <si>
    <t>midou-57988</t>
  </si>
  <si>
    <t>j'ai demandé en avril 2017 le transfert de mon contrat Swisslife vers un autre assureur.Swisslife m'a demandé la copie de leur propre contrat!impossible de les joindre au téléphone ou par mail resté sans réponse,et il m'a fallu attendre octobre pour recevoir une attestation de transfert sur le compte de mon autre assureur.Encore une surprise car ce virement n'a jamais été effectué et mon nouvel assureur se débat pour recevoir les fonds,Swisslife est réputé pour faire de la rétention de fond.Depuis,j'attends...quand vais je récupérer mon argent?</t>
  </si>
  <si>
    <t>29/11/2017</t>
  </si>
  <si>
    <t>01/11/2017</t>
  </si>
  <si>
    <t>sendee-k-125786</t>
  </si>
  <si>
    <t xml:space="preserve">C’est un peux cher mais l’assurance est pratique à faire sur internet et rapide c’est ce dont j’avais besoin je suis donc satisfait merci cordialement madame monsieur </t>
  </si>
  <si>
    <t>pavia-c-114546</t>
  </si>
  <si>
    <t>Un devis a 400e que le conseiller de l olivier ne retrouve pas et 2 jours après ? C est pas normal 2 fois de suite?
Ça pose  question n est ce pas bref</t>
  </si>
  <si>
    <t>cam-69409</t>
  </si>
  <si>
    <t>Je ne recommande pas du tout a fuir
Clairement ils ce moquent de nous j' ai reçu 14€ de frais d echeance a régler ces frais correspondent à l envoi de l échelle annuelle c'est a dire a l' envoi d une enveloppe en écopli donc moins de 2€.
 Je leur ai donc écrit un mail pour avoir le détail des ces fameux 14€ la aussi j' ai eu un retour très vague correspond a des frais de souscription je suis déjà adhérente donc quels frais de souscription frais de résiliation je ne résilie pas frais de modification de contrat je ne modifie rien Bref passez votre chemin ils se font clairement de l' argent sur votre dos.</t>
  </si>
  <si>
    <t>14/12/2018</t>
  </si>
  <si>
    <t>kbe-96500</t>
  </si>
  <si>
    <t>A fuir. Malgré ma plainte pour vandalisme, ils ne tiennent aucunement compte et donc ils ne remboursent rien. Avec une franchise exorbitante vous vous trouvez à rembourser tout les dégâts. Surtout ne croyez pas les conseillers, ils sont gentils mais ils ne sont là que pour vous endormir.</t>
  </si>
  <si>
    <t>20/08/2020</t>
  </si>
  <si>
    <t>lise-r-132949</t>
  </si>
  <si>
    <t>Je suis satisfait du service zen up
mon assurance me coutera de deux fois moins cher
très simple pour l'adhésion
je recommande il n'y a que des avantages</t>
  </si>
  <si>
    <t>joubie-i-130310</t>
  </si>
  <si>
    <t>Très déçue par le suivi client. Ma demande de rappel en 2019 pour un conseil fiscal n'a jamais abouti. Les gestionnaires ont-ils trop de clients à gérer ? De plus, le conseil donné lors du placement s'est réalisé sans explications (ou minimes et données à regret) : certains clients ont pourtant besoin de comprendre et ne placent pas leur argent aveuglément !</t>
  </si>
  <si>
    <t>didie51-81525</t>
  </si>
  <si>
    <t xml:space="preserve">Quad assurer depuis 5 ans, jais de problème jusqu'au jour ou il est volé. La on me dis que les facture de réparation ne sont pas pris en compte car elles ont plus de deux ans. Puis s'enssuis l'expert qui m'annonce une certaine somme par telephone et  le lendemain l'offre est inferieur sur papier.  Bref conflis toujours pas regler... Macif a recommander que quand il n'y a pas de sinistre. Je serais rembourser meme pas un quart du prix de mon quad.
Car il ne faut pas oublier que la lacif prend 20 pourcent du montant de l'expert. </t>
  </si>
  <si>
    <t>christine-f-112211</t>
  </si>
  <si>
    <t>Très satisfaite de cette assurance, mais pour le moment sans problème de sinistre.
Des conseillers à votre écoute.
Site très facile à utiliser, rien à redire</t>
  </si>
  <si>
    <t>30/04/2021</t>
  </si>
  <si>
    <t>nekolange-77242</t>
  </si>
  <si>
    <t>Très contente des services  proposés, le suivi de dossier suite à mon sinistre a été traité rapidement et efficacement.</t>
  </si>
  <si>
    <t>dounia-y-116213</t>
  </si>
  <si>
    <t xml:space="preserve">je suis satisfaite du prix, imbattable jusqu'a présent. Un sinistre vandalisme pris en charge, sans difficulté. Je recommande vraiment cette assurance. </t>
  </si>
  <si>
    <t>isabelle-g-125182</t>
  </si>
  <si>
    <t xml:space="preserve">Simple pratique 
Prix convenable
Satisfaite...
En attente des documents d'assurance auto
Inscription rapide...
Cette assurance permet un large choix de garanties
</t>
  </si>
  <si>
    <t>dyru-100685</t>
  </si>
  <si>
    <t>sociétaire depuis 25 ans a la Macif , je suis très déçu par le service client, mauvais conseil ou pas de conseil du tout, pas de prise en charge et toujours la meme raison, mal conseillé et malheureusement pour le coup mal assuré.je vous passe les réponses des conseillers qui vous répondent qu'ils ne peuvent rien pour vous.. ok mais qui alors ... le voisin...
franchement il y a des conseillers sympa et competent mais malheureusement trop de mauvais conseils et trop de mauvais conseillers 
merci tout de meme aussi service juridique</t>
  </si>
  <si>
    <t>27/11/2020</t>
  </si>
  <si>
    <t>aurelie--d-133351</t>
  </si>
  <si>
    <t xml:space="preserve">A voir dans le temps, c'est pour ça que je ne met que 4 étoiles, j'attends d'en avoir l'utilité, mais l'inscription est simple et rapide et le prix est correct. </t>
  </si>
  <si>
    <t>soize29-137690</t>
  </si>
  <si>
    <t xml:space="preserve">Après 38 ans de fidélité à la MATMUT, j'apprends par hasard en demandant une attestation pour télétravailler depuis la maison que je ne suis plus assurée depuis le début de l'année. Je n'ai jamais reçu le recommandé qu'ils m'ont soit disant envoyé. Quelle déception. Je ne suis plus assez rentable. Je reprends donc ma liberté et je vais voir ailleurs pour mes véhicules et mes assurances habitation. </t>
  </si>
  <si>
    <t>18/10/2021</t>
  </si>
  <si>
    <t>laelae64-67169</t>
  </si>
  <si>
    <t xml:space="preserve">Injoignables, ils font appel à des experts (Cabinet SARETEC) qui sont des charlots qui sont également injoignables et n'indemnisent rien ! A fuir ! Ils m'ont indemnisé 126 euros pour un devis à 660 euros, soit avec la franchise la moitié de ce que cela m'a couté, une honte, et impossible d'avoir le détail. </t>
  </si>
  <si>
    <t>Sogessur</t>
  </si>
  <si>
    <t>28/09/2018</t>
  </si>
  <si>
    <t>ludovic-55148</t>
  </si>
  <si>
    <t xml:space="preserve">assurance lamentable. impossible de recevoir la vignette définitive. j'ai souscrit le 02/11/16 et j'attend encore malgré les différentes relances que ce soit par mail ou par téléphone. j'ai reçu une réponse il y a quelque jours me disant que des informations que j'ai donné ne correspondent pas aux documents envoyés. c'est complètement faux et j'ai les preuves à l'appuis. de plus avec sa, il veulent me faire signer un nouveau contrat rempli par leur soins et qui bien évidemment est pas bon. et pour finir ils me demande un complément de 103 euros pour ce fameux réajustement de contrat. je n'ai pas l'intention de signer ce contrat à la noix et encore moins de donner 103 euros de plus. 
si par malheur j'ai un sinistre dans les prochains jours, suis-je quand même assuré ? malgré que j'ai donné 728 euros et que c'est pas fini ? avec les excuses que l'ont me donnent j'en suis pas certains....   </t>
  </si>
  <si>
    <t>serdo-35129</t>
  </si>
  <si>
    <t>Bonjour je viens de changer de mutuelle étant démarché par un courtier .Je suis actuellement chez CEGEMA la pire mutuelle depuis que je suis assuré. Si je suis assuré ?  Je paye actuellement deux mutuelles étant donné  que CEGEMA n'a apparemment pas fait les démarches nécessaires pour le changement. J'ai essayé plusieurs reprises de les contacter par téléphone n°04 92 02 08 50 sans succès. J'ai contacté à son tour le courtier BS .ASSUR n° de téléphone 09 87 33 64 21 qui apparemment ne peut rien faire pour moi .Si quelqu'un peu m'aider je le remercie par avance  PS (de plus ayant du coup  deux mutuelle la Sécurité sociale ne me rembourse pas ne sachant à qui faire la transmission  HELP</t>
  </si>
  <si>
    <t>sophie-b-134326</t>
  </si>
  <si>
    <t>Simple, efficace et claire. Première assurance pour moi, j'ai pu très rapidement souscrire, et rouler en toute sécurité.
Je recommande AMV. 
Merci à vos équipes.</t>
  </si>
  <si>
    <t>adele-55979</t>
  </si>
  <si>
    <t>Assurée à la MAIF depuis plus de 40 ans, je n'ai eu jamais à déclarer de sinistre. Cette année j'ai subi des infiltrations dans les plafonds de mon appartement qui se sont retrouvés totalement dégradés. La copropriété a dû engager de coûteux travaux pour renforcer d'étanchéité de la terrasse qui surplombe mon appartement. Lors de ces travaux des ouvriers ont jeté des gravats dans la descente d'eaux pluviales, de sorte qu'à la première pluie mon appartement s'est totalement inondé, abîmant parquet et moquette.
J'ai récupéré donc un appartement dévasté par les plafonds et par les sols.
La MAIF, au bout de plus d'un mois m'a envoyé l"expert" d'un cabinet privé. Cet "expert" semble avoir eu seulement deux missions : 1. Retarder sans fin mon dossier par des tracasseries et des finasseries interminables, et 2. Chiffrer au plus bas, en diminuant leur importance et étendue, les dégâts. J'ai 73 ans, je suis gravement malade et la MAIF me force à finir ma vie dans un taudis. Merci l'assureur militant.</t>
  </si>
  <si>
    <t>12/07/2017</t>
  </si>
  <si>
    <t>damien-35261</t>
  </si>
  <si>
    <t>assurance en apparence attractive, qui se resout par etre l'inverse sur le prix et sur le service client
j'aurais dus regarder les commentaires avant, ne vous faites pas avoir !!! 
je m'assure pour 26 euro, pendant le premier mois je fais une modif du contrat on modifie la cotisation a 29 euro je suis d'accord, on me confirme aucun frais supplémentaires, et puis en faites mes frais de dossier passe de 20 à 65 euros, je demande a ce qu'on écoute la conversation du service client qui me confirme aucun frais supplémentaire et la bien sur, impossible ce n'est pas enregistré !!! comme par hasard !!</t>
  </si>
  <si>
    <t>pauline-r-134205</t>
  </si>
  <si>
    <t>L'offre et la tarification sont fort intéressant à voir par la suite si les services sont à la même hauteur ...! Souscription simple facile et didacticielle</t>
  </si>
  <si>
    <t>23/09/2021</t>
  </si>
  <si>
    <t>merle-t-123355</t>
  </si>
  <si>
    <t>Jeune conducteur, c est l offre la plus intéressante, toutes les réponses à mes questions ont été apportées, mes interlocuteurs ont été très aimables.</t>
  </si>
  <si>
    <t>julienr-61425</t>
  </si>
  <si>
    <t>Pratiques commerciales à la limite de la légalité. Se fait passer pour un prestataire de la sécurité sociale, demande l'IBAN en affirmant qu'aucune somme ne sera prélevée. Fait du forcing pour conclure rapidement l'adhésion grâce à une signature électronique.</t>
  </si>
  <si>
    <t>14/02/2018</t>
  </si>
  <si>
    <t>aucun-137985</t>
  </si>
  <si>
    <t>Je suis très satisfait du contact téléphonique avec mlle RAMATA qui m'a très bien guidé dans ma démarche et s'il faut donner une note elle mérite pour sa patience et son professionnalisme la note maximun.</t>
  </si>
  <si>
    <t>esposito-n-126264</t>
  </si>
  <si>
    <t>Grace aux différentes propositions de ce contrat ainsi qu'au prix de l'assurance, je trouve cela très abordable et très adapté pour les jeunes conducteurs .</t>
  </si>
  <si>
    <t>david-85864</t>
  </si>
  <si>
    <t xml:space="preserve">Suite à un accident de voiture non responsable et de grosses réparations j'ai découvert le service axa assistance une catastrophe  aucune écoute le jour de l'accident après le remorquage de mon véhicule je me suis retrouvé seul sur le lieux de l'accident obligé de rentré par mes propres moyens Ensuite l'expert a mis 11 jrs pour venir constater les dégâts alors que je n'avais que 15 jrs de location véhicule prévu au contrat et selon le garagiste 3 semaines de réparation. Bilan je suis la victime et AXA refuse de continué à prendre en charge la location d'un véhicule de remplacement le temps des réparations.  </t>
  </si>
  <si>
    <t>13/01/2020</t>
  </si>
  <si>
    <t>lili-77832</t>
  </si>
  <si>
    <t>J'ai réalisé un devis en ligne, le tarif me convenait, j'ai versé un acompte en ligne, à la suite de quoi mon contrat à signer apparait dans mon compte, mais a un tarif plus élevé. Ils ne repondent pas aux mails donc pour l'instant je ne peux pas utiliser mon véhicule.</t>
  </si>
  <si>
    <t>22/07/2019</t>
  </si>
  <si>
    <t>pascal-f-122633</t>
  </si>
  <si>
    <t>Même si cela reste toujours trop cher les prix sont dans la moyenne de la concurrence, voir un peu moins cher pour la Mercedes ML mais la franchise a quasiment doublée!</t>
  </si>
  <si>
    <t>07/07/2021</t>
  </si>
  <si>
    <t>peyo-90680</t>
  </si>
  <si>
    <t xml:space="preserve">Je souhaite savoir à quoi correspond le code promo
La construction du devis est pratique
Je souhaite être contacté pour affiner le devis
Merci  beaucoup </t>
  </si>
  <si>
    <t>13/06/2020</t>
  </si>
  <si>
    <t>ana-bela-d-134059</t>
  </si>
  <si>
    <t>Je suis très satisfaite du service et de la disponibilité des conseillers qui sont à l'écoute des questions et cherchent à y répondre au mieux!!!merci beaucoup!!! Je recommande vivement!!</t>
  </si>
  <si>
    <t>je--91692</t>
  </si>
  <si>
    <t xml:space="preserve">Un peu coûteux pour une 4cv.... je m’attendais à plus compétitif. Mais bon service en ligne, simple et rapide. Je voudrais aussi en savoir plus sur le boîtier Connect </t>
  </si>
  <si>
    <t>mm42500-103754</t>
  </si>
  <si>
    <t>Assurance présente pour encaisser les cotisations mais un mois après un sinistre non responsable aucun véhicule de remplacement aucune indemnité, on m'annonce encore au moins 15j d'attente supplémentaires.
Pire encore le véhicule a été changé de garage pour éviter les frais de gardiennage le nouveau garage en réclame 300. Après vérification, l'ancien ne prend pas de frais de gardiennage. Je dois donc remorquer un véhicule qui se trouvait à 30km de chez moi et que l'assureur a transféré sans mon accord à 80km
Fuyez axa est le meilleur conseil que je puisse donner. Pour vous faire payer y a pas de problème y sont la pour indemnisé c'est une autre histoire</t>
  </si>
  <si>
    <t>09/08/2021</t>
  </si>
  <si>
    <t>sylvain-c-134892</t>
  </si>
  <si>
    <t xml:space="preserve">Satisfait de l'interlocutrice que j'ai eu au téléphone et des conseils que nous avons eu pour la souscription de notre assurance auto. Nous étions déja chez vous avant. </t>
  </si>
  <si>
    <t>nicolas-m-130085</t>
  </si>
  <si>
    <t xml:space="preserve">je suis ravie de direct assurance 
je recommande cerre assurance 
deja un vehicule chez vous et je souscrit pour notre deuxieme voiture 
merci a vous </t>
  </si>
  <si>
    <t>29/08/2021</t>
  </si>
  <si>
    <t>jaja-97476</t>
  </si>
  <si>
    <t>????????Assurance qui ce croient tout permis,  ce permet de noté resilation compagnie dans le dossier de leurs clients lorsqu'il décide de résilier leurs contrats.  
Comment ces gens  peuvent-ils encore exercer ??? 
Économiser votre bonus et vos sous , allez voire une autre assurance !????????</t>
  </si>
  <si>
    <t>lesoup-54167</t>
  </si>
  <si>
    <t>Assurance très chère ce n'est plus le caractère mutualiste de l'époque .
Fermeture des des agences dé proximité.
Trop de publicité (rugby) au détriments des sociétaires</t>
  </si>
  <si>
    <t>20/04/2017</t>
  </si>
  <si>
    <t>sanjiv-l-114124</t>
  </si>
  <si>
    <t>Suite à l'incendie de mon immeuble , je me retrouve au dépourvue . Mon appartement est devenue inhabitable et l'entreprise de décontamination n'a rien fait .</t>
  </si>
  <si>
    <t>larnaout-a-107890</t>
  </si>
  <si>
    <t xml:space="preserve">Je suis stisfit des prix l prise en chrge téléphonique est parfaite les documents a signés etes trop flou merci de me renvoyé tous les detil du contrat afin de les relire . Bien cordialement </t>
  </si>
  <si>
    <t>pierre-r-127745</t>
  </si>
  <si>
    <t xml:space="preserve">Très bon rapport prix prestations 
Plus qu'à voir sur la durée si le service et aussi bien que le prix 
Je recommande pour l'instant juste par rapport au prix </t>
  </si>
  <si>
    <t>maddi-m-113977</t>
  </si>
  <si>
    <t xml:space="preserve">bjr je trouve vos assurance un peux cher j ai eu 3 petit accident  ou. je ne suis ps en Tor et je paye 130 E par moi  jasper qu'avec le tel.  le prix va besser. car je nais pas trop de moyen </t>
  </si>
  <si>
    <t>natabridge-105942</t>
  </si>
  <si>
    <t xml:space="preserve">si on pouvait mettre zéro ce serait bien.
2 sinistres dont un du à la sécheresse : commune sinistrée en 2019 : refus de prendre en charge les réparations alors que tous les maçons ont confirmé que la cause était la sécheresse .
fuite dans le système de chauffage : appel du plombier en urgence qui a eu du mal à trouver la fuite dans un mur épais de 1,5 m . Refus de prendre en charge car l'intitulé n'est pas tt à fait exact pour eux . Un plombier est-il un écrivain ? il a parfaitement fait son boulot et la facture !
où est le service client ? ma mère qui est l'assurée a 92 ans et personne ne l'aide ni la conseille.
le prix est très cher 
mieux vaut aller chez une mutuelle 
</t>
  </si>
  <si>
    <t>09/03/2021</t>
  </si>
  <si>
    <t>renato06-62895</t>
  </si>
  <si>
    <t>Assurance nul seulement bon pour payer. J ai une une chimiothérapie depuis 4 mois , et toujours aucune indemnité</t>
  </si>
  <si>
    <t>03/04/2018</t>
  </si>
  <si>
    <t>sophie-v-124329</t>
  </si>
  <si>
    <t>bien mais pas facile le site sur le portable et pas de mail pour vous contacter, à améliorer. sinon les prix sont attractifs et pas cher du tout par rapport aux autres</t>
  </si>
  <si>
    <t>fati1413-87782</t>
  </si>
  <si>
    <t>J'ai été cambriolé un expert est passé depuis plus de nouvelles très mauvais suivi de gestion du dossier j'arrête pas de les relancer au téléphone par mails et lettre AR</t>
  </si>
  <si>
    <t>29/02/2020</t>
  </si>
  <si>
    <t>massema-g-123695</t>
  </si>
  <si>
    <t xml:space="preserve">Je suis satisfaite du tarif , j'attends de voir en cas de sinistre ce que cela va donner .
en tant que jeune conducteur je trouve les prix attractifs 
</t>
  </si>
  <si>
    <t>17/07/2021</t>
  </si>
  <si>
    <t>ecoeuree-65193</t>
  </si>
  <si>
    <t xml:space="preserve">fidèle à la mgen depuis plus de 18 ans, ça devient une catastrophe : j'ai commencé des soins avec une dentiste bouchère qui m'a blessée à plusieurs reprises au niveau de la langue avec roulette et seringue puis a failli me casser les dents du haut en retirant une couronne. sortir la bouche en charpie de chaque séance malgré mes réclamations pour faire un bridge sur dent vivante devenue douloureuse après qu'elle l'ait taillé. bridge trop serré que je n'ai pas supporté lors de l'essayage et qui voulait me l'imposer en me disant qu'elle allait mettre de la colle provisoire et que je vois dans une semaine. j'ai exigé qu'elle me le retire et ai contacté la mgen pour savoir quoi faire. on m'a répondu à 2 reprises que je pouvais quitter mon praticien même si un protocole était accepté et le bridge réalisé et recommencer les soins avec un autre praticien. le jour où il faut facturer et régler ma dentiste appelle pour être sûre que je vais bien être remboursée et là on répond que si le bridge n'est pas posé en bouche la sécu ne prend rien en charge et la mgen non plus. et la dame de s'énerver au téléphone parce que les conseillers n'ont pas reporté dans le dossier tout ce qu'ils m'ont dit. et de me dire de me débrouiller avec mon dentiste. ce que j'ai fait. </t>
  </si>
  <si>
    <t>02/07/2018</t>
  </si>
  <si>
    <t>papiloulou-60379</t>
  </si>
  <si>
    <t xml:space="preserve">Assurance crédit emprunt immobilier ACMN VIE a fuir de toute urgence avant le moindre sinistre. Il ne paye pas, s'accoquine avec des experts médicaux à leur solde. Se retranche vers le secret médicale pour ne pas justifier leurs décisions. Affreux et ça fait 3 ans que cela dure. Même le CMNE n'arrive pas à se faire entendre..Si vous contestez; les frais de contre-expertise restent à votre charge et vous ne pouvez pas choisir le médecin  expert,qui d’ailleurs ne vous convoque jamais j'attend  depuis le 18 mais 2015 une convocation.Heureusement que j'ai pu solder mon crédit en revendant ma maison sinon je serai dans une situation délicate.  </t>
  </si>
  <si>
    <t>11/01/2018</t>
  </si>
  <si>
    <t>si-la-patience-est-un-jardin-que-je-cultive,-il-de-132753</t>
  </si>
  <si>
    <t>Déplorable !!!
Communication avec un répondeur et toujours pas de prise en charge 2 mois après un dégât des eaux !!!
Hallucinant !
Cela fait plus d'une décennie que je cotise sans sinistre et tout allait forcément bien.
Si vous avez des compagnies d'assurance qui assurent au sens propre comme au figuré,  je suis preneuse !
Je ne souhaite pas que mes coordonnées soient transmises à l'assureur car celui-ci n'a pas daigné répondre aux deux réclamations effectuées par courriel.</t>
  </si>
  <si>
    <t>14/09/2021</t>
  </si>
  <si>
    <t>cri-104862</t>
  </si>
  <si>
    <t xml:space="preserve">Très bonne assurance prix au top service client au top 18/20 
Seul bémol ne feutre pas les deux roues car j’ai un deux roues et je paie une petite fortune fend une grande assurance française </t>
  </si>
  <si>
    <t>munier-m-116679</t>
  </si>
  <si>
    <t xml:space="preserve">je suis satisfait dans l'ensemble mais un rappel pour les oublie de document serait top 
bien placer sur la grille tarifaire 
a voir en cas de sinistre </t>
  </si>
  <si>
    <t>elia2-75898</t>
  </si>
  <si>
    <t>Adhérente depuis 2018 , je trouve que le nouveau prix proposé est mieux que l'ancien. Les explications ont été bien faites et surtout que les tarifs sont adaptés à mes besoins. J'attends voir les remboursements.</t>
  </si>
  <si>
    <t>julien--115652</t>
  </si>
  <si>
    <t xml:space="preserve">C'st vraiment attention il fout jamais assure avec cette entreprises. 
Apres 2 ans de contrat j'a eu un petit souci et j'ai essayer de contacter le service client ils décrochent jamais l'appel. 
</t>
  </si>
  <si>
    <t>gueluy-v-133398</t>
  </si>
  <si>
    <t>Je suis satisfait de mon contrat. J’ai bien été conseillé. Le tarif proposé correspond à mes attentes. Je recommande cette assurance auprès de mon entourage.</t>
  </si>
  <si>
    <t>jonathanroth-86-37145</t>
  </si>
  <si>
    <t>En arrêt de travail du 10/01/2017 au 31/03/2017.
Perte de revenu, obligé de Relancé toute les semaines pour avoir le paiement. 
A ce jour toujours rien ...
Vivement la fin de mon contrat pour aller ailleurs....</t>
  </si>
  <si>
    <t>19/04/2017</t>
  </si>
  <si>
    <t>caro-62830</t>
  </si>
  <si>
    <t>Prix interessant mais on comprend pourquoi</t>
  </si>
  <si>
    <t>30/03/2018</t>
  </si>
  <si>
    <t>yvesa12345-58473</t>
  </si>
  <si>
    <t>En raison d 'un vent fort, un objet a brisé ma vitre de véranda. Sogessur refuse la prise en charge, disant qu'il s'agit de vétusté...</t>
  </si>
  <si>
    <t>31/10/2019</t>
  </si>
  <si>
    <t>christian-85659</t>
  </si>
  <si>
    <t>Bonjour  j attends mes paiements de maintient de salaire depuis le 15 octobre 2019 au 31 decembre 2019 j'ai telephone ont devez me r'appeler et a ce jour rien J'ai écris depuis mon compte internet ont ma répondu je transmets votre réclamation   a ce jour rien  2 mois et demi Sens paiements bonjour la situation  où cela nous mene C'est probleme de paiement sont en permanence en plus malade de 2 ans  Ont a pas besoin de ces combats tout les mois pour être paye Inadmissible  Ont joint les documents par internet pour que se soit rapide ben non sa change rien comment peut on vivre sens être payé tous les mois régulier Qu'on m explique La trop ralbol je vais me renseigner juridiquement si cela se règle pas très rapidement</t>
  </si>
  <si>
    <t>08/01/2020</t>
  </si>
  <si>
    <t>karova-101722</t>
  </si>
  <si>
    <t>Je paye des mensualités trop élevée, mais pour les remboursement il faut attendre plus d'un an!!!!!!
Satisfaction zéro!!!!!
Les conseillères sont gentilles, mais cela ne vas pas plus loin, ça ne suffit pas pour faire avancer mon dossier de remboursement!!!!</t>
  </si>
  <si>
    <t>21/12/2020</t>
  </si>
  <si>
    <t>vincent-l-113495</t>
  </si>
  <si>
    <t>Très mauvais du côté des gestions de sinistre et d'indemnisation! A exclure! Sinistre déclaré en mai 2020 et toujours pas résolu ni indemnisé! De plus Direct Assurance ne donne aucune solution et ne me contact plus! Fuyez!</t>
  </si>
  <si>
    <t>dedel-101778</t>
  </si>
  <si>
    <t>Assurance déplorable.
Adhérente de par mon employeur, il vaut mieux ne pas avoir de soucis.
En arrêt depuis le 9 juin, j’attends toujours d’être indemnisé comme cela est prévu au contrat.
Les délais sont très très longs.
Aucune réponse aux e-mails et réponse approximative au téléphone.
Il y a toujours un nouveau document à remplir.
On dirait que tout est fait pour qu’ils ne payent pas.
Déjà qu’on a pas choisi d’être malade mais en plus il faut se battre pour être indemnisé.
Ils nous mettent dans une situation financière très compliquée.
A fuir.</t>
  </si>
  <si>
    <t>23/12/2020</t>
  </si>
  <si>
    <t>madeleine-50344</t>
  </si>
  <si>
    <t>ils n'assurent pas pour certains médicaments(que les vignettes blanches) ce qui fait que sur le traitement de mon mari et le mien il me reste 31 € à ma charge ce qui augmente ma mensualité qui est de 121 € .</t>
  </si>
  <si>
    <t>16/12/2016</t>
  </si>
  <si>
    <t>jojo-101828</t>
  </si>
  <si>
    <t>surcomplementaire article 83 dossier complet a l etude depuis plus de 6 mois!!
mauvais payeur toujours la meme reponse: en cours de validation par la hierarchie</t>
  </si>
  <si>
    <t>24/12/2020</t>
  </si>
  <si>
    <t>cedric-m-105714</t>
  </si>
  <si>
    <t>Je suis satisfait et je change bientôt de voiture à voir pour les nouveaux prix.
Simple d'utilisation pas trop cher et bonne couverture des dommages. Je n'ai pas eu de sinistre pour voir la rapidité de traitement.</t>
  </si>
  <si>
    <t>06/03/2021</t>
  </si>
  <si>
    <t>sebastien-v-111915</t>
  </si>
  <si>
    <t xml:space="preserve">Je découvre et verrai dans le temps comment évolue la prestation mais à date très satisfait et particulièrement du service client : disponibilité et réactivité de mon interlocutrice. </t>
  </si>
  <si>
    <t>coquel-n-138892</t>
  </si>
  <si>
    <t xml:space="preserve">ok prix moyen heureusement prime 80 € par le CE mais sinon plus chère que la concurrence.
on verra si reconduction selon evolution de tarif la deuxieme annee </t>
  </si>
  <si>
    <t>03/11/2021</t>
  </si>
  <si>
    <t>pierre-a-117669</t>
  </si>
  <si>
    <t>Parfait, rapide, modulable, prix plus que correct, et je n'ai pour l'instant rien eu à redire au service client ! J'y retourne chaque année les yeux fermés !</t>
  </si>
  <si>
    <t>20/06/2021</t>
  </si>
  <si>
    <t>leloup-a-123091</t>
  </si>
  <si>
    <t xml:space="preserve">Je suis satisfaite de cet assurance très compétant tarifs attractifs , et l interface et très facile à manipuler tous et clair précis je recommande vivement cet assurance . Pour moi c est là meilleurs . </t>
  </si>
  <si>
    <t>bm95-138973</t>
  </si>
  <si>
    <t xml:space="preserve">Ayant souscrit un tiers mini chez Direct assurance début octobre suite à l'achat d'occasion d'un véhicule belge , je leur avait bien précisé que c'était un vehicule étranger et que l'allais faire une demande d'immatriculation française , il m'ont quand même assuré avec le n° VIN donc jusque là tout allait bien , j'ai bien envoyé toutes les pieces réclamés le jour même de la souscription sauf la carte grise Française étant d'origine belge , après quelques déboires avec la lenteur ANTS et sur les relances incessantes de direct assurance par sms et mail je leur ai envoyé l'attestation de dépôt électronique de ma demande d'immatriculation auprès des services ANTS , direct assurance me confirme suite à mon appel qu'il n'y avait aucun souci ( pour rappel j'avais réglé l'intégralité de la première année à la souscription).
 Quelle ne fut pas ma surprise en recevant ce 4 novembre 2021 un courrier R/AR m'informant qu'il resilier mon contrat n°327993315  sous prétexte qu'il y avait un document manquant à mon dossier (?) bin oui il le savait puisque fin octobre je les informé que je n'avais toujours pas de retour de mon dossier ANTS.   Malgré mon appel leur expliquant ma bonne foie concernant la lenteur des services ANTS Direct assurance est resté sur leur position en me recommandant Merci Victor by Direct Assurance , mais de qui se moque t'on !! Les compétences de cet assureur sont exponentiellement inverse a leur campagne de pub télévisée ! A FUIR ABSOLUMENT !!!! </t>
  </si>
  <si>
    <t>elodie934-70753</t>
  </si>
  <si>
    <t>Incompétent, injoignable par téléphone et par mail. Mutuelle de mon employeur.
Aujourd'hui j'attend toujours mes remboursements et ça depuis 2 mois.
C'est juste honteux de laisser les gens sans réponse.</t>
  </si>
  <si>
    <t>30/01/2019</t>
  </si>
  <si>
    <t>amelie-p-114333</t>
  </si>
  <si>
    <t xml:space="preserve">Simple et pratique, l'espace client internet est très adapté 
Les conseillers telephoniques pertinents et à l'écoute c'est rassurant 
la prestation est à la hauteur de mes attentes </t>
  </si>
  <si>
    <t>gentil-99798</t>
  </si>
  <si>
    <t>je suis en accident de travail,je contact la cnp pour faire valoir mes droits,ils envoie le dossier à compléter, et là,la grosse galère il manque toujours un document,ils me renvoient un courrier en demandant tel document,et depuis 4 mois que ça dur comme ça.ils essaient de gagner du temps et de nous décourager.une banque comme la caisse d épargne ne devrait plus travailler avec eux. à fuir</t>
  </si>
  <si>
    <t>07/11/2020</t>
  </si>
  <si>
    <t>gilles-w-113887</t>
  </si>
  <si>
    <t>Aucune idée du niveau de prix pour ce type de garantie
Très satisfait du site qui est très clair et simple d'utilisation
je n'ai pas d'avis complémentaire à apporter</t>
  </si>
  <si>
    <t>16/05/2021</t>
  </si>
  <si>
    <t>fred-51565</t>
  </si>
  <si>
    <t>Depuis septembre,une moto est tombée sur la mienne,les deux en stationnement,bilan 680 euros que j'ai paye pour recuperer mon 125 chez le reparateur,depuis on me fait poireauter!!!!</t>
  </si>
  <si>
    <t>23/01/2017</t>
  </si>
  <si>
    <t>bernard-d-125222</t>
  </si>
  <si>
    <t>le service rendu me satisfait. l'acceuil est au rendez a chaque fois depuis plus de 40 ans. Bien sur le niveau des prix sont toujours trop elevés. Plus de transparence sur les raisons de leurs niveaux serait peut utile à une meilleure acceptation.</t>
  </si>
  <si>
    <t>nicolas-d-125725</t>
  </si>
  <si>
    <t xml:space="preserve">Pour le moment, le service que j'ai obtenue concernant la résiliation de mon contrat auto précédent et des conseils pour ce deuxième contrat ainsi que les prix me conviennent ! </t>
  </si>
  <si>
    <t>florian--v-124969</t>
  </si>
  <si>
    <t xml:space="preserve">je suis satisfait du fonctionnement, ainsi que de la rapidité de mise en oeuvre de la souscription. Les tarifs sont compétitifs et les garantie semble en adéquation avec mon besoin comme mon ancien assureur mais avec un meilleur tarif. </t>
  </si>
  <si>
    <t>moro-76526</t>
  </si>
  <si>
    <t>Souci avec mon véhicule, plateforme téléphonique injoignable impossible de les avoir au téléphone j'ai effectuer une pré-déclaration en ligne le jour même et bizarrement cette pré déclaration a disparu de mon espace personnel heureusement que j'ai un mail de confirmation, 14 jours ce sont passé depuis l'incident et toujours pas de nouvelle de leurs part cela me semble très mal partis avec cette compagnie.</t>
  </si>
  <si>
    <t>06/06/2019</t>
  </si>
  <si>
    <t>potier-de-courcy-f-116793</t>
  </si>
  <si>
    <t xml:space="preserve">Interlocutrice très agréable et bonnes explications des modalités à suivre, très satisfait des choix proposés et une rapidité dans l'envoi des documents. </t>
  </si>
  <si>
    <t>11/06/2021</t>
  </si>
  <si>
    <t>jean-marc-d-109927</t>
  </si>
  <si>
    <t>3 mois après ma souscription suite à un changement de voiture, mon devis augmente de près de 10%. Le montant augment de 10% tous les ans sans avis indiquant précisément cette augmentation.</t>
  </si>
  <si>
    <t>kawha-79497</t>
  </si>
  <si>
    <t xml:space="preserve">Nul, mauvais, à fuir de toute urgence.  Pas assez de mots pour décrire la perte de temps que représente cet assureur.  N'y allez pas, vous n'aurez que des ennuis, la seule chose qui les interesse c'est votre argent.  Votre santé c'est pas leur probleme.  </t>
  </si>
  <si>
    <t>08/02/2020</t>
  </si>
  <si>
    <t>martial-56850</t>
  </si>
  <si>
    <t>152 EUROS D'assurance au tiers pour une c3 2009 1.4 70 4cv ça reste très élevé ! 
ayant contacter l'agence au sujet des variances de mes mensualités, je m'attend toujours à une éventuel stabilité revues de mes prélèvements.
Ceux-ci reste très élever comparer à certains concurrent. 
Cordialement                             Mr Becquet Martial.</t>
  </si>
  <si>
    <t>24/08/2017</t>
  </si>
  <si>
    <t>ludovic33-51528</t>
  </si>
  <si>
    <t>Cette assurance m'as résillé parce que je n'étais pas assuré pendant une période de plus de 15 jours, alors que j'étais à l'étranger pour raison prof.. Du coup j'ai l'impression de passer pour un hors la loi;</t>
  </si>
  <si>
    <t>21/01/2017</t>
  </si>
  <si>
    <t>boubou-59585</t>
  </si>
  <si>
    <t>Injoignables
on résilie la mutuelle mais les petits contrats qui ne servent à rien restent</t>
  </si>
  <si>
    <t>11/12/2017</t>
  </si>
  <si>
    <t>veronique-m-126777</t>
  </si>
  <si>
    <t>Rapide et simple , facilite la vie
cela semble un peu plus cher que la concurrence mais ce que j'apprécie c'est le dépannage 
votre service m'a été recommandé par un ami</t>
  </si>
  <si>
    <t>yvanlassa-62076</t>
  </si>
  <si>
    <t>L'assurance prétend que le véhicule qui a accroché le mien ne possède pas dassurance sans a aucun moment apporter la preuve des démarches qu'ils ont effectué. Les informations qu'avanssur me donne sont differentes et contradictoires a chaque fois que je les appelle. In fine j'ai reellement le sentiment de me faire voler</t>
  </si>
  <si>
    <t>07/03/2018</t>
  </si>
  <si>
    <t>ludo-101696</t>
  </si>
  <si>
    <t>Assuré depuis nov 2018, pas de sinistre donc RAS. Par contre impossible d'obtenir mon relevé de situation complété avec l'ensemble des conducteurs assurés, seul le conducteur principal apparaît alors que la réglementation précise que tous les conducteurs doivent apparaître. De ce fait ma femme est considérée comme étant sans assurance par les autres assureurs et ma fille est toujours jeune conductrice alors qu'elle conduit depuis janvier 2018. Je me sens emprisonné et sans recours  car malgré une pseudo prise en compte, impossible d'obtenir ce document depuis 6 semaines maintenant.</t>
  </si>
  <si>
    <t>do-85707</t>
  </si>
  <si>
    <t>J'ai l'impression que pour être tranquille, il ne faut surtout rien leur demander. Je viens de raccrocher avec un "conseiller" désagréable au possible, ou il me coupé la parole sans arrêt. J'ai eu 2 fois à avoir besoin de ma mutuelle ( Et c'est pour ça que j'ai une mutuelle) première fois un mauvais calcul de remboursement pour une opération 200E de ma poche, deuxième fois j'attend toujours la réponse pour la demande de pris en charge d'un de mes devis, qui soit dit en passant ne s'affiche pas sur leur logiciel. Il ne reste plus qu'à changer de mutuelle :D</t>
  </si>
  <si>
    <t>javier-b-132076</t>
  </si>
  <si>
    <t>Je suis satisfait du service.
Mais je ne suis pas satisfait :
- qu'il ne soit pas possible d'avoir deux adresses de stationnement pour deux véhicules différents
- qu'il ait fallu résilier un contrat et en établir un nouveau
- que pour chaque contrat, je dispose d'un numéro de client différent
- que je ne puisse pas voir l'ensemble des contrats dans le même espace client</t>
  </si>
  <si>
    <t>elkeke-80381</t>
  </si>
  <si>
    <t>Prix compétitifs, surtout en ayant le max en bonus auto et moto. Suite a un accident sans tiers identifiés, ils ont respecté entièrement leurs conditions, a savoir le remboursement prix du neuf de la moto HS, moins la franchise, plus les options. Et tout ça dans un délai très court avec un gestionnaire de sinistre qui vous est attitré !</t>
  </si>
  <si>
    <t>24/10/2019</t>
  </si>
  <si>
    <t>obl-121494</t>
  </si>
  <si>
    <t xml:space="preserve">Épouvantablement cher
Remboursements optiques non encore effectué après 5 mois alors que tout est en ordre.
J’attends encore un peu avant de déposer plainte </t>
  </si>
  <si>
    <t>redier-m-133515</t>
  </si>
  <si>
    <t>Les prix me conviennent pour l’instant, la prise en charge est rapide, le service client est bon, espace client intuitif. Pour résumer en deux mots : simple et pratique.</t>
  </si>
  <si>
    <t>19/09/2021</t>
  </si>
  <si>
    <t>jln-bld-51586</t>
  </si>
  <si>
    <t xml:space="preserve">Je souris de voir que comme par hasard un des avis clients très récent stipule aucun souci avec cette assurance alors que tout le monde en a auprès de cet assureur...
Depuis presque 5 jours, j'ai appelé sans relâche mon assurance ayant eu besoin de présenter mes papiers auprès de la police car on m'a fait constater qu'elle n'est pas à jour. 
J'appelle donc active assurances, qui m'annonce que je ne suis plus assurée depuis avril 2016 (alors que ma vignette verte active assurance n'est plus bonne depuis plusieurs jours je n'ai eu aucun courriers ou mails), ils annoncent que je n'ai jamais répondu à leurs relances par mail, soit disant avec accusé réception (il me semble que cela n'existe pas sur les mails et les seuls dit mails datent de mon appel samedi, rien auparavant), et que je devrais voir sur l'espace client.
Ils me sortent que je suis en résiliation temporaire, que je dois régler 27 euros, je leur propose dès lors de régler et me faire assurer dans la journée au vu de l'urgence de la situation. Et bien chez eux impossible, j'ai eu le mail qui demande les pièces, alors déjà ils n'ont pas mis le bon nom de famille mais celui d'un de leur client qui n'a rien à voir avec le mien (le pauvre), comme quoi les papiers sont encore en attente de réception. 
j'ai renvoyé à 4 reprises depuis samedi le dossier complet, je reçois hier un mail accusant que le dossier est COMPLET...
ET magie, aujourd'hui je les rappelle, non le dossier n'est pas complet, de ce fait, je renvoie le mail avec toutes les pièces, et reçois un mail en fin de journée : 
Nous avons bien reçu votre mail et vous en remercions, mais malheureusement aucun document ne nous est parvenu.
Pour la reprise de votre contrat d'assurances automobile donc, nous vous prions de nous retransmettre les documents en pièces jointes, sous format JPEG ou PDF.
Nos conseillères sont à votre disposition au 0892 020 423, du lundi au vendredi de 09h à 19h et le samedi de 09h à 17 h pour toutes informations complémentaires.
En vous remerciant de votre confiance, nous vous souhaitons une excellente journée.
Cordialement,
Mme X
Chargée de clientèle
Active Assurances
Résultat j'ai demandé un relevé d'information et pour la peine me voici partie et assurée à compter de ce soir (demain) minuit par Allianz qui a tout de suite compris l'urgence de la situation pour 25euros/mois (tiers/conducteur couvert/bris de glace) au lieu de 61euros pour le tiers uniquement. UN CONSEIL : FUYER ACTIVE ASSURANCES, vous ne ferez aucune économie, du temps à perdre et vous n'aurez jamais le moindre papier vert d'assurance! </t>
  </si>
  <si>
    <t>fares-i-134865</t>
  </si>
  <si>
    <t xml:space="preserve">Je suis satisfait de votre service et le prix me convient  par rapport aux autres assurances. Même le service est rapide et fluide je conseille  de nouveaux client. </t>
  </si>
  <si>
    <t>pierredure-58994</t>
  </si>
  <si>
    <t xml:space="preserve">Je me suis retrouvé abusivement "assuré" au forceps par démarcheurs sans scrupules, dossier postal non reçu malgré ma demande pour étude. Je considère ces façons de faire comme une tentative d'extorsion de fonds.
</t>
  </si>
  <si>
    <t>21/11/2017</t>
  </si>
  <si>
    <t>assureencolere-34131</t>
  </si>
  <si>
    <t>Comme de nombreux clients, les mails et demandes de remboursement restent sans réponse... C'est une mutuelle à fuir</t>
  </si>
  <si>
    <t>30/10/2018</t>
  </si>
  <si>
    <t>natasha-s-123073</t>
  </si>
  <si>
    <t>Sans avis pour le moment, j'espère pouvoir régler dans les prochaines heures un prélèvement frauduleux sur mon compte bancaire d'AVANSSUR sous couvert de Direct Assurance. Mon RIB va être utilisé frauduleusement pour un prélèvement au 12 juillet prochain. Je ne suis donc pas du tout contente forcément à cet instant de cet incident!!! Vérifiable sur plusieurs articles internet.</t>
  </si>
  <si>
    <t>caroleandco-78045</t>
  </si>
  <si>
    <t xml:space="preserve">Après une première bonne prise de contact par téléphone en février dernier pour assurer mon véhicule j'ai eu la désagréable surprise de me retrouver face à une mise en demeure  sans  aucune lettre de relance auparavant  le 12 juillet dernier  Celle ci me demande de payer l'intégralité de l'année  et ce sur un délai d'un mois   En effet  ayant eu des frais importants et imprévus sur le véhicule  les 2 derniers prélèvements ne sont pas passés  Sans aucun autre courrier  la mise en demeure est tombée avec obligation  de payer la totalité soit en carte bancaire soit en chèque  avec menace de suspension au 13 aout et résiliation 10 jours après  Ils ne prennent pas les espèces à l'agence  car absence de caisse   et impossibilité de fractionner la somme  Il faut payer tout d'un seul coup J'ai téléphoné au siège  comme à l'agence  ils ne veulent rien savoir   pas de fractionnement même dans le temps imparti   aucune écoute et compréhension  ils sont complètement butés et fermés  Il est facile de se  cacher derrière la mise en demeure alors que certains concurrents sont plus ouverts   du moment que vous payez  même en fractionnement  cela montre votre bonne foi  Étant agent de la fonction publique  j'avais vu qu'ils faisaient des assurances  et bien j'irai voir ailleurs puisque le discours est un monologue hermétique  Comme stipulé comme publicité cette assurance  est une valeur sûre sûre en quoi On se le demande. En attendant  j'ai voulu montré ma bonne foi en payant une fraction de la dette par carte bancaire et trouvé un arrangement pour le reste   ce qui m'a été refusé  Je ne manquerai pas de leur faire de la publicité et çà c'est sûr </t>
  </si>
  <si>
    <t>30/07/2019</t>
  </si>
  <si>
    <t>plaisance-s-138745</t>
  </si>
  <si>
    <t xml:space="preserve">POUR L'INSTANT JE SUIS ENTIEREMENT SATISFAIT ON VERRA LA SUITE , BONNE EXPLICATION ET TRES BON CONTACT AVEC L'ASSUREUR, JE RECOMMANDE 
MERCI DE VOTRE PROFESSIONNALISME </t>
  </si>
  <si>
    <t>02/11/2021</t>
  </si>
  <si>
    <t>dominique-s-111438</t>
  </si>
  <si>
    <t>Excellent accueil téléphonique, et réactivité pour un sinistre. On a été rappelés très rapidement après la déclaration. 
Prix compétitifs pour être bien assuré.</t>
  </si>
  <si>
    <t>gilus-102084</t>
  </si>
  <si>
    <t>rapide et pratique, formulaire clair et sans bugs,on va direct au paiement et l'assurance démarre,pas trop d'astérisques et petites lignes cachées c'est clair et direct (enfin j'espère...)</t>
  </si>
  <si>
    <t>juliedu56-77328</t>
  </si>
  <si>
    <t>En arrêt maladie depuis le 7 mai je n'ai toujours rien perçu en complémentaire santé.. vous appellez personne ne vous renseigne on vous laisse vous débrouillez inadmissible!!</t>
  </si>
  <si>
    <t>04/07/2019</t>
  </si>
  <si>
    <t>emilie-b-124997</t>
  </si>
  <si>
    <t xml:space="preserve">Ravie de la rapidité à laquelle on peut être assuré.
Je n'ai pas trouvé meilleur rapport qualité/prix. 
Je conseillerai Direct Assurances à mon entourage. </t>
  </si>
  <si>
    <t>edouard-54301</t>
  </si>
  <si>
    <t xml:space="preserve">INADMISSIBLE : Suite au décès de mon père l'année dernière, CARDIF s'est mis en relation avec mon notaire et a demandé des informations complémentaires. Dossier complété et rendu fin décembre en spécifiant la demande de rachat du bon de capitalisation et depuis CARDIF ne veut pas libérer le compte ni transmettre d'information par téléphone ne serait-ce que sur le statut du dossier. "On vous rappellera ...".
J'ai rempli le dossier de réclamation sur le NET mais j'ai peu d'espoir., surtout quand on voit la mention : "Notre service qualité réclamations s'engage à vous apporter une réponse dans les meilleurs délais et au plus tard dans les 2 mois suivant la réception de votre courrier." très particulière je trouve cette relation client : jusqu'à 2 mois il n'y a rien à reprocher !
Etant entrepreneur si je précisais cette mention lors d'un contrat de service je pense que j'aurais fait faillite depuis longtemps.
</t>
  </si>
  <si>
    <t>ayrton-b-110720</t>
  </si>
  <si>
    <t xml:space="preserve">Très bien je vous remercie pour sa 
Merci merci merci beaucoup je suis content de ne pas payer chère merci beaucoup à vous de faire confiance 
Encore merci </t>
  </si>
  <si>
    <t>sophie-68782</t>
  </si>
  <si>
    <t>Je perçois 200 euros par mois en allocation de solidarité spécifique. Je veux résilier ma mutuelle car je ne peux plus payer. Cette mutuelle refuse au titre que je ne veux pas résilier pour un des motifs prévus dans leurs conditions générales.
Cette mutuelle me coute 65 euros par mois pour un revenu de 200 euros par mois.</t>
  </si>
  <si>
    <t>21/11/2018</t>
  </si>
  <si>
    <t>yann-v-110764</t>
  </si>
  <si>
    <t>Je suis satisfait des services, mais pour ce qui est de l'augmentation c'est trop cher pour moi car je suis en situation précaire au niveau de mon travail. Donc j'ai préféré changer d'assurance qui eux sont beaucoup moins cher.</t>
  </si>
  <si>
    <t>zane-60052</t>
  </si>
  <si>
    <t>Pas bons du tout !! de mauvaise foi, aucun sens du commerce et de très mauvaises fois en cas d'indemnisation. Surtout ne pas souscrire avec eux !</t>
  </si>
  <si>
    <t>30/12/2017</t>
  </si>
  <si>
    <t>emmanuel-g-125647</t>
  </si>
  <si>
    <t>Je suis satisfait du prix non exageré et des conditions 
J'espére que les protections d'assurances seront a la hauteur.
Merci.
Bien cordialement.
Emmanuel GENEAU</t>
  </si>
  <si>
    <t>christine--n-111317</t>
  </si>
  <si>
    <t>Je suis satisfait du service. Mais pourquoi être obligé de donner mon avis ? Cela me prend plus d'une minute... Et je constate qu'il faut mettre au moins 150 caractères...</t>
  </si>
  <si>
    <t>joker-51462</t>
  </si>
  <si>
    <t xml:space="preserve">Quelle déception, et je compte bien me rétracter.J'ai souscrit mon assurance via lesfurets.com et j'ai bien entendu remplie toutes les cases et répondu à toutes les questions concernant le passif et le véhicule à assurer. Mon contrat est edité, je paie les 2 premiers mois par CB, et j'envoie mes documents dans la foulée par internet via la console centrale. 
Surprise, mon véhicule ne correspond pas à ma carte grise, et de plus la date indiqué pour la premiere mise en circulation n'est pas la bonne. Pourtant sur le site du comparateur j'ai bien indiqué première mise en circulation en juillet 2006, et achat en 2009.  Je contacte donc l'assurance car 4 jours après avoir envoyé mes documents le dossier est toujours en attente; et là on m'explique que j'ai mal déclaré, et que ça m'impute une augmentation de 41,98e en plus. Je ne comprends pas pourquoi on m'augmente le tarif alors que le véhicule est le même, et que d’après ce que je vois dans les commentaires je ne suis pas le seul à avoir eu un soucis de reprise de données par le site l'olivier de la part des comparateurs. Je m’étonne de l'augmentation et on me dit que c'est normal, et que c'est un tarif actuel, car mon véhicule est du coup plus ancien. N’étant pas convaincu je viens de refaire une simulation, pour le même véhicule, avec les mèmes données et surprise, le montant annuel ainsi que mensuel est moins cher. Je suis extrêmement déçu de la part de l'assureur, et je compte bien, me rétracter, et retourner chez mon ancien assureur. 
Vraiment déçu, alors que le contrat n'a même pas encore commencé!
</t>
  </si>
  <si>
    <t>19/01/2017</t>
  </si>
  <si>
    <t>jakarta-79170</t>
  </si>
  <si>
    <t>En cas de sinistre , le service suivi de gestion est totalement inefficace . Aucun suivi , quant à la gestion ? Des affirmations souvent fausses , voire
mensongères et des dossiers qui traînent</t>
  </si>
  <si>
    <t>13/09/2019</t>
  </si>
  <si>
    <t>polo-101004</t>
  </si>
  <si>
    <t xml:space="preserve">Les  augmentations successives des primes m’amènent à prospecter sur d’autres compagnies . Je n’accepterai aucunes augmentations pour  l’année 2021 faute de quoi je prendrais un contrat à une des deux sociétés d’assurances que j’ai prospecté 
</t>
  </si>
  <si>
    <t>05/12/2020</t>
  </si>
  <si>
    <t>jeremy-s-111910</t>
  </si>
  <si>
    <t>JE suis très satisfait de l'ntretien téléphonique que j'ai eu, les explications sont clair est rapides.
Les tarifs proposé sont intéréssants.
L'éfficacité est au rendez vous</t>
  </si>
  <si>
    <t>blase78-95033</t>
  </si>
  <si>
    <t xml:space="preserve">Suite à un cancer qui m'a laissé de lourdes sequelles j'ai été classée en invalidité 2e catégorie depuis le 01/01/2020. Cardif a missionné une expertise en octobre dernier soit 8 mois aprés ma mise en invalidité et bien entendu le confinement a bon dos. Maintenant j'attends depuis 6 semaines que l'on statut sur le dossier et que l'on m'envoie le rapport médical. Je recois un mail du traitement  de ma demande cette semaine. Aujourd'hui une blague au téléphone on me dis que le mail reçu est une erreur et que c'est le medecin expert qui n'a pas envoyé le rapport alors que le 26 octobre une autre conseillere me dis qu'elle l'a bien sous les yeux mais qu'il faut faire la demande d'envoi. Les conseillers sont incompétents.C'est INADMISSIBLE. </t>
  </si>
  <si>
    <t>26/11/2020</t>
  </si>
  <si>
    <t>charles44-107491</t>
  </si>
  <si>
    <t>Les prix augmentent tous les ans et deviennent moins compétitifs par rapport aux autres assureurs.Pour les mêmes risques j’ai trouvé moins cher ailleurs.J’avais aussi des avantages clients quI ont été supprimés à cause d’un bris de glace non responsable (2020).Après plusieurs contacts téléphoniques avec mon assureur sans aucun résultat de leur part ,Je viens donc de résilier 4 contras après 15 ans de fidélité. Aucun respect ni considération pour les bons clients(15 ans sans accident).</t>
  </si>
  <si>
    <t>wolff-54155</t>
  </si>
  <si>
    <t>L'absence complète de personalisation fait que cet assureur, assez cher malgré un prix d'appel initial bas, correspond aux clients ayant un risque particulier (surtout s'il rentre mal dans leur algorithme) mais penalise les clients sans histoires.
Ne peut convenir qu'aux personnes très rigoureuses (ou à des machines) : j'ai découvert que j'étais radié à mon retour de vacances, sans explication : il y a toujours un risque de se trouver privé d'assurance sans le savoir. Il faut donc éviter cet assureur pour couvrir des risques importants.</t>
  </si>
  <si>
    <t>fleursrose5222-74967</t>
  </si>
  <si>
    <t xml:space="preserve">Tres decue d interiale a lille traitement de dossier extrement long (j ai pris un contrat individuelle et c est pareil que les collectifs)
On ne peux pas parler au gestionnaire  on leur demande de rappeller ils ne rappelle pas 
Envoyer recommande au president d interiale ne vous reponds meme pas  aucun respect de l adherent </t>
  </si>
  <si>
    <t>11/04/2019</t>
  </si>
  <si>
    <t>nat-138324</t>
  </si>
  <si>
    <t>Tres satisfaite de mon interlicutrice sokhna qui m a guidee pas a pas pour acceder a mon compte pour faire ma demande par internet
Merci beaucoup pour sa patience
Téléconseillére au top</t>
  </si>
  <si>
    <t>marine-75892</t>
  </si>
  <si>
    <t xml:space="preserve">Je suis extrêmement déçu de cette mutuelle !! Nous y sommes depuis plusieurs années tant que tout ce passe bien tout ira mais dès que vous avez un soucis avec eux la les gros problèmes commencent ! Nous avons payé notre trimestre par virement bancaire depuis 3 mois mais sous prétexte qu'ils ne le trouvent pas nous n'avons plus de droits mais évidemment pour payer le 2 eme trimestre la on sais me contacter . Je fait des emails j'envoie les justificatifs j'appel mais rien tout est long aucune urgence a leurs yeux ! </t>
  </si>
  <si>
    <t>thierry-p-131826</t>
  </si>
  <si>
    <t>Les servicse et les prix sont très attractifs. Il reste à espérer que les prestations, la réactivité  et la disponibilité soient à la hauteur de mes attentes</t>
  </si>
  <si>
    <t>ras-59414</t>
  </si>
  <si>
    <t>Personnel en ligne Professionnel -  Accueil téléphonique TOP-Tarifs clairs; je recommande cet assureur sans aucune hésitation, en attente, toutefois des conditions du remboursement d'un éventuel sinistre !</t>
  </si>
  <si>
    <t>05/12/2017</t>
  </si>
  <si>
    <t>sylwood-95314</t>
  </si>
  <si>
    <t>Mon épouse vient de se voir "résiliée" sans autre communication qu'un recommandé après 20 ans chez Eurofil (enfin Aviva maintenant). Je suis en attente pour les joindre depuis maintenant 20 minutes….un premier contact téléphonique pour m'expliquer que je suis arrivé à l'acceuil car trop de monde appel, et je me retrouve à nouveau en attente depuis 10 mn.
Je confirme aussi l'extrème manque de respect des conseillers en ligne, je viens à l'instant d'avoir un espère de guignol qui me prends de haut et m'envoi valser avant de me basculer sur une personne tierce qui est encore moins commerciale.
Nous résilions dans l'instant, une compagnie à fuir.</t>
  </si>
  <si>
    <t>27/07/2020</t>
  </si>
  <si>
    <t>cristal2005-80719</t>
  </si>
  <si>
    <t>je suis a harmonie mutuelle dans le cadre de ses fameuses mutuelles d entreprises OBLIGATOIRE.j ai pas eu le choix de ma mutuelle .en date du 29 octobre 2019 je recois un courrier que depuis le 1er septembre2019 je ne suis plus assuréé car mon entreprise a eu un changement de gérant.pourtant au niveau de l entreprise un conseiller de chez harmonie ses deplacé sur mon lieu de travail mi-octobre pour voir avec la gérante et moi la reconduction de mon contrat.la conseillère a bien pris  mon rib et par email je lui ai envoyé autorisation de prèlevement.d ou ma surprise d avoir recu se courrier .j appelle harmonie personne ne peut me renseigner toute le monde s en fout.ou je trouve que c est du n importe quoi je les avaient appelé courant septembre pour un renseignement concernat un devis dentaire et la personne ne ma dis que ma mutuelle etais arreté.chercher l erreur.on m impose une MUTUELLE et pourquoi c est moi qui galère.</t>
  </si>
  <si>
    <t>05/11/2019</t>
  </si>
  <si>
    <t>laura-53628</t>
  </si>
  <si>
    <t>Très déçue. Certes, ce n'est pas cher. Par contre, tentative de vol puis voiture volée, DA ne m'assure plus! En outre, il faut se battre pour obtenir remboursement! Ils avaient oublié 500 Euros  sur la valeur de la voiture! Je suis toujours en pourparlers pour obtenir remboursement des accessoires volés avec le véhicule (qui sont remboursés dans un forfait de 460 euros )normalement .</t>
  </si>
  <si>
    <t>27/03/2017</t>
  </si>
  <si>
    <t>mohand-h-110970</t>
  </si>
  <si>
    <t>opératrice au téléphone très courtoise et patiente . les prix sont satisfaisants. le service est rapide bien expliqué. je remercie Direct assurance de m'accepter comme client. et je le conseille a mes proches famille , amis et collègues.</t>
  </si>
  <si>
    <t>patrice-v-132674</t>
  </si>
  <si>
    <t xml:space="preserve">Je suis sastifait de votre assurance  pour ma voiture je vous envoie les papiers de que possible je travail la nuit et je vais me mettre en route merci </t>
  </si>
  <si>
    <t>13/09/2021</t>
  </si>
  <si>
    <t>mona-68712</t>
  </si>
  <si>
    <t>Je n'ai jamais vu une aussi mauvaise mutuelle de toute ma vie. Ils perdent tout le temps les documents, nous renvoie les bulletins d'affiliation, mettent 3 ans à répondre quand ils ne donnent pas de fausses infos</t>
  </si>
  <si>
    <t>18/11/2018</t>
  </si>
  <si>
    <t>ali-n-127760</t>
  </si>
  <si>
    <t xml:space="preserve">Très professionnels, très facile à souscrire, rapport qualité prix excellent, je vous conseille direct assurance, merci pour votre professionnalisme cordialement </t>
  </si>
  <si>
    <t>mamiejo30-106543</t>
  </si>
  <si>
    <t>Il n'y a que le prèlèvement automatique qui fonctionne encore (au début, débité 2 fois et remboursement pas avant 2 mois), j'attends une réponse à un devis dentaine depuis...3 mois. rien ne fonctionne. de très nombreuses erreurs, jusqu'à se tromper en omettant le n° de sécu du conjoint (d'où rejet de dossier). J'ai l'impression d'avoir un mur en face de moi !</t>
  </si>
  <si>
    <t>pepounnette-67534</t>
  </si>
  <si>
    <t>Pas eu le temps de tester leurs prestations, cela s'est arrêté avant le départ du contrat car ils ont refusé de me fournir les détails de calcul de la 1ère facture, de plus ils ont présenté un prélèvement avant la date de début de contrat avant que j'aie retourné le contrat signé! Un très mauvais faux départ. Heureusement j'ai échappé à la suite. Je dois préciser qu'ils m'ont envoyé sur les roses malproprement en tentant de me culpabiliser sous le prétexte que je ne leur faisais pas confiance, et que je pouvais aller voir ailleurs (où est le respect du client et de ses droits?)</t>
  </si>
  <si>
    <t>bayoude-53803</t>
  </si>
  <si>
    <t xml:space="preserve">Incompétent, erreurs sur les contrât 2 fois de suites avec une attente d un mois pour élaborer un contrat.
Je vous parle pas du Temps d Attente au téléphone .
On etait à Allianz Lorette c était un cauchemar </t>
  </si>
  <si>
    <t>03/04/2017</t>
  </si>
  <si>
    <t>patricia-c-114779</t>
  </si>
  <si>
    <t>je suis très satisfaite du service, c'est rapide, facile a comprendre, vous proposé d'autres contrats, c'est très bien.
A l'échéance de mon autre véhicule je compte l'assuré chez vous</t>
  </si>
  <si>
    <t>25/05/2021</t>
  </si>
  <si>
    <t>duwez-a-121250</t>
  </si>
  <si>
    <t>site  explicite , adhésion  facile les prix sont très attractifs 
Par contre la navigation et largement plus longue que les 5 minutes annoncés pour remplir les formulaires</t>
  </si>
  <si>
    <t>anouar-l-134530</t>
  </si>
  <si>
    <t xml:space="preserve">Je suis très satisfait du servic Direct Assurance  Les prix me convient… simple et pratique Je recommande Direct Assurance à ma famille et à mes amis efficace pratique </t>
  </si>
  <si>
    <t>25/09/2021</t>
  </si>
  <si>
    <t>armony-melany-b-134474</t>
  </si>
  <si>
    <t xml:space="preserve">Je suis très satisfaite des prestations que vous me proposez, service rapide et bien détaillé ! 
Et prix très intéressant comparer à mon ancienne assurance auto ! </t>
  </si>
  <si>
    <t>philippe-r-108162</t>
  </si>
  <si>
    <t>Satisfait depuis 2012, je change néanmoins d'assureur, vos cotisations augmentant chaque année de 40 à 50euros;ce qui est beaucoup, vous en conviendrez - Mon nouvel Assureur PACIFICA me fait un tarif TTC de 392,27euros contre 510euros chez vous en 2020 (Mêmes garanties !)-même véhicule.</t>
  </si>
  <si>
    <t>melinda-88964</t>
  </si>
  <si>
    <t>Je ne conseille pas du tout cette assurance. Tant que vous n'avez pas de sinitre et que vous êtes à jour dans vos mensualités, tout va pour le mieux. Mais dès lors que vous rencontrez une difficulté dont vous n'êtes pas responsable (même après 13 ans d'ancienneté sans sinistre), la Macif vous envoie ses experts très bien entraînés à ne pas vous indemniser, alors qu'ils sont censés vous venir en aide et vous conseiller (voir le site des experts Eurexo). Je suis très déçue de la Macif et dubitative quant à leurs valeurs solidaires??!!</t>
  </si>
  <si>
    <t>17/04/2020</t>
  </si>
  <si>
    <t>mathieu-j-111302</t>
  </si>
  <si>
    <t>Franchise élevée,  mauvais suivi des dossiers, et contact avec la plateforme tres compliqué car pas en france, et ne prenne pas en compte les courriers que nous leur adressons.
Je ne recommanderai vraiment pas cette assurance autour de moi.</t>
  </si>
  <si>
    <t>24/04/2021</t>
  </si>
  <si>
    <t>razvi-113262</t>
  </si>
  <si>
    <t xml:space="preserve">La pire assurance sur le marché. À cause de la crise, j'ai tout perdu. Financièrement j'ai pu payer la mensualité et direct assurance avait résilié mon contrat même si nous avons eu des conversations téléphoniques. En plus ils m'ont demandé de rembourser la cotisation sur un an complet. La mafia française. A éviter </t>
  </si>
  <si>
    <t>nonsatisfait-60582</t>
  </si>
  <si>
    <t>DIMINUE EN DOUCE LES GARANTIES AFIN DE PROPOSER UN TARIF COMPETITIF.
ON NE S'EN APERCOIT QUE LORSQU'IL Y A UN SINISTRE.
PAS DE DIALOGUE.</t>
  </si>
  <si>
    <t>17/01/2018</t>
  </si>
  <si>
    <t>nabil-a-106155</t>
  </si>
  <si>
    <t>Je suis satisfait du service. 
J'aurai aimé cependant bénéficier d'une remise car je suis dorénavant nouveau client.
Site simple et ludique pour faire les démarches</t>
  </si>
  <si>
    <t>christophe-51245</t>
  </si>
  <si>
    <t>au début rien à dire puis viens le temps de la résiliation et la cela fait 1 mois et 10  jours que j attend comment transformer un client satisfait en client perdu j ai attendu 28 minutes pour entendre dire le virement a ete fait le 5/01 bizarement j appel le 8/01 et le 13/01 toujours rien</t>
  </si>
  <si>
    <t>marie5885-64797</t>
  </si>
  <si>
    <t xml:space="preserve">Clair dans les explications, besoins bien cernés </t>
  </si>
  <si>
    <t>15/06/2018</t>
  </si>
  <si>
    <t>aurelien-r-109765</t>
  </si>
  <si>
    <t>Je suis satisfait des tarifs et des services, mais étant déjà client je trouve pas normal que nous devons tous réinscrire permis ! date de validité 
! bonus !! alors que vous disposez de tous ces documents, se serait plus simple de mettre à jour votre base de données grâce au numéro client !!! Cordialement Aurélien.</t>
  </si>
  <si>
    <t>09/04/2021</t>
  </si>
  <si>
    <t>batmunkh-s-125344</t>
  </si>
  <si>
    <t xml:space="preserve">Plutôt satisfait même si une procédure longue, de beaux modèles et d’honorables vendeurs, c’est par la suite si, dans le meilleurs des cas sera satisfait ou non de cette assurance </t>
  </si>
  <si>
    <t>alex-57973</t>
  </si>
  <si>
    <t>majoration malus de la prime On me dit sinistre responsable en avril 2018 déclaré juin 2018 je nai jamais déclaré de sinistre ni eu d'accident leur demande copie du constat signé  j'attends 15 dps jrs</t>
  </si>
  <si>
    <t>25/10/2018</t>
  </si>
  <si>
    <t>nadia-c-138323</t>
  </si>
  <si>
    <t xml:space="preserve">Le conseiller a été parfait
il su me renseigner tres precisement.sur la couverture de l'assurance
il a su me conseiller selon mes habitudes de deplacements </t>
  </si>
  <si>
    <t>fbnlrd-115891</t>
  </si>
  <si>
    <t xml:space="preserve">Pas de remboursement depuis 3 mois. Relances multiples par téléphone et mail, pas de retour. Après 2 mois mail reçu indiquant  contrat en contentieux. Appel confirmant une erreur de gestion interne. Dernière relance , l'interlocuteur raccroche. </t>
  </si>
  <si>
    <t>emilie-b-126728</t>
  </si>
  <si>
    <t>Je suis satisfait sur la rapidité, et votre sérieux . Je recommande direct assurance à mon entourages. Super prix et offres sur différents contrat assurances.</t>
  </si>
  <si>
    <t>05/08/2021</t>
  </si>
  <si>
    <t>daniel--99064</t>
  </si>
  <si>
    <t>Très professionnel tarifs raisonnables et conseillers toujours à l’écoute. Il est toujours hasardeux de prendre une assurance via internet mais avec AMV j’ai été tout de suite en confiance et je ne le regrette pas.</t>
  </si>
  <si>
    <t>robert-b-113288</t>
  </si>
  <si>
    <t xml:space="preserve">Je suis satisfait des propositions données, bonne réactivité, difficultés pour se faire comprendre par un agent soit qui ne parle pas bien notre langue , soit par un matériel de télécommunications de pas très  bonne qualité, autrement les choses se sont plutôt bien passées  </t>
  </si>
  <si>
    <t>celine-b-110111</t>
  </si>
  <si>
    <t>Très satisfaite du service : en cas de litige, rapidité et efficacité constatées pour la gestion du sinistre.
Cartes vertes envoyées à l'avance ; service appréciable.</t>
  </si>
  <si>
    <t>jeremy-r-105248</t>
  </si>
  <si>
    <t>Nous avons payé un contrat auto qui était en réalité un doublon du contrat que nous avions déjà, notre voiture FIAT 500 n'était donc pas assurée sur une longue période, sauf que les cotisations ont bien été prélevées deux fois pour un même véhicule le FIAT 500.
Nous restons dans l'attente du retour de votre service pour obtenir le remboursement des cotisations relatives à cette erreur.</t>
  </si>
  <si>
    <t>verraleweck-106523</t>
  </si>
  <si>
    <t>A la souscription du contrat mutuelle, on vous colle une assurance décès sans précision sur la durée de contrat et la résiliation possible, et quand vous résiliez le contrat de mutuelle, on vous oblige à continuer l'assurance décès car les modalités de résiliation sont différentes, donc vous êtes repartis pour un an, grosse tromperie...
Suivi déplorable et communication nulle, à fuir...</t>
  </si>
  <si>
    <t>sebastien-99365</t>
  </si>
  <si>
    <t>Ils ne reçoivent jamais les recommandé de résiliation. On a beau leur dire et écrire 6 mois à l avance ils osent dire que un n ont rien reçus. Impossible de les joindre.</t>
  </si>
  <si>
    <t>29/10/2020</t>
  </si>
  <si>
    <t>julie-h-124451</t>
  </si>
  <si>
    <t xml:space="preserve">Je suis tres satisfaite du service et le recommande fortement. C est tres simple d utilisation et l equipe et tres efficace. Tres bon service et reactivite </t>
  </si>
  <si>
    <t>torres-s-130546</t>
  </si>
  <si>
    <t xml:space="preserve">Troisième contrat que je souscris avec l’olivier, toujours satisfait. Il y a quelques années j’ai été confronté à un sinistre et tout s’est parfaitement déroulé </t>
  </si>
  <si>
    <t>angefabie80-56836</t>
  </si>
  <si>
    <t>Mon père se fait assurer, il explique les pbs qu il a eu et ce matin car on a osé demandé la résiliation du contrat aidé juridique (qu il n a jamais voulu) ils lui résilient son assurance. C est vrai que c est la faute de mon père qui est dans son canapé si la factrice a défoncé son coffre</t>
  </si>
  <si>
    <t>askeur-i-113765</t>
  </si>
  <si>
    <t>Parfait, 
Super offre, je recommande pour tout mes collègues au boulot et mes amis.
Continuer comme ça.
Je vais la partager sur mes réseaux sociaux et partout</t>
  </si>
  <si>
    <t>15/05/2021</t>
  </si>
  <si>
    <t>s-freneat-56125</t>
  </si>
  <si>
    <t xml:space="preserve">après une tempête des tuiles du toit et le portail se sont envolés. impossible de contacter par téléphone sogessur et quand j'ai réussi un expert devait me contacter voila  11 jours que j'attends mon mari a été obligé de prendre une journée de vacance et on a réparé le toit nous mème :achat de tuiles , évacuation des tuiles cassés et pose pour ne pas que notre maison prennent l'eau pour le portail on sait pas!
il y a plein de cambriolage et je ne me sent même pas en sécurité. </t>
  </si>
  <si>
    <t>20/07/2017</t>
  </si>
  <si>
    <t>charles-henri-d-125906</t>
  </si>
  <si>
    <t>Le prix me convient le site et simple d'utilisation. Un plus tout est tres clair en espérant ne pas être dessus par la suite. Merci pour la facilité d'acces</t>
  </si>
  <si>
    <t>gasiglia-t-123051</t>
  </si>
  <si>
    <t>Simple et efficace, le temps d'attente n'est pas trop long
Devis rapide et contrat immédiat
Accueil de qualité, les explications sont claires et les options sont conseillées mais pas imposées</t>
  </si>
  <si>
    <t>celc7-89172</t>
  </si>
  <si>
    <t>Un service client déplorable. Il a fallu trois mois pour rattacher mon enfant à mon compte, j'ai dû avancer SS et mutuelle pendant ce temps (des centaines d'euros), cela aurait pu être très difficile pour certains et mettre à mal la santé de leur enfant. Et encore cela a été fait car j'ai rappelé 3 fois ! Mes courriers ne sont jamais traités (perdus ? vu le prix du timbre ça ne vaut pas le coup!). J'ai écrit un courriel à la directrice de ma section LA, je n'ai jamais eu de réponse de sa part. Communication à revoir et gestion des dossiers</t>
  </si>
  <si>
    <t>27/04/2020</t>
  </si>
  <si>
    <t>moalacanau-117316</t>
  </si>
  <si>
    <t xml:space="preserve">victime d’une déchirure de liner de piscine( vieux d’une grosse année) par un tier je suis sidéré par la tournure des choses, en effet je m’explique: je suis sociétaire à l’assurance maif depuis 35 ans et j'apprend  hier que pour pouvoir faire intervenir un remboursement certainement partiel de mon préjudice qui s’élève à 380€(prix du liner neuf) un expert a été mandaté par mon assurance pour expertisé une déchirure de liner et qu’un expert de l’assurance adverse pourrait aussi se déplacer c’est la procédure. j’habite à 60 km de bordeaux en bord de mer et  je vais donc pour avoir demandé cette prise en charge déclencher des frais d’expertise d’une valeur bien supérieure à la pièce endommagée.Mais heureusement que des experts bien formés vont pouvoir justifier que c’est bien une déchirure car la déclaration sur l’honneur faite par les deux parties pourraient être remise en cause par avis d’expert.
Je suis désolé pour tous les sociétaires qui vont devoir payé cette mascarade !
si vous avez de l’argent à dépenser de cette manière c’est que vous pourriez plus sérieusement baisser nos mensualités vous ne croyez pas?.
</t>
  </si>
  <si>
    <t>17/06/2021</t>
  </si>
  <si>
    <t>alexandre-c-113477</t>
  </si>
  <si>
    <t>Le service client est très réactif et efficace mais je me suis rendu compte que la concurrence pratique des tarifs beaucoup plus avantageux surtout quand on assure plusieurs véhicules .</t>
  </si>
  <si>
    <t>emmac-91411</t>
  </si>
  <si>
    <t xml:space="preserve">2 mois que je relance à envoyer des messages sur le site internet pour avoir a une question, n'ayant pas que ca a faire que d'essayer de téléphoner, on est en 2020, arrêter d'obliger les gens a perdre leur temps par téléphone quand répondre à un mail prend quelques secondes bien souvent. </t>
  </si>
  <si>
    <t>18/06/2020</t>
  </si>
  <si>
    <t>cussenot-r-131488</t>
  </si>
  <si>
    <t>satisfaite du prix, j'espère juste n'avoir jamais besoin de vos services, comme ce fut le cas jusqu'a aujourd'hui dans n'importe quel autre assurance.</t>
  </si>
  <si>
    <t>frederique-b-112134</t>
  </si>
  <si>
    <t xml:space="preserve">Je suis ravie des prestations de cet organisme de sécurité, je suis en toute confiance. et en sécurité. je suis confiante et en toute sécurité. Merci à vous </t>
  </si>
  <si>
    <t>29/04/2021</t>
  </si>
  <si>
    <t>vero-117422</t>
  </si>
  <si>
    <t>tarif qui n'est pas bon marché , personnel pas toujours sympa  et conciliant , en cas de pépin c'est sérieux , ne font pas d'effort financier pour conserver leurs clients</t>
  </si>
  <si>
    <t>lanrody-139210</t>
  </si>
  <si>
    <t xml:space="preserve">Problème de remboursement pour les frais dentaire, j'ai changer de Mutuelle qui a résilié cette assurance et aujourd'hui il me relance pour que je puisse remettre la télétransmission sur mon compte Ameli, il n'ont pas tenu compte de la résiliation, donc Mutuelle a fuir au plus vite
cordialement
le retraité qui s'est fait berné </t>
  </si>
  <si>
    <t>delphine-l-125363</t>
  </si>
  <si>
    <t>Je suis satisfaite du service GMF assurance. Réactivité, prix, facilité à avoir les informations, fluidité du site internet qui est clair et facile d'utilisation.</t>
  </si>
  <si>
    <t>mayline-122532</t>
  </si>
  <si>
    <t>Si une mutuelle est à fuir, c'est bien celle-là ! Exiger une facture acquittée pour un remboursement de tiers-payant chez un praticien est pour le moins excessif et abusif !
Attendre 15 jours à 3 semaines minimum pour un simple remboursement de consultation de tiers-payant entre autres est inimaginable, même dans la plus mauvaise des mutuelles.
Si vous cherchez une mutuelle SURTOUT ne prenez pas CEGEMA !
1 étoile est 1 étoile de trop, si il existait des étoiles en moins je mettrais le maximum d'étoiles en moins !!
Inutile de rajouter que je déconseille TRES TRES VIVEMENT cette mutuelle ! Très cher pour les services qu'on est en droit d'exiger et qu'on n'a pas ! Fuyez-les comme la peste !! Merci de votre attention !</t>
  </si>
  <si>
    <t>znf-99915</t>
  </si>
  <si>
    <t>La MACIF me radie (assurance auto) sans m'informer, en pleine période de confinement et de couvre-feu, et refuse de délivrer la carte verte pour une formalité oubliée alors même que mon véhicule est à la fourrière! Aucun sens de la relation client ni aucune indulgence. Ne vous trompez pas, ils ne vous rateront pas!</t>
  </si>
  <si>
    <t>09/11/2020</t>
  </si>
  <si>
    <t>ait-ben-ali-n-117551</t>
  </si>
  <si>
    <t xml:space="preserve">Le prix me convient pas mais je suis globalement satisfait des options choisis. Je recommederai l'olivier assurance sans soucis. Bientôt la perfection 
</t>
  </si>
  <si>
    <t>rere74-90922</t>
  </si>
  <si>
    <t>Je cherche la meilleure assurance qualité prix. Ceci correspond à ma premiere recherche. Le tarif semble similaire à mon assurance actuelle. A voir......</t>
  </si>
  <si>
    <t>15/06/2020</t>
  </si>
  <si>
    <t>alain38-56618</t>
  </si>
  <si>
    <t>Lolivier assurance est censé m'avoir envoyé une carte provisoire par mail. Pas de pièce-jointe dans le mail donc pas de carte provisoire.
Malheureusement, mon contrat 1080169302 semble effectif mais je n'ai aucune attestation pour le prouver.</t>
  </si>
  <si>
    <t>16/08/2017</t>
  </si>
  <si>
    <t>abdelkrim-d-130470</t>
  </si>
  <si>
    <t>Je suis satisfait du service les prix me conviennent  Simple et pratique Je suis très heureux de pouvoir trouver une assurance pour mon futur véhicule et de démarrer un nouveau partenariat avec direct assurance Entre le travail et la maison je vais trouver du plaisir à conduire mon véhicule Renault Clio</t>
  </si>
  <si>
    <t>floury-g-122039</t>
  </si>
  <si>
    <t>Le conseiller au téléphone est au top et très explicatif .Concernant cette assurance le prix est  très correcte et a voir et a tester lors de problème ou d accident  .</t>
  </si>
  <si>
    <t>fabien-d-130329</t>
  </si>
  <si>
    <t>Service impeccable, fluide et très simple pour réaliser un devis et pouvoir souscrire au contrat dans la foulée. Pas de harcèlement de la part de vos conseillers !</t>
  </si>
  <si>
    <t>richard-d-111839</t>
  </si>
  <si>
    <t>Je suis satisfait de Direct assurance .Le service client est très réactif .Je n'ai jamais eu de sinistre  mais les prix sont très attractifs .Merci a vous</t>
  </si>
  <si>
    <t>cdavid-72090</t>
  </si>
  <si>
    <t>a ce jour je suis assuré depuis vingt ans a la macif
j'ai subi un sinistre le 9/12/2018 sur  mon camping car ,un mur luiest tombé dessus
bilan de l'operation depuis 3 mois la macif ne fait rien et je ne peux pas utiliser mon bien
alors que je suis assuré tous risque et que le mur incriminé appartien a la société qui gardienne mon vehicule
les reparations se montent aujourd'hui a 40000 euroset je suis privé de l'utilisation de mon bien a cause de leur incompétence ou leur desir de faire trainer les choses</t>
  </si>
  <si>
    <t>12/03/2019</t>
  </si>
  <si>
    <t>lucke-52337</t>
  </si>
  <si>
    <t>pas satisfait cela fait 4 mois que j'attend pour recevoir ma carte verte j'ai envoyé tous les document necesaire en recomendé avec accusé de reception preuve en main il dise ne rien avoir recu j'envoie donc par mail reponse de le par on a recu que la copie de votre permis cote verso j'ai donc rapellé 15 minute pour avoir une personne me demandent de renvoyé les document ce que j'ai fais et toujour rien donc je ne ces meme pas si je suis assuré mes pour prendre l'argent sur mon compte ca ils on su</t>
  </si>
  <si>
    <t>12/02/2017</t>
  </si>
  <si>
    <t>elfe-43095</t>
  </si>
  <si>
    <t>Ne surtout pas souscrire à cette "pseudo" assurance. J'ai un contrat obsèques qui s'appelle plan quiétude, souscrit en 2010 pour lequel à la souscription j'avais un capital garanti en cas d'accident de 12420 euros. J'ai reçu dernièrement un relevé de situation qui m'indique que ce capital est désormais de 8000 euros, alors que je paye toujours la même cotisation mensuelle. Bien entendu, impossible de joindre le numéro de téléphone surtaxé pour demander une explication, tout comme il n'y a pas de réponse aux mails envoyés à leur pseudo service client, alors qu'ils s'engagent à vous répondre dans les 4 jours. Je ne comprends pas comment des personnes peuvent, sans scrupule, travailler pour cette société sans foi ni loi. Par ailleurs il est inutile de se rendre dans une agence "physique" pour tenter d'obtenir une réponse, l'interlocuteur n'ayant d'égal à son arrogance que son incompétence. Il me reste à résilier ce contrat avec à la clé une perte significative au regard de la valeur de rachat par rapport aux cotisations versées.
Fidèle adhérent de l'association UFC que choisir, je les informe de l'indélicatesse et du dol de cette assurance.</t>
  </si>
  <si>
    <t>29/03/2017</t>
  </si>
  <si>
    <t>pille-e-134283</t>
  </si>
  <si>
    <t>Je suis satisfaite des garanties que m'offre L'Olivier assurance, ainsi que du prix, le devis et la mise en place du contrat a été très simple et fluide.</t>
  </si>
  <si>
    <t>agnesdom-53717</t>
  </si>
  <si>
    <t>Très bonne compagnie jerecommende gens agréable au téléphone comme par mail aucun soucis jusqu'à présent rapidités pour avoir ma carte verte définitive donc aller y et c est pas cher</t>
  </si>
  <si>
    <t>30/03/2017</t>
  </si>
  <si>
    <t>nienie-60511</t>
  </si>
  <si>
    <t>Mercer est mon assureur imposé par ma boite mais le service est déplorable. Plus d'un mois et demi pour obtenir le remboursement suite à une hospitalisation, alors que la demande de prise en charge avait été faite en amont. 
A tous les employeurs, je vous déconseille vivement cette mutuelle. De plus le contact téléphonique est payant meme pour les adhérents.... Lamentable</t>
  </si>
  <si>
    <t>15/01/2018</t>
  </si>
  <si>
    <t>nora-52096</t>
  </si>
  <si>
    <t xml:space="preserve">lors d'une déclaration de sinistre alors que je n'étais absolument pas fautive le conseillé à commencé à me poser des questions personnelles qui n'avait rien avoir avec l'accident, je me suis donc permise de demander poliment quel était le rapport....et la je me fait remballer en me disant que si je suis pas contente je pouvais aller voir ailleurs en gros....maintenant ça fait 10 jours que j'envoie des mails pour savoir où ça en est et je n'ai toujours pas reçu de réponses et quand mon mari appel ils ne veulent pas lui répondre en prétextant que le contrat est a mon nom. 
En attendant je suis obligée de rouler avec une voiture démolie et pas sécurisée pour mes enfants car la portière arrière se ferme très mal voir pas du tout.
Je trouve ça vraiment dommage car jusqu'à maintenant j'étais contente de cette assurance 
</t>
  </si>
  <si>
    <t>06/02/2017</t>
  </si>
  <si>
    <t>em-128190</t>
  </si>
  <si>
    <t>Service minable, tout est fait pour ne pas vous indemniser même si vous êtes en tous risques, une honte, je regrette sincèrement d'avoir été assurée chez eux , ils feront tout pour ne pas vous indemniser. Fuyez .....</t>
  </si>
  <si>
    <t>florian-g-115561</t>
  </si>
  <si>
    <t>Impossible de vous joindre, c'est scandaleux, même ma banque ne réussie pas à vous joindre, je n'en resterai pas à ces quelques mots, résiliation impossible à faire même avec la loi Hamon.</t>
  </si>
  <si>
    <t>jiga59-66363</t>
  </si>
  <si>
    <t xml:space="preserve">Depuis 10 jours je suis en communication avec le service sinistre( non responsable) et à chaque communication j'ai une réponse différente.Et toujours aucune solution à mon problème.  </t>
  </si>
  <si>
    <t>le-doze-y-114416</t>
  </si>
  <si>
    <t>site pas fluide au niveau de la signature des documents et de l'accès au bas de page et dommage qu'il n'y est pas d'application mobile pour simplifier les démarches</t>
  </si>
  <si>
    <t>aline--b-121132</t>
  </si>
  <si>
    <t xml:space="preserve">Je suis satisfaite dans l'ensemble des services rendus. Sauf que les voitures vendues figurent encore sur le contrat même si elle n'est pas soumise au paiement de l'assurance.
</t>
  </si>
  <si>
    <t>fanfanjiji-137856</t>
  </si>
  <si>
    <t xml:space="preserve">Je remercie Ouijdane pour l'attention portée à ma demande je lui mets un 5 sur 5 j'espère que cela lui sera bénéfique 
Quant à l'assurance j'ai eu une divergence de compréhension  qui n'a pas trouvé de solution 
 Il est très difficile de ne communiquer que par téléphone </t>
  </si>
  <si>
    <t>20/10/2021</t>
  </si>
  <si>
    <t>athmos-53151</t>
  </si>
  <si>
    <t>Résiliation par loi Hamon dans les délais. Prélèvement de l'échéance effectué alors que le contrat est résilié (accusé de réception de Olivier Assurances)</t>
  </si>
  <si>
    <t>10/03/2017</t>
  </si>
  <si>
    <t>joel-t-124779</t>
  </si>
  <si>
    <t>simple et rapide tout peut se faire par internet cela facilite les démarches.
service client au top
rien à redire
satisfait d'être client depuis longtemps</t>
  </si>
  <si>
    <t>barbou-n-123240</t>
  </si>
  <si>
    <t xml:space="preserve">Je suis satisfait de l’échange avec  l’équipe et des informations au sujet du devis de mon véhicule et du choix de cette assurance. Je recommanderais cette assurance.
</t>
  </si>
  <si>
    <t>bebert-60-99067</t>
  </si>
  <si>
    <t xml:space="preserve">suite a un sinistre , la prise en charge de ma moto par le dépanneur a été rapide et efficace , la gestion de mon dossier également . le seul petit reproche    , je n'ai pas été prévenu du remboursement ni par amv ni par le garagiste BMW  </t>
  </si>
  <si>
    <t>flobert-89082</t>
  </si>
  <si>
    <t xml:space="preserve">Catastrophique!
Mutuelle horriblement chère pour les remboursements fournis. Cela fait 20 ans que je suis chez eux, jamais un rhume. Et la, au premier problème, la mutuelle se défausse en arguant de pseudos conditions. Obligé de faire une longue liste de courriers. Si le service d'assistance aux mutualisés était correct, on pourrais estimer que le prix vaut la chandelle. Et bien non, pour la MGEN, la seule bonne chose à faire est d'encaisser un maximum, tout en remboursant un minimum. Ce n'est plus une Mutuelle, c'est devenu une BANQUE!
J'espère rapidement pouvoir suspendre mon adhésion pour aller chez une autre mutuelle, qui je l'espère ne sera pas là pour juste encaisser mes cotisations, et se retirer au moment où l'on en a besoin!!
Sincèrement, prenez vos jambes à votre coup, et FUYEZ!!!
</t>
  </si>
  <si>
    <t>gomado-a-137981</t>
  </si>
  <si>
    <t xml:space="preserve">Je suis satisfaite du service et j'espère ne pas être déçu d'avoir souscrire chez olivier assurance. Vos conseillers ont été efficaces patients et surtout à l'écoute </t>
  </si>
  <si>
    <t>angelin-88321</t>
  </si>
  <si>
    <t>Parfait quand tout vas bien !</t>
  </si>
  <si>
    <t>prototype-101904</t>
  </si>
  <si>
    <t>Il ne m'a pas fallu 5 ans mais qu'un mois pour évaluer le manque de sérieux de mutuelle à laquelle j'ai dû souscrire par le biais de l'entreprise dans laquelle je travaille.
Au bout d'un mois (que j'ai déjà payé) je ne dispose toujours d'aucun justificatif, pas un seul bout de papier qui prouve mon adhésion.
Conseillère injoignable que ce soit par mail ou téléphone...
Bref, fuyez, n'importe quel autre mutuelle sera mieux pour vous en cas de pépins, au moins vous pourrez prouver que vous avez une mutuelle.</t>
  </si>
  <si>
    <t>joubi94-56371</t>
  </si>
  <si>
    <t>Ma mère de 78 ans est assurée chez MAAF, 50% bonus à vie + 8% lauréat. Elle se gare sur une parking , va au marché et en revenant elle constate des dégâts sur son véhicule. elle déclare ce fait à son assurance en affirmant qu'elle a constaté les dégâts sur le Parking. Elle n'a jamais indiqué qu'ils avaient été faits sur le parking.  L'expert désigné  par la MAAF conclue :' incohérence entre dommages relevés  et la déclaration de sinistre faisant état d'un choc en stationnement' . Du coup la MAAF  suit l'avis nde l'expert et dit qu'il y a déclaration frauduleuse et ne prend rien en charge. Ma mère a refusé de faire une contre-expertise et accepté l'expertise technique et pas l'interprétation de l'expert.. A son âge, il se peut très bien qu'elle ait ripé contre le poteau du cimetière en se rendant sur la tombe de son mari. Aujourd'hui on a saisi les services client MAAF, le service réclamation MAAf qui propose de nouveau la contre-expertise-Le médiateur  (c'est en cours). Si on doit aller devant un tribunal pensez-vous qu'il ya des chances de gagner ? Cela d'autant plus que ma mère avait tout intêret à déclarer que c'était elle qui avait accroché quelque chose. Elle aurait érté remboursée sans perte de bonus, sauf de payer (dans tous les cas de figure) la franchise de 200 euros.</t>
  </si>
  <si>
    <t>30/07/2017</t>
  </si>
  <si>
    <t>jipe-96849</t>
  </si>
  <si>
    <t xml:space="preserve">avez vous uyne assistance juridique qui prenne bien la  défense de son assuré. °2° faites vous un prêt de véhicule en cas de: accident entre 2 véhicules et surtout incident mécanique de la voiture . j'ai eu la triste expérience avec l'un de vos concurrents: l'expert qui a abondé dans le sens de PSA et ensuite pas de prêt de  véhicule qu'il a fallu louer à 30€ par jour et payer la réparation d'une voiture  de moins de 2 ans et 18000kms  et de plus  me dire que je ne savais pas conduire après avoir été commercial pendant 40 ans avec 45000kms par an! ou bien que je laissais mon pied en permanence sur l'embrayage qui était mort  complètement/ voila mon critère pour changer d'assurance. aimetegdur@gmail.com </t>
  </si>
  <si>
    <t>ismail-b-125038</t>
  </si>
  <si>
    <t xml:space="preserve">Je suis satisfait merci du prix aussi direct assurance vous êtes les meilleurs raport qualité pris le service apres vente vous facilité les démarches </t>
  </si>
  <si>
    <t>bleulibelul07-88421</t>
  </si>
  <si>
    <t xml:space="preserve">Assurer chez pacifica depuis moins d'un ans.
Je me suis faites cambrioler le 27/10/19 
Passage de l'expert le 15/11/2019
Aucun règlement à ce jour l'expert se serait trompée sur le chiffrage Pacifica aurait demandé une contre expertise j'ai écrit au service consommateur rien j'ai écrit au directeur général rien mis à part le fait d'avoir transmis mon courrier au services  consommateurs 
Nous sommes le 18/03/2020  soit 5 mois plus tard je continue de payer mes cotisations malgré aucune Indeminisation j'ai eu recours à un avocat et aux associations de consommateurs et j'attend le dénouement 
Une assurance a fuir 
</t>
  </si>
  <si>
    <t>19/03/2020</t>
  </si>
  <si>
    <t>Très satisfait par le service et la disponibilité, la rapidité et la facilité de traitement
Service en ligne intuitif
A confirmer dans le temps mais encourageant</t>
  </si>
  <si>
    <t>tom-63822</t>
  </si>
  <si>
    <t>Assuré depuis plus de vingt ans à la maif, j'en ai toujours été content, aucun accident de voiture et deux ou trois tout petit sinistres il y a plus de dix ans!</t>
  </si>
  <si>
    <t>06/05/2018</t>
  </si>
  <si>
    <t>loulou-134012</t>
  </si>
  <si>
    <t xml:space="preserve">Bonjour
Mon appel avait pour objectif ma radiations de votre mutuelle
En effet j ai trouvé une mutuelle offrant plus de couverture et à un prix quasi similaire au votre
Rawane mon interlocuteur a été aimable
</t>
  </si>
  <si>
    <t>chiarello-l-126647</t>
  </si>
  <si>
    <t>Je suis satisfait de L'Olivier Assurance en therme de qualité / prix .
Je renouvelle ma confiance dans ce second contrat d'assurance voiture chez l'Olivier Assurance.</t>
  </si>
  <si>
    <t>gautier-l-136025</t>
  </si>
  <si>
    <t>Je suis agréablement surpris de trouver un renfort concernant les médecines douces. 
Je ne mets pas la satisfaction au maximum car j'attends de constater l'efficacité du service</t>
  </si>
  <si>
    <t>lilou-50786</t>
  </si>
  <si>
    <t>Très bon assurance mon sinistre a  été  pris en charge efficacement et rapidement seul bémol la interlocutrice très désagréable je ai été surprise car tout ce est toujours bien passé avec eux je lui ai fait la remarque car ça faisait plus d une fois qu elle me contacter et bien sûr elle l a très mal pris alors Madame ,monsieur les assureursoirs svp ayez du respect pour vos assurés .</t>
  </si>
  <si>
    <t>30/12/2016</t>
  </si>
  <si>
    <t>tapimoket-60646</t>
  </si>
  <si>
    <t>Vous entrez, pas de souci ! Mais ayant retrouvé un job, je cotise à une mutuelle entreprise obligatoire. Seulement, Santiane n'a toujours pas résilié auprès de la CPAM après un recommandé, 3 appels et 4 mails.. Bref, je suis en otage et plus remboursé à cause d'eux !</t>
  </si>
  <si>
    <t>10/04/2020</t>
  </si>
  <si>
    <t>youma-t-134397</t>
  </si>
  <si>
    <t xml:space="preserve">Rapport qualité prix correct. Nouvel adhérent, j’attends de voir comment se déroule les échanges avec direct assurance pour confirmer ou infirmer mon avis </t>
  </si>
  <si>
    <t>hommet-j-128807</t>
  </si>
  <si>
    <t xml:space="preserve">J'ai été contacté par une personne très sympathique et qui m'as très bien conseillé. A recommander .Procédure de validation de mon dossier facile a accéder et a valider sur mon espace personnel. </t>
  </si>
  <si>
    <t>didine2522-70859</t>
  </si>
  <si>
    <t xml:space="preserve">Un scandale cette mutuelle, des commerciaux pour la souscription aprés plus personnes. un Prélevement supérieur en janvier, j'ai donc contacté le service client, une personne me dit que ma banque a refusé le prelevement donc je contacte ma banque qui me dit que non donc je recontacte le service client et la une deuxieme histoire un prelevement exceptionnel pour une association. je trouve cela non professionnel et totalement menteur, c'est une honte, je vais quitter cette mutuelle et je ne la recommanderais à personne </t>
  </si>
  <si>
    <t>kevin-z-111853</t>
  </si>
  <si>
    <t xml:space="preserve">Je suis satisfait du contrat les prix sont abordables 
Je fait confiance.ce à cette assurance qui compte déjà pas mal de membres au sein merci de m'accepter </t>
  </si>
  <si>
    <t>brunel-j-129407</t>
  </si>
  <si>
    <t>Le site est très bien fait, l'annonce est claire et l'échange d'information de fait sans peine. Si je doit faire une remarque : il n'est pas facile de comprendre ce qu'il se passe après le 11ieme échéance.</t>
  </si>
  <si>
    <t>molo-72370</t>
  </si>
  <si>
    <t>Raccroche au nez ne sont pas Professionalsont très lent au traitement des dossiers n'hésite pas a contourné les règles pour avoir raison. font passer les clients d'un service a un autre</t>
  </si>
  <si>
    <t>nath92-58833</t>
  </si>
  <si>
    <t>Bon assurance je suis chez eux depuis à peu plus d'un an pour mes 2 chiens pas de mauvaises surprises j'ai toujours été remboursé assurance sérieuse</t>
  </si>
  <si>
    <t>15/11/2017</t>
  </si>
  <si>
    <t>vvince13-80120</t>
  </si>
  <si>
    <t>Service clientèle à l'écoute, toujours agréable de discuter avec eux.
Les prix sont dans la fourchette basse, comparé à d'autres noms du domaine.
Je n'ai jamais eu aucun souci avec cet assureur, toutes mes questions ont trouvées réponse rapidement.</t>
  </si>
  <si>
    <t>dmd-100383</t>
  </si>
  <si>
    <t>Le service client est impeccable ! Mon interlocutrice de ce jour "Mame" a cherché toutes les solutions pour répondre à ma demande. Il est tellement important de se sentir accompagnée et comprise, notamment dans des situations douloureuses. Un grand merci, donc :))</t>
  </si>
  <si>
    <t>chris-c-124748</t>
  </si>
  <si>
    <t>Assureur à ne surtout pas prendre. Mauvaise gestion des dossiers. Interlocuteur qui nous force a prendre toujours plus d’assurance chez eux alors que pour une voiture c’est déjà difficile de gérer.</t>
  </si>
  <si>
    <t>alex-107111</t>
  </si>
  <si>
    <t>J'ai eu Angélique et lors de l'appel téléphone j'ai malheureusement appuyer sur un à lune des questions posées hors j'ai été non seulement super bien renseigné mais de plus Angélique fut fort agréable alors veuillez svp lui donner une note bien plus juste lors de mon dernier appel si toute fois cela est possible merci apr avance</t>
  </si>
  <si>
    <t>riopolo-112920</t>
  </si>
  <si>
    <t>2 Av Pasteur 93290. Aujourd'hui, l'agent m'a offensé.  J'ai vendu la voiture le 24 mars 2001, je lui ai demandé de fermer le contrat.  aujourd'hui 06.05.21 Je suis allé à l'agence, pour demander pourquoi mon argent est retiré de mon compte, pourquoi le contrat n'est pas ferme.  l'agent a mal parlé.  il est agressif, je me suis révolté.  il m'a dit de sortir et de me frapper au visage.  J'ai appelé la police, aucune action de leur part.  l'agent ne veut pas me parler.  Que puis-je faire., je suis entré pour parler à l'agent, j'ai demandé le numéro de téléphone du propriétaire principal.  l'agent a dit qu'il est, qu'il décide de tout sur ce secteur.  il m'a mis à la porte de manière agressive.J'ai eu de la chance avec mon ami qui était à côté de moi.  il a parlé à cet agent et l'a persuadé de ferme le contrat.Je veux une explication de l'entreprise.</t>
  </si>
  <si>
    <t>killian-100395</t>
  </si>
  <si>
    <t xml:space="preserve">Très bien assuré remboursement rapide prise en charge simple et rapide mes très cher à part ça je sais pas quoi dire on peut pas dire que je suis fan des déclarations au assurance </t>
  </si>
  <si>
    <t>gisonoal-45463</t>
  </si>
  <si>
    <t>J'ai mon assurance automobile à l'agence AXA de Lille. Depuis le mois de mai j'essaie de résilier mon assurance car j'ai trouvé un meilleur tarif pour les mêmes garanties.
J'ai fait envoyer par mon nouvel assureur un recommandé à l'agence centrale (adresse postale indiquée sur mes papiers d'assurance). Mon assurance n'a pas été résiliée car le courrier n'était pas adressé à l'agence de Lille (il faut croire que l'agence centrale ne communique pas avec l'agence de Lille).
J'ai donc refait une demande moi-même par recommandé à l'agence de Lille. Le directeur de l'agence n'est pas allé chercher le recommandé et donc n'a pas résilié le contrat.
J'ai donc à nouveau fait ma demande poliment par mail, en scannant mon recommandé et en demandant le remboursement des traites payées à tort. J'ai reçu une réponse du directeur par mail "Nécessaire fait" (pas de "Bonjour" évidemment). Les traites ont été remboursées.
Surprise, le mois suivant j'ai été à nouveau prélevé sur mon compte. Et cette fois-ci aucune réponse à mes mails!
Jusqu'à maintenant, je n'avais eu aucun problème avec AXA. Je trouve regrettable cette opposition à résilier notre contrat.</t>
  </si>
  <si>
    <t>14/08/2018</t>
  </si>
  <si>
    <t>evelyne-spielmann-50135</t>
  </si>
  <si>
    <t>Ma voiture es assurée à la GMF. La prime est de 492 € pour une 207 Allure tous risques, franchise 102 €. Elle a augmenté de 16% par rapport à l'an passé.  Pas d'accident responsable. J'ai endommagé une roue dans un nid de poule. La ville a reconnu sa responsabilité. Remboursement de la roue 59€,  augmentation de ma prime d'assurance  55 €  et j'ai le même taux de bonus que l'an passé (50% + 22% de remise en plus bon conducteur). La franchise n'a pas été appliquée. Ai téléphoné à GMF la conseillère n'a pas pu me donner d'explications. J'ai dû me rendre à l'agence où une autre conseillère aussi incompétente m'a dit qu'il ne pouvait pas y avoir d'erreur mais elle ne sait pas pourquoi l'augmentation est aussi importante. Je vais essayer de trouver une autre compagnie</t>
  </si>
  <si>
    <t>maxwoo-41677</t>
  </si>
  <si>
    <t>Je n'ai pas eu d'accident, donc je ne connais le niveau de prestation de GMF. Ce que je constate néanmoins, c'est qu'un devis chez eux pour la même assurance que j'ai chez eux affiche plus de 100€ de moins... Donc plus on reste, plus on paie cher !!! Autant partir... Même avec les 2 mois offerts, promo du moment, il n'y a pas 130€ de cotisation pour 2 mois d'assurance...
Donc la stratégie est d'apater le client pour le faire casquer ensuite quand il est fidèle... Tout va bien, normal :-S</t>
  </si>
  <si>
    <t>13/10/2020</t>
  </si>
  <si>
    <t>emilie-v-111143</t>
  </si>
  <si>
    <t xml:space="preserve">Je suis satisfaite du service. 
Il manque un petit appel d'un conseillé pour être rassurer sur mon contrat et bien me confirmer sur le montant de mes prélèvement etc... 
Le tarif reste correct (j'ai comparé sur le lynx au préalable) mais bon comme tout assurance reste un peu cher sachant que j'ai rarement eu de problème chez moi en 10 ans..
Je compte tout de même ajouter l'assurance de ma voiture car concernant celle ci, le tarif reste compétitif je trouve.
Bonne journée </t>
  </si>
  <si>
    <t>joanne-n-127054</t>
  </si>
  <si>
    <t xml:space="preserve">Je suis satisfaite du service. Simple et rapide. C’est la première fois que je passes par une assurance en ligne après en avoir beaucoup entendu parler. </t>
  </si>
  <si>
    <t>08/08/2021</t>
  </si>
  <si>
    <t>abcath-80245</t>
  </si>
  <si>
    <t>Très déçue par mon dernier appel à la Maif pour bris de glace... La personne au téléphone a été très désagréable en me demandant de façon très autoritaire de ne pas lui couper la parole alors que j'étais juste en train de lui dire que je préférais mettre ma voiture chez MON garagiste (en qui j'ai pleinement confiance). C'est la première fois que je suis aussi mal reçue, cela laisse à réfléchir pour la suite...</t>
  </si>
  <si>
    <t>20/10/2019</t>
  </si>
  <si>
    <t>canie-c-125780</t>
  </si>
  <si>
    <t xml:space="preserve">Prix attractif bon rapport qualité prix…,. J’espère que ça répondra à mes attentes au long cours.  Je me suis des inscrit il y a 2 ans et je reviens pour le tarif qui reste moins chère j’espère ne pas perdre en qualité de services </t>
  </si>
  <si>
    <t>berny-71880</t>
  </si>
  <si>
    <t xml:space="preserve">à fuir à toutes jambes... zéro étoiles </t>
  </si>
  <si>
    <t>05/03/2019</t>
  </si>
  <si>
    <t>dominique-b-114202</t>
  </si>
  <si>
    <t>Satisfait des services de la GMF depuis plus de 30 ans.
Plusieurs contrats en cours depuis de nombreuses années. 
Preuve de satisfaction au long court</t>
  </si>
  <si>
    <t>19/05/2021</t>
  </si>
  <si>
    <t>rania13-68833</t>
  </si>
  <si>
    <t xml:space="preserve">Toute léquipe dharmonie mutuelle dhayange est très désagréables et irrespectueuses envers leur clients très mal reçu même pas un sourire et de plus pas de forme de politesse a notre égard  </t>
  </si>
  <si>
    <t>22/11/2018</t>
  </si>
  <si>
    <t>bousselmania-m-113197</t>
  </si>
  <si>
    <t>Très satisfait du service ! Je recommande vivement ! Très simple d'accès et documents reçus en temps et en heure ! Tout va plus vite sur internet !!!!</t>
  </si>
  <si>
    <t>09/05/2021</t>
  </si>
  <si>
    <t>nini-103840</t>
  </si>
  <si>
    <t>Quand tu n’as rien tout va bien mais dès que tu as un accident personne pour t’accompagner dans les démarches je trouve ça inadmissible !!!!!! On te prend pour une moins que rien si tu n’es pas assuré tout risque. Je déconseille complètement cette assurance à maudire !</t>
  </si>
  <si>
    <t>08/02/2021</t>
  </si>
  <si>
    <t>renata-56028</t>
  </si>
  <si>
    <t xml:space="preserve">après avoir dit mes besoin urgent car admise a l’hôpital de la croix rousse a Lyon pour  grosses pathologique  impossible a transmettre la demande de prise en charge pour la chambre individuel  personne au téléphone ni réponse au email pour la carte tiers payant  et en plus pas de document ni de contrat  pour voir ce que nous avons signé  bref je vais envoyer une lettre recommander et faire opposition a la banque sur tout que leur initial 2 ne correspond pas di tout a mes attente et je vais faire appelle a mon service juridique  je déconseille  cette mutuelle et leur courtier satiane </t>
  </si>
  <si>
    <t>14/07/2017</t>
  </si>
  <si>
    <t>hav-109390</t>
  </si>
  <si>
    <t>ne prends pas la résiliation du contrat ,continue les prélèvements ,et quand vous donné les Pieces, ne vous remboursement  pas la somme ,qui vous doit très malin .
vivement la répression des fraudes</t>
  </si>
  <si>
    <t>tanguy-a-105213</t>
  </si>
  <si>
    <t>J'ai fait confiance à DirectAssurance pour la résiliation auprès de mon ancien assureur. Heureusement, je vérifie après un mois et demande auprès de mon ancien assureur si la résiliation est effective. Aucune lettre reçue chez eux ! Donc je continuais à payer et pas de remboursement jusqu'à résiliation... J'attends de voir si DirectAssurance va prendre en charge son erreur et me rembourser le "dédoublement" d'assurance me concernant.</t>
  </si>
  <si>
    <t>jm-56073</t>
  </si>
  <si>
    <t>Assurance pas fiable du tout - Tant que vous n'avez pas de souci - c'est pas trop cher et encore y'a mieux - suite a suspension d'assurance le temps de changer de moto - j'ai toujours été prélevé. Vous appelez pour comprendre le pourquoi. après 5 à 10 minutes ca décroche enfin pour vous entendre dire qu'il y a eu un bug ou autre invention quelconque et que le problème va être résolu. nada le mois suivant pareil re-prélèvement.du coup je résilie carrément. en attente depuis 2 mois du remboursement. assurance pas fiable du tout. j'imagine même pas en cas d'accident!!!!</t>
  </si>
  <si>
    <t>18/07/2017</t>
  </si>
  <si>
    <t>maghfour--wahid-s-108323</t>
  </si>
  <si>
    <t xml:space="preserve">Je suis satisfaite de la fonction dont mon dossier a été traité. J ai été très bien rebseugbe et les prix sont très biens aussi. 
Très satisfaite et je recommande </t>
  </si>
  <si>
    <t>28/03/2021</t>
  </si>
  <si>
    <t>simba-96480</t>
  </si>
  <si>
    <t>Après près d’une semaine et plus d’une dizaine d’appel toujours aucune réactivité de leur part.
Suite à un incendie sur mon véhicule, certes je n’ai pas la garantie qu’il faut, l’assurance valide l’intervention d’un dépanneur mais me demande de tout régler, la police écrit noir sur blanc que l’assurance a eu tort d’enlever le véhicule, des problèmes de communication dans le groupe, la dernière conseillère que j’ai eu à meme mis la faute sur EuropeAssistance, elle affirme qu’il ya eu des erreurs de communication mais elle ne peut rien faire pour moi.
Sympa la relation client ????
On me clôture un dossier sinistre alors qu’un responsable a donné le feu vert pour l’ouverture...
Enfin réfléchissez deux voire trois fois avant de souscrire un contrat chez Lolivier assurance, vous me remercierez plus tard croyez moi</t>
  </si>
  <si>
    <t>19/08/2020</t>
  </si>
  <si>
    <t>david-79685</t>
  </si>
  <si>
    <t>Bonjour j ai était assurer pendant 12 ans chez eux et mon viré car soit disant j ai trop assurer des voitures dans l année et j etait client a risque  en sachant que je n ai jamais eu d accident en 12 ans à mes  torts et le pire quand j ai demandé un révélé d information pour aller m assurer ailleurs je me suis retrouvé avec un bonus à 0 % car mes voitures que j ai eu  et  cartes grises portant mon nom etait assurer  au nom de ma conjointe  du coup  je n ai pas de bonus et me suis retrouvé a payer comme un jeune conducteur. Merci à la macif !!!!! un conseil a fuir !!!!</t>
  </si>
  <si>
    <t>02/10/2019</t>
  </si>
  <si>
    <t>pierre-g-106790</t>
  </si>
  <si>
    <t>Non satisfait du service relation clientèle.
2 incidents à votre actif : non prise en charge d'une crevaison sur 4 voies ( impossibilité de changer la roue de secours ) délai de réponse au tel et attente exorbitants, mail de réclamation resté sans réponse à ce jour, je vous considère de moins en moins fiable</t>
  </si>
  <si>
    <t>lilou-119087</t>
  </si>
  <si>
    <t xml:space="preserve">L'indemnisation des préjudices subis est minimaliste. Les besoins de l'assuré ne sont pas correctement pris en compte. Pas d'arrangement possible malgré plusieurs  relances. </t>
  </si>
  <si>
    <t>aurelie30-113388</t>
  </si>
  <si>
    <t>Ah c'est sûr c'est pas chère mais le service client est en parfaite harmonie avec les tarifs. J'ai vendu le véhicule que j'assurais chez eux le 30 janvier 2021, après de nombreux mails pour leur communiquer le certificat  de cession pour résilier le contrat, toujours rien. Les prélèvements continuent, à chaque appel on me demande de confirmer l'adresse mail que j'ai utilisé pour leur envoyer le document, qu'ils ne l'ont pas reçu, sauf que j'ai des accusés de réception qui prouvent le contraire. Dernier appel aujourd'hui, on me dit que je vais être recontacter sous 48h. Donc rdv dans 48h et si pas de résultat ce sera association de consommateurs. Ras le bol, je ne recommanderai cette assurance à personne sauf si vous avez du temps et de l'argent à perdre.</t>
  </si>
  <si>
    <t>porto-novo-132555</t>
  </si>
  <si>
    <t>Attention à vos contrats 
Quand vous dépassez  65 ans, l'assurance invalidité ne joue plus, mais bien entendu l'UNIM/ ALLIANZ se garde bien de vous en informer et continue dans  le cadre de sa  prévoyance à vous  prélever la quota part liée à l'invalidité.
Défaut de conseil manifeste 
Concluez vous  même ....</t>
  </si>
  <si>
    <t>assurances-professionnelles</t>
  </si>
  <si>
    <t>navy-7-131927</t>
  </si>
  <si>
    <t xml:space="preserve">directe assurance ma fait un devis et ces rétracter je trouve sa inadmissible c'est pas très chère il rembourse rien au final vous payez une assurance pour rien sa fait chère  
600 ,00  £ DE FRANCHISE il vous vende du vent il trouve toujours qu'elle que chose pour ne pas vous remboursez vous payez pour rien les autre c'est pas mieux les assureurs les banquiers et les syndics  tous dans même sac ils fonds de l'argent sur le dos des clients pardon des moutons. </t>
  </si>
  <si>
    <t>gege-87371</t>
  </si>
  <si>
    <t>Nous avons été contacté par une société de recherche d'héritiers concernant l'assurance vie de mon frère qui est décédé. Ils nous ont précisé qu'un contrat assurance vie était en attente à CNP ASSURANCE. Nous avons eu plusieurs interlocuteurs et avons envoyé de nombreux courriers à leur demande. Nous n'avons toujours perçu aucun règlement et ceux depuis plus de deux ans. Aucun retour des courriers recommandés. Je pense effectuer un dépôt de plainte à l'encontre de cette assurance. Ils ne savent pas répondre à un téléphone (répondeur) CNP ANGERS A FUIRE.</t>
  </si>
  <si>
    <t>19/02/2020</t>
  </si>
  <si>
    <t>Suite à un cambriolage le 29/11/2019, on me vole les clés de mes deux véhicules car les clés se trouvaient dans mon coffre-fort qui a été éventré. Ils m’ont demandé une montagne de documents que je leurs ai fourni ainsi que le dépôt de plainte. Impossible de joindre l’interlocuteur qui s’occupe du dossier, ils ont mis l’affaire au service fraudes et font les morts depuis plus d’un an, donc je suis obligé de faire appel à mon avocate pour obtenir une indemnisation.
Cette assurance est à vomir, c’est la honte des assurances, À fuir!!!!</t>
  </si>
  <si>
    <t>klm-100089</t>
  </si>
  <si>
    <t>Client chez direct assurance. J'ai été résilié pour ne pas avoir transmis ma nouvelle Carte grise. Or le service préfectoral a mis énormément de retard pour me l'a faire parvenir. Malgré mes explications sincères et indépendante de ma volonté j'ai été résilié dans ménagement. Le pire c'est que sur le relevé d'information il est inscrit "résiliation"... Je risque de payer une surpime chez un autre assureur. Relation clientèle déplorable et sans considération.</t>
  </si>
  <si>
    <t>damien-b-122398</t>
  </si>
  <si>
    <t xml:space="preserve">Clair  simple et rapide, je suis satisfaite du service, le paiement est sécurisé.  Je recommande april moto. J'espère que les prestations en cas de vol ou d'accidents seront à la hauteur de l'accueil. </t>
  </si>
  <si>
    <t>vanelle-n-117412</t>
  </si>
  <si>
    <t xml:space="preserve">Tre bien je conseille cette assurence tre rapide son assurance en peux de temp tre appréciable de travailler avec des personne comme vous très cordialement </t>
  </si>
  <si>
    <t>patricia-m-112051</t>
  </si>
  <si>
    <t>je suis satisfait des services mais je trouve le prix du contrat voiture  un peu chers sinon je voudrais recevoir par emails l'échéancier pour l'assurance habitat puisque je reçois celui de l'assurance voiture</t>
  </si>
  <si>
    <t>batman-117547</t>
  </si>
  <si>
    <t>Interlocuteur désagréable très difficile à joindre celui-ci crevaison sur autoroute avec une Goldwing 'lassureur prenait en charge le dépannage de la moto   mais ns avons du pré ndre un Taxi jusqu'à la concession Honda a nos frais même pas un prés de véhicule   résultat nous avons perdu la journée  lamentable  assurance pas chère mais aucune efficacité  je vais arrêter cette assurance</t>
  </si>
  <si>
    <t>david-k-124936</t>
  </si>
  <si>
    <t>Je ne suis pas satisfait. J'ai eu une augmentation de ma cotisation entre 2020 et 2021.
Sur les mêmes garanties, je suis passé de 545€ à 562€.
Je dois avoir la livraison d'une seconde voiture prochainement, sans effort commercial de votre part, je ne garantirai pas ma nouvelle voiture chez vous, et je quitterai dès que possible Direct Assurance</t>
  </si>
  <si>
    <t>eric-l-116915</t>
  </si>
  <si>
    <t xml:space="preserve">Je suis satisfait par le tarif et les services.
A confirmer si un sinistre survient.....
Le site est très bien fait et pratique d'utilisation. Les conseils sont très utiles.
</t>
  </si>
  <si>
    <t>13/06/2021</t>
  </si>
  <si>
    <t>nous17-68528</t>
  </si>
  <si>
    <t>Cet assureur a une grande capacité à fuir les questions du client. Il y a 8 ans, en ayant pris la formule INTEGRA, prestation 3 sur 4, je payais 21.55euros, suite à la réception du dernier échéancier le 29 Octobre pour une application le 01 Novembre 2018 la prime est passée à 45.69euros soit plus que doublée en 8 ans. Vous remarquerez également le délai de convenance du courrier de 4 jours, qui n'est pas un délai raisonnable et recevable.
En 1 an, 25.7% d'augmentation où seul SOLLY AZAR justifie les 10% prévu à l'article 10 des CGV, que je n'ai ni reçu, ni signée. Par contre aucune réponse détaillée sur les 15.7% restant trouvé, à part les résultats techniques. 
Après prise de contact auprès de SOLLY AZAR, pas simple, la réponse communiquée est purement formelle, sans aucune personnalisation.
Avec plus de 3000 euros de prime versée pour ce chien et au regard de la prestation choisie, je suis plus que déçu.
L'avenir nous dira...</t>
  </si>
  <si>
    <t>Solly Azar</t>
  </si>
  <si>
    <t>doree-d-125489</t>
  </si>
  <si>
    <t xml:space="preserve">je suis satisfait du prix, des services d'amv. Ils ont toujours su répondre présents en cas de besoin.
leurs tarifs sont abordables et on s'y sent bien
</t>
  </si>
  <si>
    <t>rodrigues-d-109191</t>
  </si>
  <si>
    <t>Tarif très intéressant en comparaison avec d’autres assureurs pour les mêmes garanties  , possibilité d’être assuré immédiatement, informations claires.</t>
  </si>
  <si>
    <t>05/04/2021</t>
  </si>
  <si>
    <t>mashayekhi-s-137496</t>
  </si>
  <si>
    <t>prix attractif, procédure en ligne simple, contrat reçu rapidement sur la boite au lettre. Rien à signaler, je recommanderai à mes proches surement, merci</t>
  </si>
  <si>
    <t>15/10/2021</t>
  </si>
  <si>
    <t>stackler-j-121577</t>
  </si>
  <si>
    <t xml:space="preserve">Vraiment bien, question qualité pris et service, je recommande cette assurance, rapide et efficace pour pouvoir les joindre au téléphone, je recommande vivement L’olivier </t>
  </si>
  <si>
    <t>patflore-75980</t>
  </si>
  <si>
    <t>Merci Nelly pour votre écoute et votre gentillesse, ainsi que de la prise en charge de ma demande</t>
  </si>
  <si>
    <t>16/05/2019</t>
  </si>
  <si>
    <t>vitor-s-126087</t>
  </si>
  <si>
    <t>Un ami ma conseiller direct assurance.
Inscription simple et prix sont attractif je vous recommanderait a des amis et famille et leurs proches.
 je vous pris d'acceptée mes salutation</t>
  </si>
  <si>
    <t>mansouri-m-136085</t>
  </si>
  <si>
    <t>Je suis satisfaite du service pour le moment, à voir dans le temps. En revanche, j'aurai aimé parler à un conseiller avant signature. J'ai également du recommencer le devis plusieurs fois car votre site a bugué...Il faut être motivé !</t>
  </si>
  <si>
    <t>lolaort-133083</t>
  </si>
  <si>
    <t xml:space="preserve">Service client déplorable, limite insultant. Ne m'a été d'aucune aide et la personne que j'ai eu au bout du fil à été très désagréable, aucune empathie. Je ne recommande pas et j'ai changé d'assureur. </t>
  </si>
  <si>
    <t>16/09/2021</t>
  </si>
  <si>
    <t>richardge-123266</t>
  </si>
  <si>
    <t xml:space="preserve">la Maif Honteux! 
Plus jamais, j'ai souscris 5 assurances differentes chez eux, leur services et leur compétences sont vraiment deplorables.  tout est fait chez eux pour que leur responsabilité ne soit pas engager, A FUIR!!! </t>
  </si>
  <si>
    <t>nico-86254</t>
  </si>
  <si>
    <t>le souci en cas de sinistre ce sont les experts.
presque 45 jours pour venir voir les dégâts
sce banque ok       sce expert nul</t>
  </si>
  <si>
    <t>23/01/2020</t>
  </si>
  <si>
    <t>pascal27-94898</t>
  </si>
  <si>
    <t>Bonjour à tous. Nous subit un incendie dans nos dépendances le 08/07. Si trouvaient entre autres notre laverie et notre cellier. Nous n'avons donc plus de machine à laver, de congélateur ni de réserve alimentaire. Nous avons chez nous mes parents, âgés de 84 ans (et ma mère a Alzheimer). Pour commencer nous sommes restés 10 jours sans que personne ne nous contact, puis l'expert nous a proposé une expertise par visio 12 jours après le sinistre mais comme elle ne suffit pas ils me proposent maintenant un passage d'expert le 11 aout! PRESQUE 2 MOIS APRES LE SINISTRE !!! J'ai bien expliqué notre situation mais tout le monde s'en fout. Ca fait des années et des années que je paye cette assurance sans jamais de sinistre, par contre, pour être pris en charge c'est une autres histoire. C'est une honte, nous sommes livrés à nous même, aucune assistance, aucune avance, RIEN.</t>
  </si>
  <si>
    <t>passionne-c-131074</t>
  </si>
  <si>
    <t>Pleinement satisfait du contrat auto jeune permis réalisé ce jour avec une conseillère accueillante et aimable qui a donné clairement toutes les explications.
Merci</t>
  </si>
  <si>
    <t>babeuf-102866</t>
  </si>
  <si>
    <t>Menteurs ...
Depuis le 17 juin 2018 avons du faire référés pour 4 expertises 4000 euros
Disent ne pas avoir les résultats alors que l avocat a l accusé de réception 
Pas de provision....
A deconseiller+++</t>
  </si>
  <si>
    <t>19/01/2021</t>
  </si>
  <si>
    <t>sametninja-90163</t>
  </si>
  <si>
    <t>Contrat agipi CAP à fuir! 71 jours sans nouvelles car ne réponds pas aux mails ! Le télétravail à bon dos !!! Aucune indemnités versés a ce jour</t>
  </si>
  <si>
    <t>03/06/2020</t>
  </si>
  <si>
    <t>elodieb002-85609</t>
  </si>
  <si>
    <t>Cela fait seulement quelques mois que je suis assurée par l'Olivier donc je n'ai pas encore eu besoin de contacter le service client mais les prix sont intéressants et l'inscription en ligne est très facile et rapide.</t>
  </si>
  <si>
    <t>07/01/2020</t>
  </si>
  <si>
    <t>mari-63389</t>
  </si>
  <si>
    <t xml:space="preserve">Bonjour, je suis actuellement en sinistre chez axa une vraie galère !! Après un vole à la roullote avec vitre casser et vole du double des clés ma voiture et au garage AXA a etait imcapable de me trouver un garage agréé avec une voiture de pret  alors il me propose 5 jours de location de voiture à mes frais puis je serai remboursé et c'est tout ensuite je me debrouille les réparations vont durer 2 semaine et je n'aurait pas de vehicule je suis assurer tous risque au maximum avec une franchise de 405 euros et on me laisse sans véhicule soit disant car je n'es pas souscrit au pack spécial un pack que je n'ai jamais entendu parler !!! Je ne recommanderai jamais AXA. Après sa je partirai chez la matmut ou la prise en charge et excellente. </t>
  </si>
  <si>
    <t>mizza-66479</t>
  </si>
  <si>
    <t>Mon premier avis sera pour Eurofil félicitation !
Je vois beaucoup de commentaires négatifs dus à beaucoup de résiliations de contrats.
Réveillez-vous sérieux, vous payez votre assurance une misère (17€ par mois pour une 136 cv pour ma part).
Et vous vous plaignez après un carton que l'assurance vous résilie votre contrat .
Vous gagnez en argent avec eux, mais doivent aussi en gagner avec vous !
Si vous voulez pas être résilier après un accident peu importe vos années de fidélité allée chez un autre assurance payer le double voir le triple par mois !
Je suis content de payer si peux pour une assurance auto ! et je sais à quoi m'en tenir si je fais un accident responsable ! à moi de faire attention ! 
Voila !
Ps: Je note quand même en point négatif les résiliations excessives même si de mon point de vue je trouve ça normal.</t>
  </si>
  <si>
    <t>gerald-d-134370</t>
  </si>
  <si>
    <t xml:space="preserve">Devis très  intéressant, le  conseillers du 1er contact très agréable, patient, explique calmement les choses  et surtout  ne force pas la main maintenant à voir la suite </t>
  </si>
  <si>
    <t>jeanluc-63129</t>
  </si>
  <si>
    <t xml:space="preserve">Très bonne mutuelle  les conseillers sont très sympa et bonne explication et le tarif très intéressant ..je conseille vraiment car en plus je peux gérer tout en ligne et 3n plus de de signature en ligne </t>
  </si>
  <si>
    <t>10/04/2018</t>
  </si>
  <si>
    <t>steve-d-134514</t>
  </si>
  <si>
    <t>J’etait deja assuré cher direct assurance et j’en etait tres contant
Me voici donc de retour quelque années plus tard car je n’est pas trouvé moins chere pour aussi bien</t>
  </si>
  <si>
    <t>gerardi-j-110891</t>
  </si>
  <si>
    <t xml:space="preserve">Je suis passé par un comparateur d assurance vous étiez les mieux placés au point de vue tarifs 
Simple pour s assurer et rapidité en espérant ´ avoir aucun 
souci dans le futur </t>
  </si>
  <si>
    <t>kiki-99533</t>
  </si>
  <si>
    <t>Bon contact avec cet assureur lors de la souscription , par contre cette compagnie assure uniquement les personnes qui déclarent aucun sinistre donc après 2 déclarations de sinistres  chercher un autre assureur car il faut vous  attendre a recevoir votre lettre recommandée de résiliation .
La matmut elle assure seulement ceux qui n'ont pas de sinistre , c'est tout bénef !</t>
  </si>
  <si>
    <t>quevarrec-s-108435</t>
  </si>
  <si>
    <t>Je suis satisfaite par le contrat qui m'a été proposé.
Les contacts que j'ai eu par téléphone se sont systématiquement bien passés. 
À la hauteur de mes attentes</t>
  </si>
  <si>
    <t>jay-67703</t>
  </si>
  <si>
    <t>Suis client depuis des années à la macif.En Avril j'ai un dégat des eaux dans ma douche.Après ma déclaration un expert passe en Aout et par la suite je reçois un courrier en Septembre en me signalent que mon dossier était classé sans suite.</t>
  </si>
  <si>
    <t>16/10/2018</t>
  </si>
  <si>
    <t>leroybrice-50598</t>
  </si>
  <si>
    <t xml:space="preserve">Avant de se lancer avec Direct Assurance lisez bien ceci ... 
Mon assurance de ma vieille audi 80 se termine le 31/01/16 , je décide de faire le tour des assurances pour faire un peu d'économie à l'année sur cette voiture vu qu'elle ne roule plus.
Sur les devis, Direct Assurance me propose la moins chère. Je souscrit pour un montant total à l'année de 274,90€/ans. 
Je signe Ce contrat de 274,90€/ans (photocopie à l'appuie) et le lendemain soir je reçois un mail de Direct Assurance me disant que mon assurance passe à 288,23€/ans à cause d'un mauvais calcul de mon bonus/malus  (Donc un nouveau contrat que je n'ai pas signé) ... 
Le lendemain, je tente d'appeler le service client minimum 35' ! je raccroche et rappel ... 30' et personne au bout du fil !!!
Bref je re tente le lendemain et au bout de 18' je tombe sur une personne complètement incompétente dans le domaine des contrats d'assurance auto ...
Je lui fait savoir que je n'ai pas signé Ce contrat de 288,23€/ans et qu'il était hors de question de payer une assurance que je n'ai pas signé (aucun contrat signé de ma mains pour celui-ci). De plus il est écrit "Si vous dépassez la date limite d’envoi de vos documents, votre contrat sera résilié".
Cette dame me demande de faire un courrier recommandé pour résilier le contrat. 
J'envoie par lettre recommandé ma résiliation du contrat d'assurance le 09/12/16 (reçu le 12/12/16). 
Le 20/12/16 je reçois un message vocal de Direct Assurance me disant que je dois fournir une attestation de cession de mon véhicule ... 
Le 21/12/16 je suis débité de mon compte 288,23€ (Pour une assurance qui débute le 01/01/17 dont mon dossier est incomplet relevé du conducteur principal) !!!!!!
Je trouve ça honteux comment Direct Assurance si prend avec ses clients, je vais récupérer ma somme due qu'il m'on volé (car oui c'est du vol) et je suis prêt à un recours avec la justice si il le faut ... 
Surtout n'allez pas chez eux, j'ai trouvé moins chére sur une agence de allianz ! 
</t>
  </si>
  <si>
    <t>23/12/2016</t>
  </si>
  <si>
    <t>sweet-71468</t>
  </si>
  <si>
    <t>J'ai été cambriolé en 2013 avec l'option remboursement à neuf sans vétusté et tout s'est bien passé sur le traitement du dossier et les remboursements</t>
  </si>
  <si>
    <t>19/02/2019</t>
  </si>
  <si>
    <t>pujade-a-138412</t>
  </si>
  <si>
    <t>Je suis satisfait par les sercives.
Conversation téléphonique au poil, personnel à l'écoute des clients et de très bon renseignement mon était donner.
Rapide efficace et prix correct
Merci et à bientôt</t>
  </si>
  <si>
    <t>27/10/2021</t>
  </si>
  <si>
    <t>caro-117437</t>
  </si>
  <si>
    <t xml:space="preserve">A fuir à tout prix … Du jamais vu … des erreurs sur les dates d effet du contrat … des heures pour les faire corriger … personne de joignable pour faire faire les corrections … des mensualités prélevées 4 fois supérieures à celles annoncées … je ne savais pas que cela pouvait exister </t>
  </si>
  <si>
    <t>le-bris-t-124685</t>
  </si>
  <si>
    <t>Je suis satisfait pour le moment maintenant ce n’est que le début….. j’attends confirmation lorsque par exemple j’aurai un problème à signaler………………….</t>
  </si>
  <si>
    <t>25/07/2021</t>
  </si>
  <si>
    <t>manonlehir-70824</t>
  </si>
  <si>
    <t xml:space="preserve">40 minutes au téléphone pour qu'on me raccroche au nez !!!! Du jamais vu !!!!
Ils sont injoignables et osent vous envoyez des courriers et relances mais ne répondent même pas.... de mieux en mieux </t>
  </si>
  <si>
    <t>31/01/2019</t>
  </si>
  <si>
    <t>mm-53953</t>
  </si>
  <si>
    <t xml:space="preserve">Plate forme téléphonique..Super sympas, à l'écoute et professionnels au téléphone. Moins en agence, dommage. 
Une note d'excellence pour l'assistance auto. </t>
  </si>
  <si>
    <t>steph-115462</t>
  </si>
  <si>
    <t xml:space="preserve">très mauvaise mutuel qui ne veulent pas qu'ont le quittes
il refuse de me rembourser au pro rata ,du faite QUE JE SOIS OBLIGER DE PRENDRE UNE MUTUEL OBLIGATOIRE DU BOULOT
il me font ))) avec leur papiers et leur réponses ,il faut toujours un truc en plus  je vais les pourrir sur les résaux  à fond ,ne vous intéressez pas a eux ils sont pas chers mais ça vaux vraiment rien de rien 
demain mon dossier passe dans les mains de JULIEN COURBET  </t>
  </si>
  <si>
    <t>loco86-79859</t>
  </si>
  <si>
    <t>très  bon accueil de la part de la personne au téléphone madame Sara M  et compétente pour me guidée dans certaine de mes démarches .</t>
  </si>
  <si>
    <t>caco-67962</t>
  </si>
  <si>
    <t>Après avoir lancé une recherche comparative de mutuelle sur un site Internet, j'ai été très rapidement contactée par le courtier Santiane. J'ai expliqué vouloir changer de mutuelle à condition de trouver de meilleures garanties pour un prix à peu près équivalent. Après avoir ciblé les garanties sur lesquelles je souhaitais obtenir de bons remboursements, en l'occurrence l'orthodontie, les soins dentaires et l'optique, le commercial m'a proposé la formule LP4 chez Linea Santé &amp; Prévoyance. Comme je me méfiais de la véracité du gain de garanties par rapport à mon ancienne mutuelle UNEO, il a comparé chaque ligne des tableaux de garanties pour me prouver que mon ancienne mutuelle était beaucoup moins intéressante. Au bout de plus d'une heure de conversation téléphonique, j'ai fini par céder devant son argumentaire et signé le contrat à l'issue.
Excellent commercial !!!
15 jours après, j'avais rdv chez mon dentiste avec qui je souhaitais voir s'il n'était pas plus judicieux d'attendre janvier (date à laquelle j'avais souscrit mon nouveau contrat avec Santiane) pour entamer les soins. Et là quelle ne fut pas ma surprise lorsque le dentiste m'annonce que je vais largement y perdre !!! Nous avons du coup simuler un remboursement d'orthodontie, et là aussi, catastrophe !
En fait le commercial, si on peut l'appeler ainsi, (je le qualifierais plutôt d'USURPATEUR), a comparé entre eux des pourcentages qui n'avaient rien à voir l'un avec l'autre : les pourcentages de sa mutuelle INCLUENT le pourcentage remboursé par le Régime Obligatoire, alors que ma mutuelle actuelle, désigne le pourcentage qui vient en COMPLEMENT de celui de la Sécurité Sociale.
Comme je me trouve au delà des 14 jours du délai de rétractation, ils refusent de résilier mon contrat.
L'opératrice du service de réclamation a été ironique dans un 1er temps, me demandant si, avant de signer un contrat, je n'en lisais pas la teneur (je précise que l'alinéa, indiquant que le % comprend celui du Régime Obligatoire, est écrit en minuscule tout en haut du document). Dans un 2nd temps, vu que je m'énervais (car elle commençait à m'expliquer comment fonctionne un calcul de pourcentage !!!), elle a été agressive me disant que je n'allais pas lui apprendre son métier qu'elle faisait depuis 5 ans, et surtout que je ne comprenais rien.
Ma conclusion est que ce sont des menteurs.
Je suis preneuse pour toute information qui pourrait m'indiquer un recours.</t>
  </si>
  <si>
    <t>22/10/2018</t>
  </si>
  <si>
    <t>denis--h-133359</t>
  </si>
  <si>
    <t xml:space="preserve">Je suis très satisfait du service client, j'ai pu assurer mon véhicule en quelques minutes parfait.
Pas de soucis avec direct assurance comme d'habitude </t>
  </si>
  <si>
    <t>theo-t-126787</t>
  </si>
  <si>
    <t xml:space="preserve">Je suis satisfait du service. Le site est très bien construit et très simple d’utilisation. Les prix sont abordables pour les jeunes conducteurs notamment grâce au système Youdrive. </t>
  </si>
  <si>
    <t>duru-s-122325</t>
  </si>
  <si>
    <t xml:space="preserve">va falloir penser à supprimer les frais de dossier pour les clients qui bénéficient déjà d'un 1er contrat d'assurance.
                                </t>
  </si>
  <si>
    <t>georges-s-112898</t>
  </si>
  <si>
    <t>prix correct mais pour la simplicité on repassera les envois de photos sont très compliqués lorsque vous ne possedez pas un smarphone dernière génération</t>
  </si>
  <si>
    <t>laurent-m-110196</t>
  </si>
  <si>
    <t>je suis satisfait de vos services.
je suis satisfait de vos prix.
c'est un peu compliquer de créer un compte personnel.
jusqu'à présent je n'ai pas eu de problèmes, espérons que cela continue.
merci.</t>
  </si>
  <si>
    <t>charles-g-113482</t>
  </si>
  <si>
    <t>je suis moyennement satisfait car ce n'est tours pas facile d'avoir une personne au bout du fil. En plus certaines fois, on n'a l'impression que nos interlocuteurs ne nous comprennent pas.</t>
  </si>
  <si>
    <t>sebastien-v-131377</t>
  </si>
  <si>
    <t>Merci pour le service. J appréhende l inscriptuon et les services via un abonnement par internet. En effet, j aime bien  l échange verbale pour les renseignements.</t>
  </si>
  <si>
    <t>annie-b-101993</t>
  </si>
  <si>
    <t xml:space="preserve">C'est Émeline qui a traité mon appel. Elle a été à l'écoute de mes difficultés.
Elle a été très réactive, souhaitant tout faire pour que je sois satisfaite.
Personne qui a été très compréhensive.
</t>
  </si>
  <si>
    <t>04/10/2021</t>
  </si>
  <si>
    <t>helene-c-125399</t>
  </si>
  <si>
    <t xml:space="preserve">très contente du service le prix est correcte et l’accueille téléphonique agréable et compétent je recommande vos services auprès de mes amis et famille    </t>
  </si>
  <si>
    <t>mus447-105314</t>
  </si>
  <si>
    <t xml:space="preserve">Je viens de souscrire un contrat auto je vais immédiatement faire la résiliation car depuis ce matin je n’arrive pas à les joindre et cette après-midi j’ai eu au bout de 3h une personne qui ne pouvait pas régler mon problème elle mise en attente pour un autre service qui celui ci m’a transféré à un autre même chose je vais faireopposition  à la banque  pour les prélèvements à fuir </t>
  </si>
  <si>
    <t>titi-59926</t>
  </si>
  <si>
    <t xml:space="preserve">Je bénéficie de la portabilité j ai même reçu ma radiation pour le 31 août 2018 mais ag2r me réclame des frais de remboursement et quand je regarde sur  mon espace client je ne fait plus parti de leur client  j ai téléphoné et la conseillére n a dit que j avais bien la portabilité .je ne comprends plus rien et ne sais pas si je suis toujours assuré </t>
  </si>
  <si>
    <t>23/12/2017</t>
  </si>
  <si>
    <t>claverie-m-129700</t>
  </si>
  <si>
    <t xml:space="preserve">Je suis à moitié satisfait du tarif, je trouve que les frais d’inscription semble cher même si ils contiennent la taxe et tout le reste je trouve que payer deux cents cinq euros c’est cher pour commencer </t>
  </si>
  <si>
    <t>gay-127838</t>
  </si>
  <si>
    <t xml:space="preserve">je suis satisfait  conseillé  Maxime et Laura  sont très professionnel ils méritent 10/10,une prime et une augmentation sa fait vraiment plaisir  cordialement   </t>
  </si>
  <si>
    <t>sam-102530</t>
  </si>
  <si>
    <t>Très bonne assurance au tarif compétitifs. Relations clients excellente et suivi des dossiers en cas de sinistres.
Le plus est le gain de remise grâce à l'ancienneté.
Je recommande .</t>
  </si>
  <si>
    <t>kinougo-66888</t>
  </si>
  <si>
    <t>Après plus de 10 ans d'assurance auto et habitation chez MAAF, je reçois un courrier de résiliation pour la raison suivante: 2 accidents en 10 ans sur les 3 dernières années dont 1 non responsable ... c'est honteux... Bravo la MAAF et merci pour votre fidélité! (je suis malheureusement obligée de mettre une étoile )</t>
  </si>
  <si>
    <t>17/09/2018</t>
  </si>
  <si>
    <t>raymond-s-129887</t>
  </si>
  <si>
    <t xml:space="preserve">je suis satisfait du service et de l’efficacité de la mise en fonction des contrats d'assurances. service sur internet rapide et sérieux et de l'écoute des conseillers quand j'en ai besoin. Personnellement, je ne changerai pas d'assurance car pour moi tout est bien. </t>
  </si>
  <si>
    <t>28/08/2021</t>
  </si>
  <si>
    <t>van-der-graaf-s-116609</t>
  </si>
  <si>
    <t>Le prise de contact avec le conseiller à était immédiate. Toutes les informations que l'ont ma donnée était claire. Le prix présente un bon rapport qualité prix.</t>
  </si>
  <si>
    <t>tiffany-c-135216</t>
  </si>
  <si>
    <t>Excellent parfait je recommande a des amis qualité prix parfait je recommande vivement cette assurance merci beaucoup à vous cordialement madame canfin</t>
  </si>
  <si>
    <t>lila-105436</t>
  </si>
  <si>
    <t>Bonjour mon congé maternité commençais le 25 novembre 2019 j attendais l indemnisation car pour mon premier enfant je l ai reçue automatiquement sans aucune démarche  ( en 2017)j ai appelé en mars pour demander ils m ont demandé d envoyer des pièces dont les fiches de paie... j ai tout envoyer après rien j appelle chaque moi a chaque fois une histoire ( il manque une pièce , il faut refaire le dossier , il faut attendre  on n est pas encore sur votre dossier et là mon enfant a 15 mois sans recevoir mes indemnité . Je pense on a cotisé et cela est un droit absolu nous ne sommes en train de faire de la charité. J aimerais faire quelque chose biensur légale contre cette assurance car il faut arrêter de prendre les gens pour ....</t>
  </si>
  <si>
    <t>04/03/2021</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</si>
</sst>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2.57"/>
    <col customWidth="1" min="8" max="8" width="10.71"/>
    <col customWidth="1" min="9"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IFERROR(__xludf.DUMMYFUNCTION("GOOGLETRANSLATE(C2,""fr"",""en"")"),"To make sure everything is good to reimburse you go your way")</f>
        <v>To make sure everything is good to reimburse you go your way</v>
      </c>
    </row>
    <row r="3">
      <c r="A3" s="2">
        <v>1.0</v>
      </c>
      <c r="B3" s="2" t="s">
        <v>18</v>
      </c>
      <c r="C3" s="2" t="s">
        <v>19</v>
      </c>
      <c r="D3" s="2" t="s">
        <v>20</v>
      </c>
      <c r="E3" s="2" t="s">
        <v>14</v>
      </c>
      <c r="F3" s="2" t="s">
        <v>15</v>
      </c>
      <c r="G3" s="2" t="s">
        <v>21</v>
      </c>
      <c r="H3" s="2" t="s">
        <v>22</v>
      </c>
      <c r="I3" s="2" t="str">
        <f>IFERROR(__xludf.DUMMYFUNCTION("GOOGLETRANSLATE(C3,""fr"",""en"")"),"It's been two years that I have been a customer at Activessurance, I have subscribed to another insurance but despite that my new insurer sent the termination request 3 times, he pretended to receive nothing and he continues to take me, I find myself with"&amp;" two Auto insurer, contact me if you are in the same case, we will go through a mediator")</f>
        <v>It's been two years that I have been a customer at Activessurance, I have subscribed to another insurance but despite that my new insurer sent the termination request 3 times, he pretended to receive nothing and he continues to take me, I find myself with two Auto insurer, contact me if you are in the same case, we will go through a mediator</v>
      </c>
    </row>
    <row r="4">
      <c r="A4" s="2">
        <v>1.0</v>
      </c>
      <c r="B4" s="2" t="s">
        <v>23</v>
      </c>
      <c r="C4" s="2" t="s">
        <v>24</v>
      </c>
      <c r="D4" s="2" t="s">
        <v>25</v>
      </c>
      <c r="E4" s="2" t="s">
        <v>14</v>
      </c>
      <c r="F4" s="2" t="s">
        <v>15</v>
      </c>
      <c r="G4" s="2" t="s">
        <v>26</v>
      </c>
      <c r="H4" s="2" t="s">
        <v>27</v>
      </c>
      <c r="I4" s="2" t="str">
        <f>IFERROR(__xludf.DUMMYFUNCTION("GOOGLETRANSLATE(C4,""fr"",""en"")"),"Hello, after putting my car hanging by a truck, while my vehicle was parking along the roadway in a parking space, AXA insurance still hasn't taken care of the retro that has been damaged. It has been a year soon that the dispute is open and despite my ma"&amp;"ny calls, no return. I even took photos of the truck identifying his license plate but the insurer seems to defend more Dauphinois than their own insured.")</f>
        <v>Hello, after putting my car hanging by a truck, while my vehicle was parking along the roadway in a parking space, AXA insurance still hasn't taken care of the retro that has been damaged. It has been a year soon that the dispute is open and despite my many calls, no return. I even took photos of the truck identifying his license plate but the insurer seems to defend more Dauphinois than their own insured.</v>
      </c>
    </row>
    <row r="5">
      <c r="A5" s="2">
        <v>5.0</v>
      </c>
      <c r="B5" s="2" t="s">
        <v>28</v>
      </c>
      <c r="C5" s="2" t="s">
        <v>29</v>
      </c>
      <c r="D5" s="2" t="s">
        <v>30</v>
      </c>
      <c r="E5" s="2" t="s">
        <v>14</v>
      </c>
      <c r="F5" s="2" t="s">
        <v>15</v>
      </c>
      <c r="G5" s="2" t="s">
        <v>31</v>
      </c>
      <c r="H5" s="2" t="s">
        <v>32</v>
      </c>
      <c r="I5" s="2" t="str">
        <f>IFERROR(__xludf.DUMMYFUNCTION("GOOGLETRANSLATE(C5,""fr"",""en"")"),"I divided my car insurance by 2. and in addition to that at all risk. So I can only be satisfied with returned to Direct Insurance. And in addition they do home insurance.")</f>
        <v>I divided my car insurance by 2. and in addition to that at all risk. So I can only be satisfied with returned to Direct Insurance. And in addition they do home insurance.</v>
      </c>
    </row>
    <row r="6">
      <c r="A6" s="2">
        <v>4.0</v>
      </c>
      <c r="B6" s="2" t="s">
        <v>33</v>
      </c>
      <c r="C6" s="2" t="s">
        <v>34</v>
      </c>
      <c r="D6" s="2" t="s">
        <v>35</v>
      </c>
      <c r="E6" s="2" t="s">
        <v>36</v>
      </c>
      <c r="F6" s="2" t="s">
        <v>15</v>
      </c>
      <c r="G6" s="2" t="s">
        <v>37</v>
      </c>
      <c r="H6" s="2" t="s">
        <v>38</v>
      </c>
      <c r="I6" s="2" t="str">
        <f>IFERROR(__xludf.DUMMYFUNCTION("GOOGLETRANSLATE(C6,""fr"",""en"")"),"Lissa is a welcoming person and very attentive to her interlocutor.
Thanks to Lissa my problem very quickly found a solution.
Internet is good but human contact remains very appreciable.
Thank you")</f>
        <v>Lissa is a welcoming person and very attentive to her interlocutor.
Thanks to Lissa my problem very quickly found a solution.
Internet is good but human contact remains very appreciable.
Thank you</v>
      </c>
    </row>
    <row r="7">
      <c r="A7" s="2">
        <v>3.0</v>
      </c>
      <c r="B7" s="2" t="s">
        <v>39</v>
      </c>
      <c r="C7" s="2" t="s">
        <v>40</v>
      </c>
      <c r="D7" s="2" t="s">
        <v>41</v>
      </c>
      <c r="E7" s="2" t="s">
        <v>36</v>
      </c>
      <c r="F7" s="2" t="s">
        <v>15</v>
      </c>
      <c r="G7" s="2" t="s">
        <v>42</v>
      </c>
      <c r="H7" s="2" t="s">
        <v>43</v>
      </c>
      <c r="I7" s="2" t="str">
        <f>IFERROR(__xludf.DUMMYFUNCTION("GOOGLETRANSLATE(C7,""fr"",""en"")"),"(Article L. 113-15-1 of the Insurance Code) as well as the Mutuality Code Article 221-10 and contact the site ""Application.com Cheap Site at all.
They prepare a registered letter and a summons. Cegema fearing the court (their position does not hold) the"&amp;"y send you the certificate of radiation only way to force them to apply the law.")</f>
        <v>(Article L. 113-15-1 of the Insurance Code) as well as the Mutuality Code Article 221-10 and contact the site "Application.com Cheap Site at all.
They prepare a registered letter and a summons. Cegema fearing the court (their position does not hold) they send you the certificate of radiation only way to force them to apply the law.</v>
      </c>
    </row>
    <row r="8">
      <c r="A8" s="2">
        <v>3.0</v>
      </c>
      <c r="B8" s="2" t="s">
        <v>44</v>
      </c>
      <c r="C8" s="2" t="s">
        <v>45</v>
      </c>
      <c r="D8" s="2" t="s">
        <v>30</v>
      </c>
      <c r="E8" s="2" t="s">
        <v>14</v>
      </c>
      <c r="F8" s="2" t="s">
        <v>15</v>
      </c>
      <c r="G8" s="2" t="s">
        <v>46</v>
      </c>
      <c r="H8" s="2" t="s">
        <v>47</v>
      </c>
      <c r="I8" s="2" t="str">
        <f>IFERROR(__xludf.DUMMYFUNCTION("GOOGLETRANSLATE(C8,""fr"",""en"")"),"Very high increase in prices on 2021/2022 contribution calls. +6% !!!
I have 2 auto contracts, the 2 have increased in the same way, knowing that I am as much as possible and that I have not declared any damage. No explanation given by Direct Insurance d"&amp;"uring a telephone interview .....
In addition, as everyone knows, given the current health crisis, there is a sharp drop in traffic accidents.
Direct Insurance offers you an attractive price to attract you as a customer and you have a shameful increase "&amp;"in the second year ....")</f>
        <v>Very high increase in prices on 2021/2022 contribution calls. +6% !!!
I have 2 auto contracts, the 2 have increased in the same way, knowing that I am as much as possible and that I have not declared any damage. No explanation given by Direct Insurance during a telephone interview .....
In addition, as everyone knows, given the current health crisis, there is a sharp drop in traffic accidents.
Direct Insurance offers you an attractive price to attract you as a customer and you have a shameful increase in the second year ....</v>
      </c>
    </row>
    <row r="9">
      <c r="A9" s="2">
        <v>5.0</v>
      </c>
      <c r="B9" s="2" t="s">
        <v>48</v>
      </c>
      <c r="C9" s="2" t="s">
        <v>49</v>
      </c>
      <c r="D9" s="2" t="s">
        <v>50</v>
      </c>
      <c r="E9" s="2" t="s">
        <v>14</v>
      </c>
      <c r="F9" s="2" t="s">
        <v>15</v>
      </c>
      <c r="G9" s="2" t="s">
        <v>51</v>
      </c>
      <c r="H9" s="2" t="s">
        <v>52</v>
      </c>
      <c r="I9" s="2" t="str">
        <f>IFERROR(__xludf.DUMMYFUNCTION("GOOGLETRANSLATE(C9,""fr"",""en"")"),"I do not yet know if this insurance is good because I have just subscribed. So I cannot give an objective opinion on the quality of your services.")</f>
        <v>I do not yet know if this insurance is good because I have just subscribed. So I cannot give an objective opinion on the quality of your services.</v>
      </c>
    </row>
    <row r="10">
      <c r="A10" s="2">
        <v>5.0</v>
      </c>
      <c r="B10" s="2" t="s">
        <v>53</v>
      </c>
      <c r="C10" s="2" t="s">
        <v>54</v>
      </c>
      <c r="D10" s="2" t="s">
        <v>50</v>
      </c>
      <c r="E10" s="2" t="s">
        <v>14</v>
      </c>
      <c r="F10" s="2" t="s">
        <v>15</v>
      </c>
      <c r="G10" s="2" t="s">
        <v>55</v>
      </c>
      <c r="H10" s="2" t="s">
        <v>38</v>
      </c>
      <c r="I10" s="2" t="str">
        <f>IFERROR(__xludf.DUMMYFUNCTION("GOOGLETRANSLATE(C10,""fr"",""en"")"),"I am satisfied with the TOP Advisor to the Top Explanation of the Details of the Insurance Contract
I highly recommend the L olive assurance
")</f>
        <v>I am satisfied with the TOP Advisor to the Top Explanation of the Details of the Insurance Contract
I highly recommend the L olive assurance
</v>
      </c>
    </row>
    <row r="11">
      <c r="A11" s="2">
        <v>2.0</v>
      </c>
      <c r="B11" s="2" t="s">
        <v>56</v>
      </c>
      <c r="C11" s="2" t="s">
        <v>57</v>
      </c>
      <c r="D11" s="2" t="s">
        <v>30</v>
      </c>
      <c r="E11" s="2" t="s">
        <v>14</v>
      </c>
      <c r="F11" s="2" t="s">
        <v>15</v>
      </c>
      <c r="G11" s="2" t="s">
        <v>58</v>
      </c>
      <c r="H11" s="2" t="s">
        <v>32</v>
      </c>
      <c r="I11" s="2" t="str">
        <f>IFERROR(__xludf.DUMMYFUNCTION("GOOGLETRANSLATE(C11,""fr"",""en"")"),"For home insurance does not be able to ensure foodstuffs in the event of freezer failures otherwise the price is correct I am quite satisfied")</f>
        <v>For home insurance does not be able to ensure foodstuffs in the event of freezer failures otherwise the price is correct I am quite satisfied</v>
      </c>
    </row>
    <row r="12">
      <c r="A12" s="2">
        <v>2.0</v>
      </c>
      <c r="B12" s="2" t="s">
        <v>59</v>
      </c>
      <c r="C12" s="2" t="s">
        <v>60</v>
      </c>
      <c r="D12" s="2" t="s">
        <v>30</v>
      </c>
      <c r="E12" s="2" t="s">
        <v>14</v>
      </c>
      <c r="F12" s="2" t="s">
        <v>15</v>
      </c>
      <c r="G12" s="2" t="s">
        <v>52</v>
      </c>
      <c r="H12" s="2" t="s">
        <v>52</v>
      </c>
      <c r="I12" s="2" t="str">
        <f>IFERROR(__xludf.DUMMYFUNCTION("GOOGLETRANSLATE(C12,""fr"",""en"")"),"The price of insurance continues to increase from year to year, ... Yet no claim to declare, without any justification for direct insurance.
The advertisement says ""200 € less on average"" is caught up after 4 years.
I'm going to go to Maaf much cheape"&amp;"r
Philippe")</f>
        <v>The price of insurance continues to increase from year to year, ... Yet no claim to declare, without any justification for direct insurance.
The advertisement says "200 € less on average" is caught up after 4 years.
I'm going to go to Maaf much cheaper
Philippe</v>
      </c>
    </row>
    <row r="13">
      <c r="A13" s="2">
        <v>5.0</v>
      </c>
      <c r="B13" s="2" t="s">
        <v>61</v>
      </c>
      <c r="C13" s="2" t="s">
        <v>62</v>
      </c>
      <c r="D13" s="2" t="s">
        <v>30</v>
      </c>
      <c r="E13" s="2" t="s">
        <v>14</v>
      </c>
      <c r="F13" s="2" t="s">
        <v>15</v>
      </c>
      <c r="G13" s="2" t="s">
        <v>63</v>
      </c>
      <c r="H13" s="2" t="s">
        <v>64</v>
      </c>
      <c r="I13" s="2" t="str">
        <f>IFERROR(__xludf.DUMMYFUNCTION("GOOGLETRANSLATE(C13,""fr"",""en"")"),"Prices suit me and secure becomes simple
Prices suit me and secure becomes simple
Prices suit me and secure becomes simple")</f>
        <v>Prices suit me and secure becomes simple
Prices suit me and secure becomes simple
Prices suit me and secure becomes simple</v>
      </c>
    </row>
    <row r="14">
      <c r="A14" s="2">
        <v>2.0</v>
      </c>
      <c r="B14" s="2" t="s">
        <v>65</v>
      </c>
      <c r="C14" s="2" t="s">
        <v>66</v>
      </c>
      <c r="D14" s="2" t="s">
        <v>67</v>
      </c>
      <c r="E14" s="2" t="s">
        <v>68</v>
      </c>
      <c r="F14" s="2" t="s">
        <v>15</v>
      </c>
      <c r="G14" s="2" t="s">
        <v>69</v>
      </c>
      <c r="H14" s="2" t="s">
        <v>70</v>
      </c>
      <c r="I14" s="2" t="str">
        <f>IFERROR(__xludf.DUMMYFUNCTION("GOOGLETRANSLATE(C14,""fr"",""en"")"),"Following a burglary with break -in I find myself desperately waiting for a return from Crédit Mutuel. Their multi -mass provider banana for 6 weeks for nothing because I had to start from scratch and redo quotes by myself to change the windows destroyed "&amp;"at the foot of the doe. After many reminders they inform me that in fact it is the assurance of the COPRO who must intervene (after 6 weeks! Scandalous) and on a big start ... This while Multiassistance had a quote from the start ...
I ask them to do the"&amp;"ir job as an insurer and end up sending an expert from a service provider who takes a report 2 weeks.
After many reminders I learn yesterday that the manager of my file at Crédit Mutuel questioned by email the expert to ""rectify the costing"" this when "&amp;"they have 2 quotes at their disposal.
So for the moment after 2 months I still have no news on the care of my disaster, a scandal!
FYI one of my window doors no longer close and the air passes on all sides but everyone is fucked up ...
If you are robbe"&amp;"d and you are the victim of vandalism it is better not to be insured at Crédit Mutuel.
Yet from the declaration of the online loss the day after the burglary I thought I had done well by calling on their service provider Zn.me. As such as Mon.Dossier wil"&amp;"l be treated quickly ... It is a disaster. I anxiety and I can't see the end. My office colleagues and all those to whom I talk about it do not understand either. Being a victim of a burglary is not easy to live but the lack of consideration of the insure"&amp;"r is also traumatic")</f>
        <v>Following a burglary with break -in I find myself desperately waiting for a return from Crédit Mutuel. Their multi -mass provider banana for 6 weeks for nothing because I had to start from scratch and redo quotes by myself to change the windows destroyed at the foot of the doe. After many reminders they inform me that in fact it is the assurance of the COPRO who must intervene (after 6 weeks! Scandalous) and on a big start ... This while Multiassistance had a quote from the start ...
I ask them to do their job as an insurer and end up sending an expert from a service provider who takes a report 2 weeks.
After many reminders I learn yesterday that the manager of my file at Crédit Mutuel questioned by email the expert to "rectify the costing" this when they have 2 quotes at their disposal.
So for the moment after 2 months I still have no news on the care of my disaster, a scandal!
FYI one of my window doors no longer close and the air passes on all sides but everyone is fucked up ...
If you are robbed and you are the victim of vandalism it is better not to be insured at Crédit Mutuel.
Yet from the declaration of the online loss the day after the burglary I thought I had done well by calling on their service provider Zn.me. As such as Mon.Dossier will be treated quickly ... It is a disaster. I anxiety and I can't see the end. My office colleagues and all those to whom I talk about it do not understand either. Being a victim of a burglary is not easy to live but the lack of consideration of the insurer is also traumatic</v>
      </c>
    </row>
    <row r="15">
      <c r="A15" s="2">
        <v>2.0</v>
      </c>
      <c r="B15" s="2" t="s">
        <v>71</v>
      </c>
      <c r="C15" s="2" t="s">
        <v>72</v>
      </c>
      <c r="D15" s="2" t="s">
        <v>30</v>
      </c>
      <c r="E15" s="2" t="s">
        <v>14</v>
      </c>
      <c r="F15" s="2" t="s">
        <v>15</v>
      </c>
      <c r="G15" s="2" t="s">
        <v>73</v>
      </c>
      <c r="H15" s="2" t="s">
        <v>52</v>
      </c>
      <c r="I15" s="2" t="str">
        <f>IFERROR(__xludf.DUMMYFUNCTION("GOOGLETRANSLATE(C15,""fr"",""en"")"),"I am not satisfied with the management of my subscriptions and the price (no delivery since 2018). Today I wish to terminate my subscriptions
THANK YOU")</f>
        <v>I am not satisfied with the management of my subscriptions and the price (no delivery since 2018). Today I wish to terminate my subscriptions
THANK YOU</v>
      </c>
    </row>
    <row r="16">
      <c r="A16" s="2">
        <v>4.0</v>
      </c>
      <c r="B16" s="2" t="s">
        <v>74</v>
      </c>
      <c r="C16" s="2" t="s">
        <v>75</v>
      </c>
      <c r="D16" s="2" t="s">
        <v>50</v>
      </c>
      <c r="E16" s="2" t="s">
        <v>14</v>
      </c>
      <c r="F16" s="2" t="s">
        <v>15</v>
      </c>
      <c r="G16" s="2" t="s">
        <v>76</v>
      </c>
      <c r="H16" s="2" t="s">
        <v>52</v>
      </c>
      <c r="I16" s="2" t="str">
        <f>IFERROR(__xludf.DUMMYFUNCTION("GOOGLETRANSLATE(C16,""fr"",""en"")"),"I am quite satisfied with a first insurance ... I do not know this insurance, I hope I have made the right choice;) I thank the a person that validated my quote.")</f>
        <v>I am quite satisfied with a first insurance ... I do not know this insurance, I hope I have made the right choice;) I thank the a person that validated my quote.</v>
      </c>
    </row>
    <row r="17">
      <c r="A17" s="2">
        <v>1.0</v>
      </c>
      <c r="B17" s="2" t="s">
        <v>77</v>
      </c>
      <c r="C17" s="2" t="s">
        <v>78</v>
      </c>
      <c r="D17" s="2" t="s">
        <v>79</v>
      </c>
      <c r="E17" s="2" t="s">
        <v>80</v>
      </c>
      <c r="F17" s="2" t="s">
        <v>15</v>
      </c>
      <c r="G17" s="2" t="s">
        <v>81</v>
      </c>
      <c r="H17" s="2" t="s">
        <v>82</v>
      </c>
      <c r="I17" s="2" t="str">
        <f>IFERROR(__xludf.DUMMYFUNCTION("GOOGLETRANSLATE(C17,""fr"",""en"")"),"To flee I took home loan insurance they no longer want to take care of me since he passed my expert doctor who was completely zero a retiree who makes better room for a young doctor I am reached From rheumatoid arthritis he did not read my medical file th"&amp;"at I had brought to the interview so result he gave his conclusions to Cardif who no longer wants to pay me I am regularly followed by doctors because I Horse finger covers necks shoulder arm legs paralyzed and prevents me from work the cpam has just gone"&amp;" into disability 2 category I announce it to cardif by phone they don't care they do not take into account the medical opinions of Doctors who follow me as well as the disability of the CPAM to date I cannot work I make my file go on Friday morning to do "&amp;"a procedure against them with my lawyer in any case I repeat does not go to their home for V ou")</f>
        <v>To flee I took home loan insurance they no longer want to take care of me since he passed my expert doctor who was completely zero a retiree who makes better room for a young doctor I am reached From rheumatoid arthritis he did not read my medical file that I had brought to the interview so result he gave his conclusions to Cardif who no longer wants to pay me I am regularly followed by doctors because I Horse finger covers necks shoulder arm legs paralyzed and prevents me from work the cpam has just gone into disability 2 category I announce it to cardif by phone they don't care they do not take into account the medical opinions of Doctors who follow me as well as the disability of the CPAM to date I cannot work I make my file go on Friday morning to do a procedure against them with my lawyer in any case I repeat does not go to their home for V ou</v>
      </c>
    </row>
    <row r="18">
      <c r="A18" s="2">
        <v>1.0</v>
      </c>
      <c r="B18" s="2" t="s">
        <v>83</v>
      </c>
      <c r="C18" s="2" t="s">
        <v>84</v>
      </c>
      <c r="D18" s="2" t="s">
        <v>85</v>
      </c>
      <c r="E18" s="2" t="s">
        <v>36</v>
      </c>
      <c r="F18" s="2" t="s">
        <v>15</v>
      </c>
      <c r="G18" s="2" t="s">
        <v>86</v>
      </c>
      <c r="H18" s="2" t="s">
        <v>32</v>
      </c>
      <c r="I18" s="2" t="str">
        <f>IFERROR(__xludf.DUMMYFUNCTION("GOOGLETRANSLATE(C18,""fr"",""en"")"),"Opinion on the mutual health insurance (company contract) arpere provident
Since 01/01/2021, AG2R has merged with Arpege and the problems have started: Arpège allows himself to no longer respond to emails or with an indecent response time of several week"&amp;"s and answers anything, no arpège n advisor n 'is more reachable by phone now. Arpège does not accuse reception of the emails you send. Everything is done so that you can no longer contact Arpege Provident but the contributions they are well debited.
The"&amp;" ""advisers"" on the phone themselves do not even know to which number orient the insured in the case of corporate contracts arpege provoyance.
")</f>
        <v>Opinion on the mutual health insurance (company contract) arpere provident
Since 01/01/2021, AG2R has merged with Arpege and the problems have started: Arpège allows himself to no longer respond to emails or with an indecent response time of several weeks and answers anything, no arpège n advisor n 'is more reachable by phone now. Arpège does not accuse reception of the emails you send. Everything is done so that you can no longer contact Arpege Provident but the contributions they are well debited.
The "advisers" on the phone themselves do not even know to which number orient the insured in the case of corporate contracts arpege provoyance.
</v>
      </c>
    </row>
    <row r="19">
      <c r="A19" s="2">
        <v>1.0</v>
      </c>
      <c r="B19" s="2" t="s">
        <v>87</v>
      </c>
      <c r="C19" s="2" t="s">
        <v>88</v>
      </c>
      <c r="D19" s="2" t="s">
        <v>89</v>
      </c>
      <c r="E19" s="2" t="s">
        <v>90</v>
      </c>
      <c r="F19" s="2" t="s">
        <v>15</v>
      </c>
      <c r="G19" s="2" t="s">
        <v>91</v>
      </c>
      <c r="H19" s="2" t="s">
        <v>91</v>
      </c>
      <c r="I19" s="2" t="str">
        <f>IFERROR(__xludf.DUMMYFUNCTION("GOOGLETRANSLATE(C19,""fr"",""en"")"),"I am one of the big big GAN life insurance contracts. However, I have never had one advice in more than 15 years.
Worse still an """" advisor ""having not done his job, I found myself in the door with the tax administration. I tried everything to have th"&amp;"is error rectified. Nothing did. I fell On a wall of incompetence and will to do nothing. The personal reluctant to recognize his errors and do the necessary going so far as to produce anti -dated documents. Even the intervention of the general management"&amp;" of the Gan was useless If it is not to regret his impossibility to make his staff work normally. Power is in the hands of Soufiffres Queqlques whose only concern is above all and on everything.
This company is to be flee. Especially since the results of"&amp;" his life insurance are absolutely catastrophic. And prove if their high level of incompetence was still needed.
")</f>
        <v>I am one of the big big GAN life insurance contracts. However, I have never had one advice in more than 15 years.
Worse still an "" advisor "having not done his job, I found myself in the door with the tax administration. I tried everything to have this error rectified. Nothing did. I fell On a wall of incompetence and will to do nothing. The personal reluctant to recognize his errors and do the necessary going so far as to produce anti -dated documents. Even the intervention of the general management of the Gan was useless If it is not to regret his impossibility to make his staff work normally. Power is in the hands of Soufiffres Queqlques whose only concern is above all and on everything.
This company is to be flee. Especially since the results of his life insurance are absolutely catastrophic. And prove if their high level of incompetence was still needed.
</v>
      </c>
    </row>
    <row r="20">
      <c r="A20" s="2">
        <v>1.0</v>
      </c>
      <c r="B20" s="2" t="s">
        <v>92</v>
      </c>
      <c r="C20" s="2" t="s">
        <v>93</v>
      </c>
      <c r="D20" s="2" t="s">
        <v>94</v>
      </c>
      <c r="E20" s="2" t="s">
        <v>36</v>
      </c>
      <c r="F20" s="2" t="s">
        <v>15</v>
      </c>
      <c r="G20" s="2" t="s">
        <v>95</v>
      </c>
      <c r="H20" s="2" t="s">
        <v>96</v>
      </c>
      <c r="I20" s="2" t="str">
        <f>IFERROR(__xludf.DUMMYFUNCTION("GOOGLETRANSLATE(C20,""fr"",""en"")"),"A loved one was notified by the MGP, 8 years1/2 after the death of an uncle, that she, and therefore in principle me and my cousin (e) s, were benefiting from death insurance he had taken out .
Then a real hassle!
We may do research and send them all "&amp;"the documents they ask for, there is a family booklet of uncle not found so long after (no child, those close to all deceased and a lady who reached the Alzheimer stadium) .
The MGP have investigators and genealogicals that they obviously appeal.
On the"&amp;" phone there is a very powerful filtering barrage whose role obviously consists in identifying unwelcome.
Impossible to have a human really taking care of the file (it happened to me only once).
If you must have relations with them ""dialogue"" only by "&amp;"registered letter.
Impossible to know what is the exact amount of global capital (if we knew the derisory sum we would drop ...).
Impossible for almost all of the nephews and nieces to know if they are even beneficiaries.
The 10 years arriving the su"&amp;"m will therefore take the direction of the Caisse des Dépôts et Consignations…")</f>
        <v>A loved one was notified by the MGP, 8 years1/2 after the death of an uncle, that she, and therefore in principle me and my cousin (e) s, were benefiting from death insurance he had taken out .
Then a real hassle!
We may do research and send them all the documents they ask for, there is a family booklet of uncle not found so long after (no child, those close to all deceased and a lady who reached the Alzheimer stadium) .
The MGP have investigators and genealogicals that they obviously appeal.
On the phone there is a very powerful filtering barrage whose role obviously consists in identifying unwelcome.
Impossible to have a human really taking care of the file (it happened to me only once).
If you must have relations with them "dialogue" only by registered letter.
Impossible to know what is the exact amount of global capital (if we knew the derisory sum we would drop ...).
Impossible for almost all of the nephews and nieces to know if they are even beneficiaries.
The 10 years arriving the sum will therefore take the direction of the Caisse des Dépôts et Consignations…</v>
      </c>
    </row>
    <row r="21" ht="15.75" customHeight="1">
      <c r="A21" s="2">
        <v>1.0</v>
      </c>
      <c r="B21" s="2" t="s">
        <v>97</v>
      </c>
      <c r="C21" s="2" t="s">
        <v>98</v>
      </c>
      <c r="D21" s="2" t="s">
        <v>99</v>
      </c>
      <c r="E21" s="2" t="s">
        <v>100</v>
      </c>
      <c r="F21" s="2" t="s">
        <v>15</v>
      </c>
      <c r="G21" s="2" t="s">
        <v>55</v>
      </c>
      <c r="H21" s="2" t="s">
        <v>38</v>
      </c>
      <c r="I21" s="2" t="str">
        <f>IFERROR(__xludf.DUMMYFUNCTION("GOOGLETRANSLATE(C21,""fr"",""en"")"),"Disaster! I just realized that my monthly contribution went from 20 euros to 44 euros !! And this for years. I have lost almost 1000 euros because of this insurance and I cannot even stop my PQ subscription they are unreachable ...")</f>
        <v>Disaster! I just realized that my monthly contribution went from 20 euros to 44 euros !! And this for years. I have lost almost 1000 euros because of this insurance and I cannot even stop my PQ subscription they are unreachable ...</v>
      </c>
    </row>
    <row r="22" ht="15.75" customHeight="1">
      <c r="A22" s="2">
        <v>5.0</v>
      </c>
      <c r="B22" s="2" t="s">
        <v>101</v>
      </c>
      <c r="C22" s="2" t="s">
        <v>102</v>
      </c>
      <c r="D22" s="2" t="s">
        <v>50</v>
      </c>
      <c r="E22" s="2" t="s">
        <v>14</v>
      </c>
      <c r="F22" s="2" t="s">
        <v>15</v>
      </c>
      <c r="G22" s="2" t="s">
        <v>103</v>
      </c>
      <c r="H22" s="2" t="s">
        <v>64</v>
      </c>
      <c r="I22" s="2" t="str">
        <f>IFERROR(__xludf.DUMMYFUNCTION("GOOGLETRANSLATE(C22,""fr"",""en"")"),"Very satisfied with customer service, the prices are very interesting compared to other insurers, I will gladly recommend the Olivier to my knowledge")</f>
        <v>Very satisfied with customer service, the prices are very interesting compared to other insurers, I will gladly recommend the Olivier to my knowledge</v>
      </c>
    </row>
    <row r="23" ht="15.75" customHeight="1">
      <c r="A23" s="2">
        <v>5.0</v>
      </c>
      <c r="B23" s="2" t="s">
        <v>104</v>
      </c>
      <c r="C23" s="2" t="s">
        <v>105</v>
      </c>
      <c r="D23" s="2" t="s">
        <v>50</v>
      </c>
      <c r="E23" s="2" t="s">
        <v>14</v>
      </c>
      <c r="F23" s="2" t="s">
        <v>15</v>
      </c>
      <c r="G23" s="2" t="s">
        <v>106</v>
      </c>
      <c r="H23" s="2" t="s">
        <v>107</v>
      </c>
      <c r="I23" s="2" t="str">
        <f>IFERROR(__xludf.DUMMYFUNCTION("GOOGLETRANSLATE(C23,""fr"",""en"")"),"The prices are attractive, the Internet interface is very easy to use. Very satisfied for my previous car, I took a contract with you again")</f>
        <v>The prices are attractive, the Internet interface is very easy to use. Very satisfied for my previous car, I took a contract with you again</v>
      </c>
    </row>
    <row r="24" ht="15.75" customHeight="1">
      <c r="A24" s="2">
        <v>1.0</v>
      </c>
      <c r="B24" s="2" t="s">
        <v>108</v>
      </c>
      <c r="C24" s="2" t="s">
        <v>109</v>
      </c>
      <c r="D24" s="2" t="s">
        <v>110</v>
      </c>
      <c r="E24" s="2" t="s">
        <v>111</v>
      </c>
      <c r="F24" s="2" t="s">
        <v>15</v>
      </c>
      <c r="G24" s="2" t="s">
        <v>112</v>
      </c>
      <c r="H24" s="2" t="s">
        <v>113</v>
      </c>
      <c r="I24" s="2" t="str">
        <f>IFERROR(__xludf.DUMMYFUNCTION("GOOGLETRANSLATE(C24,""fr"",""en"")"),"No Honoré reminders, no answers to emails, monitoring laborious of a disaster due to but obviously obviously samples always punctual ...
What suicidal could subscribe to this insurance currently?")</f>
        <v>No Honoré reminders, no answers to emails, monitoring laborious of a disaster due to but obviously obviously samples always punctual ...
What suicidal could subscribe to this insurance currently?</v>
      </c>
    </row>
    <row r="25" ht="15.75" customHeight="1">
      <c r="A25" s="2">
        <v>1.0</v>
      </c>
      <c r="B25" s="2" t="s">
        <v>114</v>
      </c>
      <c r="C25" s="2" t="s">
        <v>115</v>
      </c>
      <c r="D25" s="2" t="s">
        <v>25</v>
      </c>
      <c r="E25" s="2" t="s">
        <v>116</v>
      </c>
      <c r="F25" s="2" t="s">
        <v>15</v>
      </c>
      <c r="G25" s="2" t="s">
        <v>117</v>
      </c>
      <c r="H25" s="2" t="s">
        <v>107</v>
      </c>
      <c r="I25" s="2" t="str">
        <f>IFERROR(__xludf.DUMMYFUNCTION("GOOGLETRANSLATE(C25,""fr"",""en"")"),"Request for buyout and the problem there is a bug so have not known when your funds are fired the advisers are on absent subscribers that do except wait for the central office your file is complete but here is an anomaly in the transfers flee this insurer")</f>
        <v>Request for buyout and the problem there is a bug so have not known when your funds are fired the advisers are on absent subscribers that do except wait for the central office your file is complete but here is an anomaly in the transfers flee this insurer</v>
      </c>
    </row>
    <row r="26" ht="15.75" customHeight="1">
      <c r="A26" s="2">
        <v>1.0</v>
      </c>
      <c r="B26" s="2" t="s">
        <v>118</v>
      </c>
      <c r="C26" s="2" t="s">
        <v>119</v>
      </c>
      <c r="D26" s="2" t="s">
        <v>30</v>
      </c>
      <c r="E26" s="2" t="s">
        <v>14</v>
      </c>
      <c r="F26" s="2" t="s">
        <v>15</v>
      </c>
      <c r="G26" s="2" t="s">
        <v>120</v>
      </c>
      <c r="H26" s="2" t="s">
        <v>32</v>
      </c>
      <c r="I26" s="2" t="str">
        <f>IFERROR(__xludf.DUMMYFUNCTION("GOOGLETRANSLATE(C26,""fr"",""en"")"),"Insurance to avoid at all costs!
Just there to collect bonuses!
Be careful during your declaration of a claim, the slightest misstep (even if it is in good faith) and it is the refusal to cover damage and if you dispute their decision, it is the door!")</f>
        <v>Insurance to avoid at all costs!
Just there to collect bonuses!
Be careful during your declaration of a claim, the slightest misstep (even if it is in good faith) and it is the refusal to cover damage and if you dispute their decision, it is the door!</v>
      </c>
    </row>
    <row r="27" ht="15.75" customHeight="1">
      <c r="A27" s="2">
        <v>2.0</v>
      </c>
      <c r="B27" s="2" t="s">
        <v>121</v>
      </c>
      <c r="C27" s="2" t="s">
        <v>122</v>
      </c>
      <c r="D27" s="2" t="s">
        <v>30</v>
      </c>
      <c r="E27" s="2" t="s">
        <v>14</v>
      </c>
      <c r="F27" s="2" t="s">
        <v>15</v>
      </c>
      <c r="G27" s="2" t="s">
        <v>123</v>
      </c>
      <c r="H27" s="2" t="s">
        <v>124</v>
      </c>
      <c r="I27" s="2" t="str">
        <f>IFERROR(__xludf.DUMMYFUNCTION("GOOGLETRANSLATE(C27,""fr"",""en"")"),"Hello,
Fire anti -fog before broken left, so I had an emergency repaired in view of the end -of -year weather circumstances (rain, snow, fog), being five aboard the car, price 358 euros. I then contact Direct Insurance for reimbursement, as a break in ic"&amp;"e. Direct Insurance refuses pretending that an expert was needed.
")</f>
        <v>Hello,
Fire anti -fog before broken left, so I had an emergency repaired in view of the end -of -year weather circumstances (rain, snow, fog), being five aboard the car, price 358 euros. I then contact Direct Insurance for reimbursement, as a break in ice. Direct Insurance refuses pretending that an expert was needed.
</v>
      </c>
    </row>
    <row r="28" ht="15.75" customHeight="1">
      <c r="A28" s="2">
        <v>5.0</v>
      </c>
      <c r="B28" s="2" t="s">
        <v>125</v>
      </c>
      <c r="C28" s="2" t="s">
        <v>126</v>
      </c>
      <c r="D28" s="2" t="s">
        <v>50</v>
      </c>
      <c r="E28" s="2" t="s">
        <v>14</v>
      </c>
      <c r="F28" s="2" t="s">
        <v>15</v>
      </c>
      <c r="G28" s="2" t="s">
        <v>127</v>
      </c>
      <c r="H28" s="2" t="s">
        <v>64</v>
      </c>
      <c r="I28" s="2" t="str">
        <f>IFERROR(__xludf.DUMMYFUNCTION("GOOGLETRANSLATE(C28,""fr"",""en"")"),"I am satisfied with the listening product and the explanations I was waiting for personally I will recommend your agency for the reception and your prices thank you")</f>
        <v>I am satisfied with the listening product and the explanations I was waiting for personally I will recommend your agency for the reception and your prices thank you</v>
      </c>
    </row>
    <row r="29" ht="15.75" customHeight="1">
      <c r="A29" s="2">
        <v>1.0</v>
      </c>
      <c r="B29" s="2" t="s">
        <v>128</v>
      </c>
      <c r="C29" s="2" t="s">
        <v>129</v>
      </c>
      <c r="D29" s="2" t="s">
        <v>50</v>
      </c>
      <c r="E29" s="2" t="s">
        <v>14</v>
      </c>
      <c r="F29" s="2" t="s">
        <v>15</v>
      </c>
      <c r="G29" s="2" t="s">
        <v>130</v>
      </c>
      <c r="H29" s="2" t="s">
        <v>131</v>
      </c>
      <c r="I29" s="2" t="str">
        <f>IFERROR(__xludf.DUMMYFUNCTION("GOOGLETRANSLATE(C29,""fr"",""en"")"),"It is a shame, for a non -responsible disaster, to have an increase of more than € 300 of your car contract as well as a commercial gesture of € 6 !!! I absolutely do not recommend this insurer. If you want nothing in return, go your eyes closed it will b"&amp;"e satisfied if you are really waiting for a service from your insurer or go especially. A good hearing !!!")</f>
        <v>It is a shame, for a non -responsible disaster, to have an increase of more than € 300 of your car contract as well as a commercial gesture of € 6 !!! I absolutely do not recommend this insurer. If you want nothing in return, go your eyes closed it will be satisfied if you are really waiting for a service from your insurer or go especially. A good hearing !!!</v>
      </c>
    </row>
    <row r="30" ht="15.75" customHeight="1">
      <c r="A30" s="2">
        <v>4.0</v>
      </c>
      <c r="B30" s="2" t="s">
        <v>132</v>
      </c>
      <c r="C30" s="2" t="s">
        <v>133</v>
      </c>
      <c r="D30" s="2" t="s">
        <v>134</v>
      </c>
      <c r="E30" s="2" t="s">
        <v>36</v>
      </c>
      <c r="F30" s="2" t="s">
        <v>15</v>
      </c>
      <c r="G30" s="2" t="s">
        <v>135</v>
      </c>
      <c r="H30" s="2" t="s">
        <v>38</v>
      </c>
      <c r="I30" s="2" t="str">
        <f>IFERROR(__xludf.DUMMYFUNCTION("GOOGLETRANSLATE(C30,""fr"",""en"")"),"Following my telephone call I was well received by Georges
Impeccable, respectful, courteous
Very well informed about my contract
I recommend
Cordially
")</f>
        <v>Following my telephone call I was well received by Georges
Impeccable, respectful, courteous
Very well informed about my contract
I recommend
Cordially
</v>
      </c>
    </row>
    <row r="31" ht="15.75" customHeight="1">
      <c r="A31" s="2">
        <v>2.0</v>
      </c>
      <c r="B31" s="2" t="s">
        <v>136</v>
      </c>
      <c r="C31" s="2" t="s">
        <v>137</v>
      </c>
      <c r="D31" s="2" t="s">
        <v>35</v>
      </c>
      <c r="E31" s="2" t="s">
        <v>36</v>
      </c>
      <c r="F31" s="2" t="s">
        <v>15</v>
      </c>
      <c r="G31" s="2" t="s">
        <v>138</v>
      </c>
      <c r="H31" s="2" t="s">
        <v>64</v>
      </c>
      <c r="I31" s="2" t="str">
        <f>IFERROR(__xludf.DUMMYFUNCTION("GOOGLETRANSLATE(C31,""fr"",""en"")"),"I subscribed on August 1, 2021 for a health mutual, social security is still not aware that I have a complementary health CE despite the many calls for Santiane customer service! I also show them that I do not have access to my customer account because ap"&amp;"parently we do not recognize the email address with which I have subscribed to this insurance, of course nothing to move! But on the other hand the samples from my bank account are taken without problem. I have medical fees to be reimbursed but as custome"&amp;"r service has not lifted a finger to take into account my request, suddenly I am in a financial ***** because I would not have a refund in the immediate future. Disappointed with this complementary health and as well as customer service which themselves m"&amp;"y insured that they were going to do the necessary by transmitting the request to the service concerned and nothing has moved.")</f>
        <v>I subscribed on August 1, 2021 for a health mutual, social security is still not aware that I have a complementary health CE despite the many calls for Santiane customer service! I also show them that I do not have access to my customer account because apparently we do not recognize the email address with which I have subscribed to this insurance, of course nothing to move! But on the other hand the samples from my bank account are taken without problem. I have medical fees to be reimbursed but as customer service has not lifted a finger to take into account my request, suddenly I am in a financial ***** because I would not have a refund in the immediate future. Disappointed with this complementary health and as well as customer service which themselves my insured that they were going to do the necessary by transmitting the request to the service concerned and nothing has moved.</v>
      </c>
    </row>
    <row r="32" ht="15.75" customHeight="1">
      <c r="A32" s="2">
        <v>2.0</v>
      </c>
      <c r="B32" s="2" t="s">
        <v>139</v>
      </c>
      <c r="C32" s="2" t="s">
        <v>140</v>
      </c>
      <c r="D32" s="2" t="s">
        <v>141</v>
      </c>
      <c r="E32" s="2" t="s">
        <v>68</v>
      </c>
      <c r="F32" s="2" t="s">
        <v>15</v>
      </c>
      <c r="G32" s="2" t="s">
        <v>142</v>
      </c>
      <c r="H32" s="2" t="s">
        <v>43</v>
      </c>
      <c r="I32" s="2" t="str">
        <f>IFERROR(__xludf.DUMMYFUNCTION("GOOGLETRANSLATE(C32,""fr"",""en"")"),"40 years with Maif without any disaster home. A very small part of my roof flies away following Mini-Time recognized by Météo France. The whole neighborhood is compensated for various degrees, except me who am in Maif. Conclusion, you believe yourself, yo"&amp;"u stupidly pay high prices for decades without asking questions. Well it is wrong even if it is not to be compensated at all, go to the cheapest insurer and follow the UFC / Que Choisir council demonstrating that loyalty does not pay and that you have to "&amp;"change Insurer, the latter offering you competitive prices especially if you are a ""good"" risk (2 maximum bonus vehicles and no claims compensated in housing for 40 years). I will therefore see elsewhere and allow everyone to copy and paste my message t"&amp;"o dismantle this myth of a ""insurer-militant"" a monument of com. that I believe at the limit of lies. No, other insurers are probably hardly better than maif but at least they do not boast of an alleged ethical superiority. - We know what happened to Ca"&amp;"mif in its time.")</f>
        <v>40 years with Maif without any disaster home. A very small part of my roof flies away following Mini-Time recognized by Météo France. The whole neighborhood is compensated for various degrees, except me who am in Maif. Conclusion, you believe yourself, you stupidly pay high prices for decades without asking questions. Well it is wrong even if it is not to be compensated at all, go to the cheapest insurer and follow the UFC / Que Choisir council demonstrating that loyalty does not pay and that you have to change Insurer, the latter offering you competitive prices especially if you are a "good" risk (2 maximum bonus vehicles and no claims compensated in housing for 40 years). I will therefore see elsewhere and allow everyone to copy and paste my message to dismantle this myth of a "insurer-militant" a monument of com. that I believe at the limit of lies. No, other insurers are probably hardly better than maif but at least they do not boast of an alleged ethical superiority. - We know what happened to Camif in its time.</v>
      </c>
    </row>
    <row r="33" ht="15.75" customHeight="1">
      <c r="A33" s="2">
        <v>4.0</v>
      </c>
      <c r="B33" s="2" t="s">
        <v>143</v>
      </c>
      <c r="C33" s="2" t="s">
        <v>144</v>
      </c>
      <c r="D33" s="2" t="s">
        <v>145</v>
      </c>
      <c r="E33" s="2" t="s">
        <v>111</v>
      </c>
      <c r="F33" s="2" t="s">
        <v>15</v>
      </c>
      <c r="G33" s="2" t="s">
        <v>146</v>
      </c>
      <c r="H33" s="2" t="s">
        <v>38</v>
      </c>
      <c r="I33" s="2" t="str">
        <f>IFERROR(__xludf.DUMMYFUNCTION("GOOGLETRANSLATE(C33,""fr"",""en"")"),"I am satisfied with the service, no problem reporting.
The prices are competitive, the online subscription is easy.
I regularly recommend your company with my friends.")</f>
        <v>I am satisfied with the service, no problem reporting.
The prices are competitive, the online subscription is easy.
I regularly recommend your company with my friends.</v>
      </c>
    </row>
    <row r="34" ht="15.75" customHeight="1">
      <c r="A34" s="2">
        <v>1.0</v>
      </c>
      <c r="B34" s="2" t="s">
        <v>147</v>
      </c>
      <c r="C34" s="2" t="s">
        <v>148</v>
      </c>
      <c r="D34" s="2" t="s">
        <v>134</v>
      </c>
      <c r="E34" s="2" t="s">
        <v>36</v>
      </c>
      <c r="F34" s="2" t="s">
        <v>15</v>
      </c>
      <c r="G34" s="2" t="s">
        <v>149</v>
      </c>
      <c r="H34" s="2" t="s">
        <v>150</v>
      </c>
      <c r="I34" s="2" t="str">
        <f>IFERROR(__xludf.DUMMYFUNCTION("GOOGLETRANSLATE(C34,""fr"",""en"")"),"Flee! They know how to take you, but with regard to refund: nothing! Ha sorry, I was reimbursed only once! I go as soon as possible!")</f>
        <v>Flee! They know how to take you, but with regard to refund: nothing! Ha sorry, I was reimbursed only once! I go as soon as possible!</v>
      </c>
    </row>
    <row r="35" ht="15.75" customHeight="1">
      <c r="A35" s="2">
        <v>2.0</v>
      </c>
      <c r="B35" s="2" t="s">
        <v>151</v>
      </c>
      <c r="C35" s="2" t="s">
        <v>152</v>
      </c>
      <c r="D35" s="2" t="s">
        <v>153</v>
      </c>
      <c r="E35" s="2" t="s">
        <v>80</v>
      </c>
      <c r="F35" s="2" t="s">
        <v>15</v>
      </c>
      <c r="G35" s="2" t="s">
        <v>154</v>
      </c>
      <c r="H35" s="2" t="s">
        <v>155</v>
      </c>
      <c r="I35" s="2" t="str">
        <f>IFERROR(__xludf.DUMMYFUNCTION("GOOGLETRANSLATE(C35,""fr"",""en"")"),"Great anything! I find myself paying 2 insurance on my loan because they did not terminate insurance with my bank. And icing on the cake, I am not reimbursed for the samples of the new SPHERIA VIE insurance, it's been 6 months that it lasts, a nightmare")</f>
        <v>Great anything! I find myself paying 2 insurance on my loan because they did not terminate insurance with my bank. And icing on the cake, I am not reimbursed for the samples of the new SPHERIA VIE insurance, it's been 6 months that it lasts, a nightmare</v>
      </c>
    </row>
    <row r="36" ht="15.75" customHeight="1">
      <c r="A36" s="2">
        <v>4.0</v>
      </c>
      <c r="B36" s="2" t="s">
        <v>156</v>
      </c>
      <c r="C36" s="2" t="s">
        <v>157</v>
      </c>
      <c r="D36" s="2" t="s">
        <v>134</v>
      </c>
      <c r="E36" s="2" t="s">
        <v>36</v>
      </c>
      <c r="F36" s="2" t="s">
        <v>15</v>
      </c>
      <c r="G36" s="2" t="s">
        <v>158</v>
      </c>
      <c r="H36" s="2" t="s">
        <v>159</v>
      </c>
      <c r="I36" s="2" t="str">
        <f>IFERROR(__xludf.DUMMYFUNCTION("GOOGLETRANSLATE(C36,""fr"",""en"")"),"I had contacted with Ms. Castello Sarrah was very kind with professionalism and a lot of love and kindness she advised me she was always listened to I am very happy to have neoliane and also for reimbursements have never had problems")</f>
        <v>I had contacted with Ms. Castello Sarrah was very kind with professionalism and a lot of love and kindness she advised me she was always listened to I am very happy to have neoliane and also for reimbursements have never had problems</v>
      </c>
    </row>
    <row r="37" ht="15.75" customHeight="1">
      <c r="A37" s="2">
        <v>5.0</v>
      </c>
      <c r="B37" s="2" t="s">
        <v>160</v>
      </c>
      <c r="C37" s="2" t="s">
        <v>161</v>
      </c>
      <c r="D37" s="2" t="s">
        <v>50</v>
      </c>
      <c r="E37" s="2" t="s">
        <v>14</v>
      </c>
      <c r="F37" s="2" t="s">
        <v>15</v>
      </c>
      <c r="G37" s="2" t="s">
        <v>162</v>
      </c>
      <c r="H37" s="2" t="s">
        <v>159</v>
      </c>
      <c r="I37" s="2" t="str">
        <f>IFERROR(__xludf.DUMMYFUNCTION("GOOGLETRANSLATE(C37,""fr"",""en"")"),"Excellent regarding online subscription.
Easy, fast, top!
Why pay twice as expensive to competition and waste time in agency?")</f>
        <v>Excellent regarding online subscription.
Easy, fast, top!
Why pay twice as expensive to competition and waste time in agency?</v>
      </c>
    </row>
    <row r="38" ht="15.75" customHeight="1">
      <c r="A38" s="2">
        <v>3.0</v>
      </c>
      <c r="B38" s="2" t="s">
        <v>163</v>
      </c>
      <c r="C38" s="2" t="s">
        <v>164</v>
      </c>
      <c r="D38" s="2" t="s">
        <v>50</v>
      </c>
      <c r="E38" s="2" t="s">
        <v>14</v>
      </c>
      <c r="F38" s="2" t="s">
        <v>15</v>
      </c>
      <c r="G38" s="2" t="s">
        <v>165</v>
      </c>
      <c r="H38" s="2" t="s">
        <v>52</v>
      </c>
      <c r="I38" s="2" t="str">
        <f>IFERROR(__xludf.DUMMYFUNCTION("GOOGLETRANSLATE(C38,""fr"",""en"")"),"I therefore discover no opinion for the moment if not very practical site subscription very simplify can give an opinion soon cordially Mr Bourachid")</f>
        <v>I therefore discover no opinion for the moment if not very practical site subscription very simplify can give an opinion soon cordially Mr Bourachid</v>
      </c>
    </row>
    <row r="39" ht="15.75" customHeight="1">
      <c r="A39" s="2">
        <v>5.0</v>
      </c>
      <c r="B39" s="2" t="s">
        <v>166</v>
      </c>
      <c r="C39" s="2" t="s">
        <v>167</v>
      </c>
      <c r="D39" s="2" t="s">
        <v>50</v>
      </c>
      <c r="E39" s="2" t="s">
        <v>14</v>
      </c>
      <c r="F39" s="2" t="s">
        <v>15</v>
      </c>
      <c r="G39" s="2" t="s">
        <v>168</v>
      </c>
      <c r="H39" s="2" t="s">
        <v>52</v>
      </c>
      <c r="I39" s="2" t="str">
        <f>IFERROR(__xludf.DUMMYFUNCTION("GOOGLETRANSLATE(C39,""fr"",""en"")"),"Very affordable on insurance prices especially for students and a telephone reception still available compared to other insurance")</f>
        <v>Very affordable on insurance prices especially for students and a telephone reception still available compared to other insurance</v>
      </c>
    </row>
    <row r="40" ht="15.75" customHeight="1">
      <c r="A40" s="2">
        <v>1.0</v>
      </c>
      <c r="B40" s="2" t="s">
        <v>169</v>
      </c>
      <c r="C40" s="2" t="s">
        <v>170</v>
      </c>
      <c r="D40" s="2" t="s">
        <v>171</v>
      </c>
      <c r="E40" s="2" t="s">
        <v>100</v>
      </c>
      <c r="F40" s="2" t="s">
        <v>15</v>
      </c>
      <c r="G40" s="2" t="s">
        <v>172</v>
      </c>
      <c r="H40" s="2" t="s">
        <v>173</v>
      </c>
      <c r="I40" s="2" t="str">
        <f>IFERROR(__xludf.DUMMYFUNCTION("GOOGLETRANSLATE(C40,""fr"",""en"")"),"I am still not reimbursed 3 months after the death of my dog ​​despite their email indicating the amount which must be paid")</f>
        <v>I am still not reimbursed 3 months after the death of my dog ​​despite their email indicating the amount which must be paid</v>
      </c>
    </row>
    <row r="41" ht="15.75" customHeight="1">
      <c r="A41" s="2">
        <v>1.0</v>
      </c>
      <c r="B41" s="2" t="s">
        <v>174</v>
      </c>
      <c r="C41" s="2" t="s">
        <v>175</v>
      </c>
      <c r="D41" s="2" t="s">
        <v>13</v>
      </c>
      <c r="E41" s="2" t="s">
        <v>14</v>
      </c>
      <c r="F41" s="2" t="s">
        <v>15</v>
      </c>
      <c r="G41" s="2" t="s">
        <v>176</v>
      </c>
      <c r="H41" s="2" t="s">
        <v>177</v>
      </c>
      <c r="I41" s="2" t="str">
        <f>IFERROR(__xludf.DUMMYFUNCTION("GOOGLETRANSLATE(C41,""fr"",""en"")"),"Insurance which is right there to collect the contributions as soon as there is a problem she saw you I was turned for a responsible accident I find her lamentable")</f>
        <v>Insurance which is right there to collect the contributions as soon as there is a problem she saw you I was turned for a responsible accident I find her lamentable</v>
      </c>
    </row>
    <row r="42" ht="15.75" customHeight="1">
      <c r="A42" s="2">
        <v>2.0</v>
      </c>
      <c r="B42" s="2" t="s">
        <v>178</v>
      </c>
      <c r="C42" s="2" t="s">
        <v>179</v>
      </c>
      <c r="D42" s="2" t="s">
        <v>180</v>
      </c>
      <c r="E42" s="2" t="s">
        <v>14</v>
      </c>
      <c r="F42" s="2" t="s">
        <v>15</v>
      </c>
      <c r="G42" s="2" t="s">
        <v>181</v>
      </c>
      <c r="H42" s="2" t="s">
        <v>155</v>
      </c>
      <c r="I42" s="2" t="str">
        <f>IFERROR(__xludf.DUMMYFUNCTION("GOOGLETRANSLATE(C42,""fr"",""en"")"),"Following their canvassing, I assured 2 vehicles at home, my home and I took family protection. I had a maximum bonus and no claim before. This summer, 2 times, I get my car to be crowded while I am stationed and not even in it ... I receive this month a "&amp;"recommended that radiates me from their home because I seem not to be a profitable person for them!! A shame, I never have them litigation and I am the victim twice of a disaster for which I am not responsible ... The person of customer service does not c"&amp;"ompletely care about my file, I am invited to go to see elsewhere Without any possible discussion! Cheer!")</f>
        <v>Following their canvassing, I assured 2 vehicles at home, my home and I took family protection. I had a maximum bonus and no claim before. This summer, 2 times, I get my car to be crowded while I am stationed and not even in it ... I receive this month a recommended that radiates me from their home because I seem not to be a profitable person for them!! A shame, I never have them litigation and I am the victim twice of a disaster for which I am not responsible ... The person of customer service does not completely care about my file, I am invited to go to see elsewhere Without any possible discussion! Cheer!</v>
      </c>
    </row>
    <row r="43" ht="15.75" customHeight="1">
      <c r="A43" s="2">
        <v>1.0</v>
      </c>
      <c r="B43" s="2" t="s">
        <v>182</v>
      </c>
      <c r="C43" s="2" t="s">
        <v>183</v>
      </c>
      <c r="D43" s="2" t="s">
        <v>184</v>
      </c>
      <c r="E43" s="2" t="s">
        <v>36</v>
      </c>
      <c r="F43" s="2" t="s">
        <v>15</v>
      </c>
      <c r="G43" s="2" t="s">
        <v>185</v>
      </c>
      <c r="H43" s="2" t="s">
        <v>96</v>
      </c>
      <c r="I43" s="2" t="str">
        <f>IFERROR(__xludf.DUMMYFUNCTION("GOOGLETRANSLATE(C43,""fr"",""en"")"),"Mutual that strips me. I put all my savings to finance an excellent mutual. In the end, I find myself without reimbursements up to date while I am director of a school in Somalia. I want to bring these children to France because there are not enough Afric"&amp;"ans and I want MGEN to help me, help these children. I proposed that the MGEN is setting up in Africa, I am still waiting for their response.")</f>
        <v>Mutual that strips me. I put all my savings to finance an excellent mutual. In the end, I find myself without reimbursements up to date while I am director of a school in Somalia. I want to bring these children to France because there are not enough Africans and I want MGEN to help me, help these children. I proposed that the MGEN is setting up in Africa, I am still waiting for their response.</v>
      </c>
    </row>
    <row r="44" ht="15.75" customHeight="1">
      <c r="A44" s="2">
        <v>2.0</v>
      </c>
      <c r="B44" s="2" t="s">
        <v>186</v>
      </c>
      <c r="C44" s="2" t="s">
        <v>187</v>
      </c>
      <c r="D44" s="2" t="s">
        <v>13</v>
      </c>
      <c r="E44" s="2" t="s">
        <v>14</v>
      </c>
      <c r="F44" s="2" t="s">
        <v>15</v>
      </c>
      <c r="G44" s="2" t="s">
        <v>188</v>
      </c>
      <c r="H44" s="2" t="s">
        <v>107</v>
      </c>
      <c r="I44" s="2" t="str">
        <f>IFERROR(__xludf.DUMMYFUNCTION("GOOGLETRANSLATE(C44,""fr"",""en"")"),"After 2 small claims the maff wants to harm my account.
I have been at home for several years.
I received this decision by mail, no call.")</f>
        <v>After 2 small claims the maff wants to harm my account.
I have been at home for several years.
I received this decision by mail, no call.</v>
      </c>
    </row>
    <row r="45" ht="15.75" customHeight="1">
      <c r="A45" s="2">
        <v>5.0</v>
      </c>
      <c r="B45" s="2" t="s">
        <v>189</v>
      </c>
      <c r="C45" s="2" t="s">
        <v>190</v>
      </c>
      <c r="D45" s="2" t="s">
        <v>50</v>
      </c>
      <c r="E45" s="2" t="s">
        <v>14</v>
      </c>
      <c r="F45" s="2" t="s">
        <v>15</v>
      </c>
      <c r="G45" s="2" t="s">
        <v>191</v>
      </c>
      <c r="H45" s="2" t="s">
        <v>192</v>
      </c>
      <c r="I45" s="2" t="str">
        <f>IFERROR(__xludf.DUMMYFUNCTION("GOOGLETRANSLATE(C45,""fr"",""en"")"),"I am satisfied with the service as well as the prices offered.
I hope to be received in the same way if I am disaster.
Olivier was able to listen to me during my various calls.")</f>
        <v>I am satisfied with the service as well as the prices offered.
I hope to be received in the same way if I am disaster.
Olivier was able to listen to me during my various calls.</v>
      </c>
    </row>
    <row r="46" ht="15.75" customHeight="1">
      <c r="A46" s="2">
        <v>5.0</v>
      </c>
      <c r="B46" s="2" t="s">
        <v>193</v>
      </c>
      <c r="C46" s="2" t="s">
        <v>194</v>
      </c>
      <c r="D46" s="2" t="s">
        <v>30</v>
      </c>
      <c r="E46" s="2" t="s">
        <v>14</v>
      </c>
      <c r="F46" s="2" t="s">
        <v>15</v>
      </c>
      <c r="G46" s="2" t="s">
        <v>195</v>
      </c>
      <c r="H46" s="2" t="s">
        <v>52</v>
      </c>
      <c r="I46" s="2" t="str">
        <f>IFERROR(__xludf.DUMMYFUNCTION("GOOGLETRANSLATE(C46,""fr"",""en"")"),"I am very satisfied with the service, prices and simplicity and speed of subscription and also proposals for level of insurance in terms of needs compared to my personal situation")</f>
        <v>I am very satisfied with the service, prices and simplicity and speed of subscription and also proposals for level of insurance in terms of needs compared to my personal situation</v>
      </c>
    </row>
    <row r="47" ht="15.75" customHeight="1">
      <c r="A47" s="2">
        <v>4.0</v>
      </c>
      <c r="B47" s="2" t="s">
        <v>196</v>
      </c>
      <c r="C47" s="2" t="s">
        <v>197</v>
      </c>
      <c r="D47" s="2" t="s">
        <v>94</v>
      </c>
      <c r="E47" s="2" t="s">
        <v>36</v>
      </c>
      <c r="F47" s="2" t="s">
        <v>15</v>
      </c>
      <c r="G47" s="2" t="s">
        <v>198</v>
      </c>
      <c r="H47" s="2" t="s">
        <v>199</v>
      </c>
      <c r="I47" s="2" t="str">
        <f>IFERROR(__xludf.DUMMYFUNCTION("GOOGLETRANSLATE(C47,""fr"",""en"")"),"I have been faithful to the MGP for over 29 years and I absolutely do not regret it.")</f>
        <v>I have been faithful to the MGP for over 29 years and I absolutely do not regret it.</v>
      </c>
    </row>
    <row r="48" ht="15.75" customHeight="1">
      <c r="A48" s="2">
        <v>3.0</v>
      </c>
      <c r="B48" s="2" t="s">
        <v>200</v>
      </c>
      <c r="C48" s="2" t="s">
        <v>201</v>
      </c>
      <c r="D48" s="2" t="s">
        <v>30</v>
      </c>
      <c r="E48" s="2" t="s">
        <v>14</v>
      </c>
      <c r="F48" s="2" t="s">
        <v>15</v>
      </c>
      <c r="G48" s="2" t="s">
        <v>202</v>
      </c>
      <c r="H48" s="2" t="s">
        <v>47</v>
      </c>
      <c r="I48" s="2" t="str">
        <f>IFERROR(__xludf.DUMMYFUNCTION("GOOGLETRANSLATE(C48,""fr"",""en"")"),"Significant price increase in two years.
The first year of subscription is always very attractive. But after that climbs very quickly. 2 -digit increase in 2 years.")</f>
        <v>Significant price increase in two years.
The first year of subscription is always very attractive. But after that climbs very quickly. 2 -digit increase in 2 years.</v>
      </c>
    </row>
    <row r="49" ht="15.75" customHeight="1">
      <c r="A49" s="2">
        <v>4.0</v>
      </c>
      <c r="B49" s="2" t="s">
        <v>203</v>
      </c>
      <c r="C49" s="2" t="s">
        <v>204</v>
      </c>
      <c r="D49" s="2" t="s">
        <v>50</v>
      </c>
      <c r="E49" s="2" t="s">
        <v>14</v>
      </c>
      <c r="F49" s="2" t="s">
        <v>15</v>
      </c>
      <c r="G49" s="2" t="s">
        <v>205</v>
      </c>
      <c r="H49" s="2" t="s">
        <v>159</v>
      </c>
      <c r="I49" s="2" t="str">
        <f>IFERROR(__xludf.DUMMYFUNCTION("GOOGLETRANSLATE(C49,""fr"",""en"")"),"Insurance which does not take the money from its customers but which includes the expectation of each subscriber, which aims for the essential points of each applicant.")</f>
        <v>Insurance which does not take the money from its customers but which includes the expectation of each subscriber, which aims for the essential points of each applicant.</v>
      </c>
    </row>
    <row r="50" ht="15.75" customHeight="1">
      <c r="A50" s="2">
        <v>5.0</v>
      </c>
      <c r="B50" s="2" t="s">
        <v>206</v>
      </c>
      <c r="C50" s="2" t="s">
        <v>207</v>
      </c>
      <c r="D50" s="2" t="s">
        <v>50</v>
      </c>
      <c r="E50" s="2" t="s">
        <v>14</v>
      </c>
      <c r="F50" s="2" t="s">
        <v>15</v>
      </c>
      <c r="G50" s="2" t="s">
        <v>208</v>
      </c>
      <c r="H50" s="2" t="s">
        <v>47</v>
      </c>
      <c r="I50" s="2" t="str">
        <f>IFERROR(__xludf.DUMMYFUNCTION("GOOGLETRANSLATE(C50,""fr"",""en"")"),"The prices and the service are impeccable, the advisor who helped me to finalize my car quote was very friendly and patient. And the service was fast.")</f>
        <v>The prices and the service are impeccable, the advisor who helped me to finalize my car quote was very friendly and patient. And the service was fast.</v>
      </c>
    </row>
    <row r="51" ht="15.75" customHeight="1">
      <c r="A51" s="2">
        <v>4.0</v>
      </c>
      <c r="B51" s="2" t="s">
        <v>209</v>
      </c>
      <c r="C51" s="2" t="s">
        <v>210</v>
      </c>
      <c r="D51" s="2" t="s">
        <v>50</v>
      </c>
      <c r="E51" s="2" t="s">
        <v>14</v>
      </c>
      <c r="F51" s="2" t="s">
        <v>15</v>
      </c>
      <c r="G51" s="2" t="s">
        <v>211</v>
      </c>
      <c r="H51" s="2" t="s">
        <v>52</v>
      </c>
      <c r="I51" s="2" t="str">
        <f>IFERROR(__xludf.DUMMYFUNCTION("GOOGLETRANSLATE(C51,""fr"",""en"")"),"Efficient service and professional and welcoming staff.
The operation of the day went well. We were able to follow it in real time which avoids the misunderstandings")</f>
        <v>Efficient service and professional and welcoming staff.
The operation of the day went well. We were able to follow it in real time which avoids the misunderstandings</v>
      </c>
    </row>
    <row r="52" ht="15.75" customHeight="1">
      <c r="A52" s="2">
        <v>1.0</v>
      </c>
      <c r="B52" s="2" t="s">
        <v>212</v>
      </c>
      <c r="C52" s="2" t="s">
        <v>213</v>
      </c>
      <c r="D52" s="2" t="s">
        <v>67</v>
      </c>
      <c r="E52" s="2" t="s">
        <v>68</v>
      </c>
      <c r="F52" s="2" t="s">
        <v>15</v>
      </c>
      <c r="G52" s="2" t="s">
        <v>214</v>
      </c>
      <c r="H52" s="2" t="s">
        <v>96</v>
      </c>
      <c r="I52" s="2" t="str">
        <f>IFERROR(__xludf.DUMMYFUNCTION("GOOGLETRANSLATE(C52,""fr"",""en"")"),"I had a sinister following the Eleanor storm of January 3, 200 € of damage, I declare to my insurance, which puts 15 days to answer me unfavorablely, following a so -called deductible of € 380 !!!!!, then that the franchises are on average between 115, an"&amp;"d 150 € max. !!!!, so everything for my pocket !!!, when I have never had a claim, since the start of my registration in 2011, and certain insurance offers the 0 € deductible if no claim for several years !!!!!, for once I need you, nothing !!!!,")</f>
        <v>I had a sinister following the Eleanor storm of January 3, 200 € of damage, I declare to my insurance, which puts 15 days to answer me unfavorablely, following a so -called deductible of € 380 !!!!!, then that the franchises are on average between 115, and 150 € max. !!!!, so everything for my pocket !!!, when I have never had a claim, since the start of my registration in 2011, and certain insurance offers the 0 € deductible if no claim for several years !!!!!, for once I need you, nothing !!!!,</v>
      </c>
    </row>
    <row r="53" ht="15.75" customHeight="1">
      <c r="A53" s="2">
        <v>5.0</v>
      </c>
      <c r="B53" s="2" t="s">
        <v>215</v>
      </c>
      <c r="C53" s="2" t="s">
        <v>216</v>
      </c>
      <c r="D53" s="2" t="s">
        <v>30</v>
      </c>
      <c r="E53" s="2" t="s">
        <v>14</v>
      </c>
      <c r="F53" s="2" t="s">
        <v>15</v>
      </c>
      <c r="G53" s="2" t="s">
        <v>55</v>
      </c>
      <c r="H53" s="2" t="s">
        <v>38</v>
      </c>
      <c r="I53" s="2" t="str">
        <f>IFERROR(__xludf.DUMMYFUNCTION("GOOGLETRANSLATE(C53,""fr"",""en"")"),"Perfect, fast, simple, efficient and inexpensive
Everything we love, nothing better
I highly recommend direct insurance
Thank you direct insurance")</f>
        <v>Perfect, fast, simple, efficient and inexpensive
Everything we love, nothing better
I highly recommend direct insurance
Thank you direct insurance</v>
      </c>
    </row>
    <row r="54" ht="15.75" customHeight="1">
      <c r="A54" s="2">
        <v>1.0</v>
      </c>
      <c r="B54" s="2" t="s">
        <v>217</v>
      </c>
      <c r="C54" s="2" t="s">
        <v>218</v>
      </c>
      <c r="D54" s="2" t="s">
        <v>219</v>
      </c>
      <c r="E54" s="2" t="s">
        <v>68</v>
      </c>
      <c r="F54" s="2" t="s">
        <v>15</v>
      </c>
      <c r="G54" s="2" t="s">
        <v>220</v>
      </c>
      <c r="H54" s="2" t="s">
        <v>221</v>
      </c>
      <c r="I54" s="2" t="str">
        <f>IFERROR(__xludf.DUMMYFUNCTION("GOOGLETRANSLATE(C54,""fr"",""en"")"),"To flee this insurance has only the name.
After 3 months of telephone process for a shabby reimbursement of 202 euros following a burglary still no check in sight. Twice, the payment has been refused without reason, the check on the wrong address and no "&amp;"reliable info twice when you call every day for weeks.
If an insurance manager wants to have fun checking my statements, file n: 20191537275")</f>
        <v>To flee this insurance has only the name.
After 3 months of telephone process for a shabby reimbursement of 202 euros following a burglary still no check in sight. Twice, the payment has been refused without reason, the check on the wrong address and no reliable info twice when you call every day for weeks.
If an insurance manager wants to have fun checking my statements, file n: 20191537275</v>
      </c>
    </row>
    <row r="55" ht="15.75" customHeight="1">
      <c r="A55" s="2">
        <v>1.0</v>
      </c>
      <c r="B55" s="2" t="s">
        <v>222</v>
      </c>
      <c r="C55" s="2" t="s">
        <v>223</v>
      </c>
      <c r="D55" s="2" t="s">
        <v>224</v>
      </c>
      <c r="E55" s="2" t="s">
        <v>68</v>
      </c>
      <c r="F55" s="2" t="s">
        <v>15</v>
      </c>
      <c r="G55" s="2" t="s">
        <v>225</v>
      </c>
      <c r="H55" s="2" t="s">
        <v>159</v>
      </c>
      <c r="I55" s="2" t="str">
        <f>IFERROR(__xludf.DUMMYFUNCTION("GOOGLETRANSLATE(C55,""fr"",""en"")"),"Following my burglary sinister, effraction, vandalism that destroyed all the tapestries, walls, floors, ceilings, doors, I received 950th compensation while the costs amount to 34,000 th for the house and 6,000 th For objects. I am not satisfied.")</f>
        <v>Following my burglary sinister, effraction, vandalism that destroyed all the tapestries, walls, floors, ceilings, doors, I received 950th compensation while the costs amount to 34,000 th for the house and 6,000 th For objects. I am not satisfied.</v>
      </c>
    </row>
    <row r="56" ht="15.75" customHeight="1">
      <c r="A56" s="2">
        <v>1.0</v>
      </c>
      <c r="B56" s="2" t="s">
        <v>226</v>
      </c>
      <c r="C56" s="2" t="s">
        <v>227</v>
      </c>
      <c r="D56" s="2" t="s">
        <v>30</v>
      </c>
      <c r="E56" s="2" t="s">
        <v>14</v>
      </c>
      <c r="F56" s="2" t="s">
        <v>15</v>
      </c>
      <c r="G56" s="2" t="s">
        <v>228</v>
      </c>
      <c r="H56" s="2" t="s">
        <v>229</v>
      </c>
      <c r="I56" s="2" t="str">
        <f>IFERROR(__xludf.DUMMYFUNCTION("GOOGLETRANSLATE(C56,""fr"",""en"")"),"Direct Insurance is zero, they even know how to do a resilation, and to receive assistance we spent 4 hours of waiting with our two children, I do not recommend this insurance.
Direct Insurance is Bad, they do not even now How to do a cancellation, and t"&amp;"o receive assistance we spend 4 hours with our two children, i do not recommend this insure")</f>
        <v>Direct Insurance is zero, they even know how to do a resilation, and to receive assistance we spent 4 hours of waiting with our two children, I do not recommend this insurance.
Direct Insurance is Bad, they do not even now How to do a cancellation, and to receive assistance we spend 4 hours with our two children, i do not recommend this insure</v>
      </c>
    </row>
    <row r="57" ht="15.75" customHeight="1">
      <c r="A57" s="2">
        <v>4.0</v>
      </c>
      <c r="B57" s="2" t="s">
        <v>230</v>
      </c>
      <c r="C57" s="2" t="s">
        <v>231</v>
      </c>
      <c r="D57" s="2" t="s">
        <v>35</v>
      </c>
      <c r="E57" s="2" t="s">
        <v>36</v>
      </c>
      <c r="F57" s="2" t="s">
        <v>15</v>
      </c>
      <c r="G57" s="2" t="s">
        <v>232</v>
      </c>
      <c r="H57" s="2" t="s">
        <v>233</v>
      </c>
      <c r="I57" s="2" t="str">
        <f>IFERROR(__xludf.DUMMYFUNCTION("GOOGLETRANSLATE(C57,""fr"",""en"")"),"Very good information, very pleasant welcome, of Madame Alicia She listens she is good very convincing advice very convincing
Mrs. Alicia is very welcoming she is convincing she understands our problems she is very patient with good advice
")</f>
        <v>Very good information, very pleasant welcome, of Madame Alicia She listens she is good very convincing advice very convincing
Mrs. Alicia is very welcoming she is convincing she understands our problems she is very patient with good advice
</v>
      </c>
    </row>
    <row r="58" ht="15.75" customHeight="1">
      <c r="A58" s="2">
        <v>4.0</v>
      </c>
      <c r="B58" s="2" t="s">
        <v>234</v>
      </c>
      <c r="C58" s="2" t="s">
        <v>235</v>
      </c>
      <c r="D58" s="2" t="s">
        <v>224</v>
      </c>
      <c r="E58" s="2" t="s">
        <v>68</v>
      </c>
      <c r="F58" s="2" t="s">
        <v>15</v>
      </c>
      <c r="G58" s="2" t="s">
        <v>236</v>
      </c>
      <c r="H58" s="2" t="s">
        <v>237</v>
      </c>
      <c r="I58" s="2" t="str">
        <f>IFERROR(__xludf.DUMMYFUNCTION("GOOGLETRANSLATE(C58,""fr"",""en"")"),"Following a burglary everything was taken care of quickly. People in the sinister service are very available and do not hesitate to give the necessary information")</f>
        <v>Following a burglary everything was taken care of quickly. People in the sinister service are very available and do not hesitate to give the necessary information</v>
      </c>
    </row>
    <row r="59" ht="15.75" customHeight="1">
      <c r="A59" s="2">
        <v>3.0</v>
      </c>
      <c r="B59" s="2" t="s">
        <v>238</v>
      </c>
      <c r="C59" s="2" t="s">
        <v>239</v>
      </c>
      <c r="D59" s="2" t="s">
        <v>94</v>
      </c>
      <c r="E59" s="2" t="s">
        <v>36</v>
      </c>
      <c r="F59" s="2" t="s">
        <v>15</v>
      </c>
      <c r="G59" s="2" t="s">
        <v>240</v>
      </c>
      <c r="H59" s="2" t="s">
        <v>241</v>
      </c>
      <c r="I59" s="2" t="str">
        <f>IFERROR(__xludf.DUMMYFUNCTION("GOOGLETRANSLATE(C59,""fr"",""en"")"),"Hello
I had the answer to my question. The agent who informed me was very courteous. I appreciate still having a telephone service.
Cordially")</f>
        <v>Hello
I had the answer to my question. The agent who informed me was very courteous. I appreciate still having a telephone service.
Cordially</v>
      </c>
    </row>
    <row r="60" ht="15.75" customHeight="1">
      <c r="A60" s="2">
        <v>4.0</v>
      </c>
      <c r="B60" s="2" t="s">
        <v>242</v>
      </c>
      <c r="C60" s="2" t="s">
        <v>243</v>
      </c>
      <c r="D60" s="2" t="s">
        <v>50</v>
      </c>
      <c r="E60" s="2" t="s">
        <v>14</v>
      </c>
      <c r="F60" s="2" t="s">
        <v>15</v>
      </c>
      <c r="G60" s="2" t="s">
        <v>244</v>
      </c>
      <c r="H60" s="2" t="s">
        <v>192</v>
      </c>
      <c r="I60" s="2" t="str">
        <f>IFERROR(__xludf.DUMMYFUNCTION("GOOGLETRANSLATE(C60,""fr"",""en"")"),"RAS for the moment: very good contact by phone, very good assistance. Now to see over time, especially if there is unfortunately a claim.")</f>
        <v>RAS for the moment: very good contact by phone, very good assistance. Now to see over time, especially if there is unfortunately a claim.</v>
      </c>
    </row>
    <row r="61" ht="15.75" customHeight="1">
      <c r="A61" s="2">
        <v>1.0</v>
      </c>
      <c r="B61" s="2" t="s">
        <v>245</v>
      </c>
      <c r="C61" s="2" t="s">
        <v>246</v>
      </c>
      <c r="D61" s="2" t="s">
        <v>247</v>
      </c>
      <c r="E61" s="2" t="s">
        <v>36</v>
      </c>
      <c r="F61" s="2" t="s">
        <v>15</v>
      </c>
      <c r="G61" s="2" t="s">
        <v>248</v>
      </c>
      <c r="H61" s="2" t="s">
        <v>249</v>
      </c>
      <c r="I61" s="2" t="str">
        <f>IFERROR(__xludf.DUMMYFUNCTION("GOOGLETRANSLATE(C61,""fr"",""en"")"),"More than two months of waiting to add my spouse to my contract. Despite numerous recovery email, chat on line, mail no return. I have never seen a deadline !!!!!")</f>
        <v>More than two months of waiting to add my spouse to my contract. Despite numerous recovery email, chat on line, mail no return. I have never seen a deadline !!!!!</v>
      </c>
    </row>
    <row r="62" ht="15.75" customHeight="1">
      <c r="A62" s="2">
        <v>5.0</v>
      </c>
      <c r="B62" s="2" t="s">
        <v>250</v>
      </c>
      <c r="C62" s="2" t="s">
        <v>251</v>
      </c>
      <c r="D62" s="2" t="s">
        <v>30</v>
      </c>
      <c r="E62" s="2" t="s">
        <v>14</v>
      </c>
      <c r="F62" s="2" t="s">
        <v>15</v>
      </c>
      <c r="G62" s="2" t="s">
        <v>252</v>
      </c>
      <c r="H62" s="2" t="s">
        <v>64</v>
      </c>
      <c r="I62" s="2" t="str">
        <f>IFERROR(__xludf.DUMMYFUNCTION("GOOGLETRANSLATE(C62,""fr"",""en"")"),"Prices suit me, price almost divided by 2 compared to my previous insurance with more options. (Third party against all risks here)")</f>
        <v>Prices suit me, price almost divided by 2 compared to my previous insurance with more options. (Third party against all risks here)</v>
      </c>
    </row>
    <row r="63" ht="15.75" customHeight="1">
      <c r="A63" s="2">
        <v>5.0</v>
      </c>
      <c r="B63" s="2" t="s">
        <v>253</v>
      </c>
      <c r="C63" s="2" t="s">
        <v>254</v>
      </c>
      <c r="D63" s="2" t="s">
        <v>30</v>
      </c>
      <c r="E63" s="2" t="s">
        <v>14</v>
      </c>
      <c r="F63" s="2" t="s">
        <v>15</v>
      </c>
      <c r="G63" s="2" t="s">
        <v>255</v>
      </c>
      <c r="H63" s="2" t="s">
        <v>199</v>
      </c>
      <c r="I63" s="2" t="str">
        <f>IFERROR(__xludf.DUMMYFUNCTION("GOOGLETRANSLATE(C63,""fr"",""en"")"),"Am satisfied with Direct Insurances S'In Customer for my vehicles for over a year. No worries at the moment
Hope to stay at home for next car if correct price")</f>
        <v>Am satisfied with Direct Insurances S'In Customer for my vehicles for over a year. No worries at the moment
Hope to stay at home for next car if correct price</v>
      </c>
    </row>
    <row r="64" ht="15.75" customHeight="1">
      <c r="A64" s="2">
        <v>4.0</v>
      </c>
      <c r="B64" s="2" t="s">
        <v>256</v>
      </c>
      <c r="C64" s="2" t="s">
        <v>257</v>
      </c>
      <c r="D64" s="2" t="s">
        <v>30</v>
      </c>
      <c r="E64" s="2" t="s">
        <v>14</v>
      </c>
      <c r="F64" s="2" t="s">
        <v>15</v>
      </c>
      <c r="G64" s="2" t="s">
        <v>258</v>
      </c>
      <c r="H64" s="2" t="s">
        <v>64</v>
      </c>
      <c r="I64" s="2" t="str">
        <f>IFERROR(__xludf.DUMMYFUNCTION("GOOGLETRANSLATE(C64,""fr"",""en"")"),"Simple and effective, the price is attractive and is much cheaper than my current contract for lower services. The ergonomics of the site is very functional and the different offers offered are clear")</f>
        <v>Simple and effective, the price is attractive and is much cheaper than my current contract for lower services. The ergonomics of the site is very functional and the different offers offered are clear</v>
      </c>
    </row>
    <row r="65" ht="15.75" customHeight="1">
      <c r="A65" s="2">
        <v>5.0</v>
      </c>
      <c r="B65" s="2" t="s">
        <v>259</v>
      </c>
      <c r="C65" s="2" t="s">
        <v>260</v>
      </c>
      <c r="D65" s="2" t="s">
        <v>30</v>
      </c>
      <c r="E65" s="2" t="s">
        <v>14</v>
      </c>
      <c r="F65" s="2" t="s">
        <v>15</v>
      </c>
      <c r="G65" s="2" t="s">
        <v>261</v>
      </c>
      <c r="H65" s="2" t="s">
        <v>32</v>
      </c>
      <c r="I65" s="2" t="str">
        <f>IFERROR(__xludf.DUMMYFUNCTION("GOOGLETRANSLATE(C65,""fr"",""en"")"),"Hello,
I have taken into account that it is really nice and great insurance. In addition who I like that there is a very effective support team. The support management is really aggregable. Hello,
I realized that it is really nice and great insurance. I"&amp;" also like the fact that there is a very effective assistance team. The management of the support is really nice.")</f>
        <v>Hello,
I have taken into account that it is really nice and great insurance. In addition who I like that there is a very effective support team. The support management is really aggregable. Hello,
I realized that it is really nice and great insurance. I also like the fact that there is a very effective assistance team. The management of the support is really nice.</v>
      </c>
    </row>
    <row r="66" ht="15.75" customHeight="1">
      <c r="A66" s="2">
        <v>5.0</v>
      </c>
      <c r="B66" s="2" t="s">
        <v>262</v>
      </c>
      <c r="C66" s="2" t="s">
        <v>263</v>
      </c>
      <c r="D66" s="2" t="s">
        <v>50</v>
      </c>
      <c r="E66" s="2" t="s">
        <v>14</v>
      </c>
      <c r="F66" s="2" t="s">
        <v>15</v>
      </c>
      <c r="G66" s="2" t="s">
        <v>264</v>
      </c>
      <c r="H66" s="2" t="s">
        <v>38</v>
      </c>
      <c r="I66" s="2" t="str">
        <f>IFERROR(__xludf.DUMMYFUNCTION("GOOGLETRANSLATE(C66,""fr"",""en"")"),"The price suits me as a insured young person. Very welcome and efficient. Being newly assured I cannot give an opinion on insurance in itself")</f>
        <v>The price suits me as a insured young person. Very welcome and efficient. Being newly assured I cannot give an opinion on insurance in itself</v>
      </c>
    </row>
    <row r="67" ht="15.75" customHeight="1">
      <c r="A67" s="2">
        <v>4.0</v>
      </c>
      <c r="B67" s="2" t="s">
        <v>265</v>
      </c>
      <c r="C67" s="2" t="s">
        <v>266</v>
      </c>
      <c r="D67" s="2" t="s">
        <v>50</v>
      </c>
      <c r="E67" s="2" t="s">
        <v>14</v>
      </c>
      <c r="F67" s="2" t="s">
        <v>15</v>
      </c>
      <c r="G67" s="2" t="s">
        <v>211</v>
      </c>
      <c r="H67" s="2" t="s">
        <v>52</v>
      </c>
      <c r="I67" s="2" t="str">
        <f>IFERROR(__xludf.DUMMYFUNCTION("GOOGLETRANSLATE(C67,""fr"",""en"")"),"Satisfied but difficult to access the personal space hoping that I am well insured green card not delivered for the moment pages which openly open cordially
")</f>
        <v>Satisfied but difficult to access the personal space hoping that I am well insured green card not delivered for the moment pages which openly open cordially
</v>
      </c>
    </row>
    <row r="68" ht="15.75" customHeight="1">
      <c r="A68" s="2">
        <v>1.0</v>
      </c>
      <c r="B68" s="2" t="s">
        <v>267</v>
      </c>
      <c r="C68" s="2" t="s">
        <v>268</v>
      </c>
      <c r="D68" s="2" t="s">
        <v>35</v>
      </c>
      <c r="E68" s="2" t="s">
        <v>36</v>
      </c>
      <c r="F68" s="2" t="s">
        <v>15</v>
      </c>
      <c r="G68" s="2" t="s">
        <v>269</v>
      </c>
      <c r="H68" s="2" t="s">
        <v>270</v>
      </c>
      <c r="I68" s="2" t="str">
        <f>IFERROR(__xludf.DUMMYFUNCTION("GOOGLETRANSLATE(C68,""fr"",""en"")"),"Good morning!
I do not advise Santiane because they are not professional, a lot of waiting time during a call, a lot of time to solve the problems. In my case he gave me false information and I had problems with the remote transmission which after 3 mont"&amp;"hs were not yet resolved. Do your conclusion and well your choice!")</f>
        <v>Good morning!
I do not advise Santiane because they are not professional, a lot of waiting time during a call, a lot of time to solve the problems. In my case he gave me false information and I had problems with the remote transmission which after 3 months were not yet resolved. Do your conclusion and well your choice!</v>
      </c>
    </row>
    <row r="69" ht="15.75" customHeight="1">
      <c r="A69" s="2">
        <v>3.0</v>
      </c>
      <c r="B69" s="2" t="s">
        <v>271</v>
      </c>
      <c r="C69" s="2" t="s">
        <v>272</v>
      </c>
      <c r="D69" s="2" t="s">
        <v>50</v>
      </c>
      <c r="E69" s="2" t="s">
        <v>14</v>
      </c>
      <c r="F69" s="2" t="s">
        <v>15</v>
      </c>
      <c r="G69" s="2" t="s">
        <v>273</v>
      </c>
      <c r="H69" s="2" t="s">
        <v>32</v>
      </c>
      <c r="I69" s="2" t="str">
        <f>IFERROR(__xludf.DUMMYFUNCTION("GOOGLETRANSLATE(C69,""fr"",""en"")"),"No particular opinion, the price of insurance is really attractive compared to other insurance. Although the franchise price is really excessive!")</f>
        <v>No particular opinion, the price of insurance is really attractive compared to other insurance. Although the franchise price is really excessive!</v>
      </c>
    </row>
    <row r="70" ht="15.75" customHeight="1">
      <c r="A70" s="2">
        <v>1.0</v>
      </c>
      <c r="B70" s="2" t="s">
        <v>274</v>
      </c>
      <c r="C70" s="2" t="s">
        <v>275</v>
      </c>
      <c r="D70" s="2" t="s">
        <v>276</v>
      </c>
      <c r="E70" s="2" t="s">
        <v>90</v>
      </c>
      <c r="F70" s="2" t="s">
        <v>15</v>
      </c>
      <c r="G70" s="2" t="s">
        <v>277</v>
      </c>
      <c r="H70" s="2" t="s">
        <v>107</v>
      </c>
      <c r="I70" s="2" t="str">
        <f>IFERROR(__xludf.DUMMYFUNCTION("GOOGLETRANSLATE(C70,""fr"",""en"")"),"Shameful and shabby.
My mother, a widow for more than 6 months, has not been able to have the slightest reimbursement of subscribed insurance. With each call, it is told that either we have not received his file or he was lost.
Avoid at all costs. Scand"&amp;"alous.")</f>
        <v>Shameful and shabby.
My mother, a widow for more than 6 months, has not been able to have the slightest reimbursement of subscribed insurance. With each call, it is told that either we have not received his file or he was lost.
Avoid at all costs. Scandalous.</v>
      </c>
    </row>
    <row r="71" ht="15.75" customHeight="1">
      <c r="A71" s="2">
        <v>1.0</v>
      </c>
      <c r="B71" s="2" t="s">
        <v>278</v>
      </c>
      <c r="C71" s="2" t="s">
        <v>279</v>
      </c>
      <c r="D71" s="2" t="s">
        <v>30</v>
      </c>
      <c r="E71" s="2" t="s">
        <v>14</v>
      </c>
      <c r="F71" s="2" t="s">
        <v>15</v>
      </c>
      <c r="G71" s="2" t="s">
        <v>280</v>
      </c>
      <c r="H71" s="2" t="s">
        <v>155</v>
      </c>
      <c r="I71" s="2" t="str">
        <f>IFERROR(__xludf.DUMMYFUNCTION("GOOGLETRANSLATE(C71,""fr"",""en"")"),"After an interesting quote in 2018, I opt for this company in May, very well, the continuation is less glorious !!
2019 without declaration of claim increase in the rate of 15% !!
2020 TJRS SS Declare with a 3% increase in the grip of 13% !!! Well let's"&amp;" see !!
Previously the previous company increased last year by 1.5% approximately
Find the mistake...
So I change this year ... Thank you the Hamon law
")</f>
        <v>After an interesting quote in 2018, I opt for this company in May, very well, the continuation is less glorious !!
2019 without declaration of claim increase in the rate of 15% !!
2020 TJRS SS Declare with a 3% increase in the grip of 13% !!! Well let's see !!
Previously the previous company increased last year by 1.5% approximately
Find the mistake...
So I change this year ... Thank you the Hamon law
</v>
      </c>
    </row>
    <row r="72" ht="15.75" customHeight="1">
      <c r="A72" s="2">
        <v>1.0</v>
      </c>
      <c r="B72" s="2" t="s">
        <v>281</v>
      </c>
      <c r="C72" s="2" t="s">
        <v>282</v>
      </c>
      <c r="D72" s="2" t="s">
        <v>20</v>
      </c>
      <c r="E72" s="2" t="s">
        <v>14</v>
      </c>
      <c r="F72" s="2" t="s">
        <v>15</v>
      </c>
      <c r="G72" s="2" t="s">
        <v>283</v>
      </c>
      <c r="H72" s="2" t="s">
        <v>241</v>
      </c>
      <c r="I72" s="2" t="str">
        <f>IFERROR(__xludf.DUMMYFUNCTION("GOOGLETRANSLATE(C72,""fr"",""en"")"),"Flee this insurance ended my provisional contract for lack of a useless document I paid € 120 for 4 months of insurance in advance and after 3 weeks it terminates my contract keeps all € 120 And do not want to reassure me because he says that my vehicle i"&amp;"s 6cv and that he does not find any company to make sure it is a Renault Express year 1998 and he considers me vehicles like a raffle is a shame to avoid strongly.
")</f>
        <v>Flee this insurance ended my provisional contract for lack of a useless document I paid € 120 for 4 months of insurance in advance and after 3 weeks it terminates my contract keeps all € 120 And do not want to reassure me because he says that my vehicle is 6cv and that he does not find any company to make sure it is a Renault Express year 1998 and he considers me vehicles like a raffle is a shame to avoid strongly.
</v>
      </c>
    </row>
    <row r="73" ht="15.75" customHeight="1">
      <c r="A73" s="2">
        <v>5.0</v>
      </c>
      <c r="B73" s="2" t="s">
        <v>284</v>
      </c>
      <c r="C73" s="2" t="s">
        <v>285</v>
      </c>
      <c r="D73" s="2" t="s">
        <v>50</v>
      </c>
      <c r="E73" s="2" t="s">
        <v>14</v>
      </c>
      <c r="F73" s="2" t="s">
        <v>15</v>
      </c>
      <c r="G73" s="2" t="s">
        <v>286</v>
      </c>
      <c r="H73" s="2" t="s">
        <v>192</v>
      </c>
      <c r="I73" s="2" t="str">
        <f>IFERROR(__xludf.DUMMYFUNCTION("GOOGLETRANSLATE(C73,""fr"",""en"")"),"Simple and quick my customer son at home was right. I did not really know and after different quotes and the opinion of my loved ones, it is the best")</f>
        <v>Simple and quick my customer son at home was right. I did not really know and after different quotes and the opinion of my loved ones, it is the best</v>
      </c>
    </row>
    <row r="74" ht="15.75" customHeight="1">
      <c r="A74" s="2">
        <v>1.0</v>
      </c>
      <c r="B74" s="2" t="s">
        <v>287</v>
      </c>
      <c r="C74" s="2" t="s">
        <v>288</v>
      </c>
      <c r="D74" s="2" t="s">
        <v>224</v>
      </c>
      <c r="E74" s="2" t="s">
        <v>68</v>
      </c>
      <c r="F74" s="2" t="s">
        <v>15</v>
      </c>
      <c r="G74" s="2" t="s">
        <v>289</v>
      </c>
      <c r="H74" s="2" t="s">
        <v>32</v>
      </c>
      <c r="I74" s="2" t="str">
        <f>IFERROR(__xludf.DUMMYFUNCTION("GOOGLETRANSLATE(C74,""fr"",""en"")"),"Very bad experience following water damage, I do not recommend this insurer at all.
The advisers are not attentive and take it from above.
No confidence in their customer and refuses to bring in a home expert to assess the damage.
I have a 3 different "&amp;"people online and 3 different versions on the supporting documents to be provided.
I am very disappointed and intend to terminate this insurance as soon as possible
")</f>
        <v>Very bad experience following water damage, I do not recommend this insurer at all.
The advisers are not attentive and take it from above.
No confidence in their customer and refuses to bring in a home expert to assess the damage.
I have a 3 different people online and 3 different versions on the supporting documents to be provided.
I am very disappointed and intend to terminate this insurance as soon as possible
</v>
      </c>
    </row>
    <row r="75" ht="15.75" customHeight="1">
      <c r="A75" s="2">
        <v>2.0</v>
      </c>
      <c r="B75" s="2" t="s">
        <v>290</v>
      </c>
      <c r="C75" s="2" t="s">
        <v>291</v>
      </c>
      <c r="D75" s="2" t="s">
        <v>292</v>
      </c>
      <c r="E75" s="2" t="s">
        <v>14</v>
      </c>
      <c r="F75" s="2" t="s">
        <v>15</v>
      </c>
      <c r="G75" s="2" t="s">
        <v>293</v>
      </c>
      <c r="H75" s="2" t="s">
        <v>131</v>
      </c>
      <c r="I75" s="2" t="str">
        <f>IFERROR(__xludf.DUMMYFUNCTION("GOOGLETRANSLATE(C75,""fr"",""en"")"),"Very disappointed with the Matmut. I have been at home for 14 years. In the past three years, I have unfortunately had non -responsible claims. I just received a termination letter. I find this way of proceeding unacceptable and really unfair. You can set"&amp;" your monthly payments but especially not have claims.")</f>
        <v>Very disappointed with the Matmut. I have been at home for 14 years. In the past three years, I have unfortunately had non -responsible claims. I just received a termination letter. I find this way of proceeding unacceptable and really unfair. You can set your monthly payments but especially not have claims.</v>
      </c>
    </row>
    <row r="76" ht="15.75" customHeight="1">
      <c r="A76" s="2">
        <v>3.0</v>
      </c>
      <c r="B76" s="2" t="s">
        <v>294</v>
      </c>
      <c r="C76" s="2" t="s">
        <v>295</v>
      </c>
      <c r="D76" s="2" t="s">
        <v>296</v>
      </c>
      <c r="E76" s="2" t="s">
        <v>14</v>
      </c>
      <c r="F76" s="2" t="s">
        <v>15</v>
      </c>
      <c r="G76" s="2" t="s">
        <v>297</v>
      </c>
      <c r="H76" s="2" t="s">
        <v>298</v>
      </c>
      <c r="I76" s="2" t="str">
        <f>IFERROR(__xludf.DUMMYFUNCTION("GOOGLETRANSLATE(C76,""fr"",""en"")"),"Good insurance company as long as you have no accident
Strong penalties imposed following 3 incidents over 30 months 1 glass breakfast 11/2014 1 Responsible hanging 03/2016 1 non -responsible traffic accident (destroyed vehicle) 01/2017 still not reimbur"&amp;"sed and strongly penalized on the franchises for insured A new vehicle")</f>
        <v>Good insurance company as long as you have no accident
Strong penalties imposed following 3 incidents over 30 months 1 glass breakfast 11/2014 1 Responsible hanging 03/2016 1 non -responsible traffic accident (destroyed vehicle) 01/2017 still not reimbursed and strongly penalized on the franchises for insured A new vehicle</v>
      </c>
    </row>
    <row r="77" ht="15.75" customHeight="1">
      <c r="A77" s="2">
        <v>3.0</v>
      </c>
      <c r="B77" s="2" t="s">
        <v>299</v>
      </c>
      <c r="C77" s="2" t="s">
        <v>300</v>
      </c>
      <c r="D77" s="2" t="s">
        <v>30</v>
      </c>
      <c r="E77" s="2" t="s">
        <v>14</v>
      </c>
      <c r="F77" s="2" t="s">
        <v>15</v>
      </c>
      <c r="G77" s="2" t="s">
        <v>301</v>
      </c>
      <c r="H77" s="2" t="s">
        <v>159</v>
      </c>
      <c r="I77" s="2" t="str">
        <f>IFERROR(__xludf.DUMMYFUNCTION("GOOGLETRANSLATE(C77,""fr"",""en"")"),"I am satisfied., The correct tariffs are fairly fast telephone answers. The fairly easy steps.
We do not feel alone with respect to the computer.")</f>
        <v>I am satisfied., The correct tariffs are fairly fast telephone answers. The fairly easy steps.
We do not feel alone with respect to the computer.</v>
      </c>
    </row>
    <row r="78" ht="15.75" customHeight="1">
      <c r="A78" s="2">
        <v>5.0</v>
      </c>
      <c r="B78" s="2" t="s">
        <v>302</v>
      </c>
      <c r="C78" s="2" t="s">
        <v>303</v>
      </c>
      <c r="D78" s="2" t="s">
        <v>50</v>
      </c>
      <c r="E78" s="2" t="s">
        <v>14</v>
      </c>
      <c r="F78" s="2" t="s">
        <v>15</v>
      </c>
      <c r="G78" s="2" t="s">
        <v>304</v>
      </c>
      <c r="H78" s="2" t="s">
        <v>305</v>
      </c>
      <c r="I78" s="2" t="str">
        <f>IFERROR(__xludf.DUMMYFUNCTION("GOOGLETRANSLATE(C78,""fr"",""en"")"),"Very competitive insurance in terms of prices, very good reception only small downside a time of response too long no problem for everything else")</f>
        <v>Very competitive insurance in terms of prices, very good reception only small downside a time of response too long no problem for everything else</v>
      </c>
    </row>
    <row r="79" ht="15.75" customHeight="1">
      <c r="A79" s="2">
        <v>4.0</v>
      </c>
      <c r="B79" s="2" t="s">
        <v>306</v>
      </c>
      <c r="C79" s="2" t="s">
        <v>307</v>
      </c>
      <c r="D79" s="2" t="s">
        <v>50</v>
      </c>
      <c r="E79" s="2" t="s">
        <v>14</v>
      </c>
      <c r="F79" s="2" t="s">
        <v>15</v>
      </c>
      <c r="G79" s="2" t="s">
        <v>308</v>
      </c>
      <c r="H79" s="2" t="s">
        <v>192</v>
      </c>
      <c r="I79" s="2" t="str">
        <f>IFERROR(__xludf.DUMMYFUNCTION("GOOGLETRANSLATE(C79,""fr"",""en"")"),"I am very satisfied with my subscription to the insurance olive assurance A quick and effective response following my auto insurance request in your agency.")</f>
        <v>I am very satisfied with my subscription to the insurance olive assurance A quick and effective response following my auto insurance request in your agency.</v>
      </c>
    </row>
    <row r="80" ht="15.75" customHeight="1">
      <c r="A80" s="2">
        <v>1.0</v>
      </c>
      <c r="B80" s="2" t="s">
        <v>309</v>
      </c>
      <c r="C80" s="2" t="s">
        <v>310</v>
      </c>
      <c r="D80" s="2" t="s">
        <v>50</v>
      </c>
      <c r="E80" s="2" t="s">
        <v>14</v>
      </c>
      <c r="F80" s="2" t="s">
        <v>15</v>
      </c>
      <c r="G80" s="2" t="s">
        <v>311</v>
      </c>
      <c r="H80" s="2" t="s">
        <v>312</v>
      </c>
      <c r="I80" s="2" t="str">
        <f>IFERROR(__xludf.DUMMYFUNCTION("GOOGLETRANSLATE(C80,""fr"",""en"")"),"A gag. 2 interviews 40 minutes or I am asked for 2 times the same information. A 1999 clio with a main driver who has 20 years of license, a bonus of 0.5 and never offense or alcohol. Total cost of € 2,000. The price I bought the car. It's enormous.")</f>
        <v>A gag. 2 interviews 40 minutes or I am asked for 2 times the same information. A 1999 clio with a main driver who has 20 years of license, a bonus of 0.5 and never offense or alcohol. Total cost of € 2,000. The price I bought the car. It's enormous.</v>
      </c>
    </row>
    <row r="81" ht="15.75" customHeight="1">
      <c r="A81" s="2">
        <v>4.0</v>
      </c>
      <c r="B81" s="2" t="s">
        <v>313</v>
      </c>
      <c r="C81" s="2" t="s">
        <v>314</v>
      </c>
      <c r="D81" s="2" t="s">
        <v>30</v>
      </c>
      <c r="E81" s="2" t="s">
        <v>14</v>
      </c>
      <c r="F81" s="2" t="s">
        <v>15</v>
      </c>
      <c r="G81" s="2" t="s">
        <v>315</v>
      </c>
      <c r="H81" s="2" t="s">
        <v>64</v>
      </c>
      <c r="I81" s="2" t="str">
        <f>IFERROR(__xludf.DUMMYFUNCTION("GOOGLETRANSLATE(C81,""fr"",""en"")"),"The prices seem good. We will see if the service is there.
And we will see if the application is of quality and if the agents are reactive.")</f>
        <v>The prices seem good. We will see if the service is there.
And we will see if the application is of quality and if the agents are reactive.</v>
      </c>
    </row>
    <row r="82" ht="15.75" customHeight="1">
      <c r="A82" s="2">
        <v>2.0</v>
      </c>
      <c r="B82" s="2" t="s">
        <v>316</v>
      </c>
      <c r="C82" s="2" t="s">
        <v>317</v>
      </c>
      <c r="D82" s="2" t="s">
        <v>50</v>
      </c>
      <c r="E82" s="2" t="s">
        <v>14</v>
      </c>
      <c r="F82" s="2" t="s">
        <v>15</v>
      </c>
      <c r="G82" s="2" t="s">
        <v>318</v>
      </c>
      <c r="H82" s="2" t="s">
        <v>319</v>
      </c>
      <c r="I82" s="2" t="str">
        <f>IFERROR(__xludf.DUMMYFUNCTION("GOOGLETRANSLATE(C82,""fr"",""en"")"),"Upon signing the contract, courtesy friendliness and great promise.
For termination, (in question the prices), refusal of termination by all means.")</f>
        <v>Upon signing the contract, courtesy friendliness and great promise.
For termination, (in question the prices), refusal of termination by all means.</v>
      </c>
    </row>
    <row r="83" ht="15.75" customHeight="1">
      <c r="A83" s="2">
        <v>4.0</v>
      </c>
      <c r="B83" s="2" t="s">
        <v>320</v>
      </c>
      <c r="C83" s="2" t="s">
        <v>321</v>
      </c>
      <c r="D83" s="2" t="s">
        <v>296</v>
      </c>
      <c r="E83" s="2" t="s">
        <v>14</v>
      </c>
      <c r="F83" s="2" t="s">
        <v>15</v>
      </c>
      <c r="G83" s="2" t="s">
        <v>322</v>
      </c>
      <c r="H83" s="2" t="s">
        <v>107</v>
      </c>
      <c r="I83" s="2" t="str">
        <f>IFERROR(__xludf.DUMMYFUNCTION("GOOGLETRANSLATE(C83,""fr"",""en"")"),"I am satisfied with the service, as well as the quality of information and information, the speed and clarity of the answers to the questions asked")</f>
        <v>I am satisfied with the service, as well as the quality of information and information, the speed and clarity of the answers to the questions asked</v>
      </c>
    </row>
    <row r="84" ht="15.75" customHeight="1">
      <c r="A84" s="2">
        <v>2.0</v>
      </c>
      <c r="B84" s="2" t="s">
        <v>323</v>
      </c>
      <c r="C84" s="2" t="s">
        <v>324</v>
      </c>
      <c r="D84" s="2" t="s">
        <v>13</v>
      </c>
      <c r="E84" s="2" t="s">
        <v>111</v>
      </c>
      <c r="F84" s="2" t="s">
        <v>15</v>
      </c>
      <c r="G84" s="2" t="s">
        <v>325</v>
      </c>
      <c r="H84" s="2" t="s">
        <v>326</v>
      </c>
      <c r="I84" s="2" t="str">
        <f>IFERROR(__xludf.DUMMYFUNCTION("GOOGLETRANSLATE(C84,""fr"",""en"")"),"Insured at home for many years with ""Bonus à vie"" I had the unlucky enough to have two motorcycle accidents in two years including one not responsible on both. They wanted to multiply my franchise by two and a half, I refused and I was terminated. I rem"&amp;"oved all my contracts to go and see it elsewhere because with equivalent guarantees I easily found cheaper.")</f>
        <v>Insured at home for many years with "Bonus à vie" I had the unlucky enough to have two motorcycle accidents in two years including one not responsible on both. They wanted to multiply my franchise by two and a half, I refused and I was terminated. I removed all my contracts to go and see it elsewhere because with equivalent guarantees I easily found cheaper.</v>
      </c>
    </row>
    <row r="85" ht="15.75" customHeight="1">
      <c r="A85" s="2">
        <v>1.0</v>
      </c>
      <c r="B85" s="2" t="s">
        <v>327</v>
      </c>
      <c r="C85" s="2" t="s">
        <v>328</v>
      </c>
      <c r="D85" s="2" t="s">
        <v>329</v>
      </c>
      <c r="E85" s="2" t="s">
        <v>116</v>
      </c>
      <c r="F85" s="2" t="s">
        <v>15</v>
      </c>
      <c r="G85" s="2" t="s">
        <v>330</v>
      </c>
      <c r="H85" s="2" t="s">
        <v>192</v>
      </c>
      <c r="I85" s="2" t="str">
        <f>IFERROR(__xludf.DUMMYFUNCTION("GOOGLETRANSLATE(C85,""fr"",""en"")"),"My life insurance contract is over 8 years old and I would like to recover my funds placed only in support since I had made an arbitration 3 months ago in anticipation of this withdrawal. I phoned on October 1 because the total withdrawal cannot be done o"&amp;"nline. I was asked a lot of questions: why? You should rather ask for an advance, what are you going to do with your money? etc, etc ..... then I was told to send a letter because they could not take order by phone. Mail posted on 4/10. The 8/10 call, ano"&amp;"ther bunch of questions, the same as 01/10. On 10/20 I receive an email asking me to call them to take stock. I answered the email. We are on the 26th, my contract is still not closed. It is lamentable, for automatic samples they are very punctual, someti"&amp;"mes even they take before the scheduled date, but to recover their money is the obstacle course. Very unhappy. I do not recommend this insurer at all")</f>
        <v>My life insurance contract is over 8 years old and I would like to recover my funds placed only in support since I had made an arbitration 3 months ago in anticipation of this withdrawal. I phoned on October 1 because the total withdrawal cannot be done online. I was asked a lot of questions: why? You should rather ask for an advance, what are you going to do with your money? etc, etc ..... then I was told to send a letter because they could not take order by phone. Mail posted on 4/10. The 8/10 call, another bunch of questions, the same as 01/10. On 10/20 I receive an email asking me to call them to take stock. I answered the email. We are on the 26th, my contract is still not closed. It is lamentable, for automatic samples they are very punctual, sometimes even they take before the scheduled date, but to recover their money is the obstacle course. Very unhappy. I do not recommend this insurer at all</v>
      </c>
    </row>
    <row r="86" ht="15.75" customHeight="1">
      <c r="A86" s="2">
        <v>1.0</v>
      </c>
      <c r="B86" s="2" t="s">
        <v>331</v>
      </c>
      <c r="C86" s="2" t="s">
        <v>332</v>
      </c>
      <c r="D86" s="2" t="s">
        <v>224</v>
      </c>
      <c r="E86" s="2" t="s">
        <v>14</v>
      </c>
      <c r="F86" s="2" t="s">
        <v>15</v>
      </c>
      <c r="G86" s="2" t="s">
        <v>333</v>
      </c>
      <c r="H86" s="2" t="s">
        <v>43</v>
      </c>
      <c r="I86" s="2" t="str">
        <f>IFERROR(__xludf.DUMMYFUNCTION("GOOGLETRANSLATE(C86,""fr"",""en"")"),"FOUR MONTHS !!! that my vehicle is at the bodybuilder
(Pacifica approved) and still no forecast date at the end of work. Pacifica does not intervene despite all my requests. Thank you customer service.
To be avoided")</f>
        <v>FOUR MONTHS !!! that my vehicle is at the bodybuilder
(Pacifica approved) and still no forecast date at the end of work. Pacifica does not intervene despite all my requests. Thank you customer service.
To be avoided</v>
      </c>
    </row>
    <row r="87" ht="15.75" customHeight="1">
      <c r="A87" s="2">
        <v>1.0</v>
      </c>
      <c r="B87" s="2" t="s">
        <v>334</v>
      </c>
      <c r="C87" s="2" t="s">
        <v>335</v>
      </c>
      <c r="D87" s="2" t="s">
        <v>134</v>
      </c>
      <c r="E87" s="2" t="s">
        <v>36</v>
      </c>
      <c r="F87" s="2" t="s">
        <v>15</v>
      </c>
      <c r="G87" s="2" t="s">
        <v>336</v>
      </c>
      <c r="H87" s="2" t="s">
        <v>249</v>
      </c>
      <c r="I87" s="2" t="str">
        <f>IFERROR(__xludf.DUMMYFUNCTION("GOOGLETRANSLATE(C87,""fr"",""en"")"),"Neoliane I do not recommend this mutual to everyone my grandmother is customer for the moment and I can say that what will happen on the end date it is or of question what there is there they are unable to reimburse their customers this customers this are"&amp;" to fuck")</f>
        <v>Neoliane I do not recommend this mutual to everyone my grandmother is customer for the moment and I can say that what will happen on the end date it is or of question what there is there they are unable to reimburse their customers this customers this are to fuck</v>
      </c>
    </row>
    <row r="88" ht="15.75" customHeight="1">
      <c r="A88" s="2">
        <v>3.0</v>
      </c>
      <c r="B88" s="2" t="s">
        <v>337</v>
      </c>
      <c r="C88" s="2" t="s">
        <v>338</v>
      </c>
      <c r="D88" s="2" t="s">
        <v>50</v>
      </c>
      <c r="E88" s="2" t="s">
        <v>14</v>
      </c>
      <c r="F88" s="2" t="s">
        <v>15</v>
      </c>
      <c r="G88" s="2" t="s">
        <v>339</v>
      </c>
      <c r="H88" s="2" t="s">
        <v>340</v>
      </c>
      <c r="I88" s="2" t="str">
        <f>IFERROR(__xludf.DUMMYFUNCTION("GOOGLETRANSLATE(C88,""fr"",""en"")"),"Easy and inexpensive to make sure at the olive tree. Their web interface is really good.
On the other hand, after two years to have been insured at home, I changed my personal situation and decide to live in a nomadic digital campsite. So having no more "&amp;"fixed home, I came out of their check boxes and they turned me like a malproprus. A few seconds later, my contract was terminated on my personal space ...")</f>
        <v>Easy and inexpensive to make sure at the olive tree. Their web interface is really good.
On the other hand, after two years to have been insured at home, I changed my personal situation and decide to live in a nomadic digital campsite. So having no more fixed home, I came out of their check boxes and they turned me like a malproprus. A few seconds later, my contract was terminated on my personal space ...</v>
      </c>
    </row>
    <row r="89" ht="15.75" customHeight="1">
      <c r="A89" s="2">
        <v>4.0</v>
      </c>
      <c r="B89" s="2" t="s">
        <v>341</v>
      </c>
      <c r="C89" s="2" t="s">
        <v>342</v>
      </c>
      <c r="D89" s="2" t="s">
        <v>145</v>
      </c>
      <c r="E89" s="2" t="s">
        <v>111</v>
      </c>
      <c r="F89" s="2" t="s">
        <v>15</v>
      </c>
      <c r="G89" s="2" t="s">
        <v>343</v>
      </c>
      <c r="H89" s="2" t="s">
        <v>298</v>
      </c>
      <c r="I89" s="2" t="str">
        <f>IFERROR(__xludf.DUMMYFUNCTION("GOOGLETRANSLATE(C89,""fr"",""en"")"),"No accident but a breakdown 100 km from my house. Return to my home by taxi and immediate motorcycle management by an approved mechanic. Impeccable telephone service")</f>
        <v>No accident but a breakdown 100 km from my house. Return to my home by taxi and immediate motorcycle management by an approved mechanic. Impeccable telephone service</v>
      </c>
    </row>
    <row r="90" ht="15.75" customHeight="1">
      <c r="A90" s="2">
        <v>1.0</v>
      </c>
      <c r="B90" s="2" t="s">
        <v>344</v>
      </c>
      <c r="C90" s="2" t="s">
        <v>345</v>
      </c>
      <c r="D90" s="2" t="s">
        <v>85</v>
      </c>
      <c r="E90" s="2" t="s">
        <v>90</v>
      </c>
      <c r="F90" s="2" t="s">
        <v>15</v>
      </c>
      <c r="G90" s="2" t="s">
        <v>202</v>
      </c>
      <c r="H90" s="2" t="s">
        <v>47</v>
      </c>
      <c r="I90" s="2" t="str">
        <f>IFERROR(__xludf.DUMMYFUNCTION("GOOGLETRANSLATE(C90,""fr"",""en"")"),"It's been 2 years, that they owe me a sick leave, I am asked unnecessary papers, I am told that I am going to do something and each time, I am asked anythe. It's been 2 years since I was walking around and I would never take this mutual. She does not pay "&amp;"and never responds to my email. They are incompetent. I am very disappointed and do not recommend this insurance, to flee.")</f>
        <v>It's been 2 years, that they owe me a sick leave, I am asked unnecessary papers, I am told that I am going to do something and each time, I am asked anythe. It's been 2 years since I was walking around and I would never take this mutual. She does not pay and never responds to my email. They are incompetent. I am very disappointed and do not recommend this insurance, to flee.</v>
      </c>
    </row>
    <row r="91" ht="15.75" customHeight="1">
      <c r="A91" s="2">
        <v>4.0</v>
      </c>
      <c r="B91" s="2" t="s">
        <v>346</v>
      </c>
      <c r="C91" s="2" t="s">
        <v>347</v>
      </c>
      <c r="D91" s="2" t="s">
        <v>30</v>
      </c>
      <c r="E91" s="2" t="s">
        <v>14</v>
      </c>
      <c r="F91" s="2" t="s">
        <v>15</v>
      </c>
      <c r="G91" s="2" t="s">
        <v>348</v>
      </c>
      <c r="H91" s="2" t="s">
        <v>47</v>
      </c>
      <c r="I91" s="2" t="str">
        <f>IFERROR(__xludf.DUMMYFUNCTION("GOOGLETRANSLATE(C91,""fr"",""en"")"),"Hello, for the golf course, no problem, for the megane that has not been driving at all since I have the golf course, it's much too expensive. It is immobilized.")</f>
        <v>Hello, for the golf course, no problem, for the megane that has not been driving at all since I have the golf course, it's much too expensive. It is immobilized.</v>
      </c>
    </row>
    <row r="92" ht="15.75" customHeight="1">
      <c r="A92" s="2">
        <v>1.0</v>
      </c>
      <c r="B92" s="2" t="s">
        <v>349</v>
      </c>
      <c r="C92" s="2" t="s">
        <v>350</v>
      </c>
      <c r="D92" s="2" t="s">
        <v>224</v>
      </c>
      <c r="E92" s="2" t="s">
        <v>14</v>
      </c>
      <c r="F92" s="2" t="s">
        <v>15</v>
      </c>
      <c r="G92" s="2" t="s">
        <v>351</v>
      </c>
      <c r="H92" s="2" t="s">
        <v>352</v>
      </c>
      <c r="I92" s="2" t="str">
        <f>IFERROR(__xludf.DUMMYFUNCTION("GOOGLETRANSLATE(C92,""fr"",""en"")"),"It was necessary to call them several times to obtain satisfaction. Customer requests are ignored if you do not insist. Everything is good for paying but when you have an another pair of the round
to flee!!!!!!!!!!!")</f>
        <v>It was necessary to call them several times to obtain satisfaction. Customer requests are ignored if you do not insist. Everything is good for paying but when you have an another pair of the round
to flee!!!!!!!!!!!</v>
      </c>
    </row>
    <row r="93" ht="15.75" customHeight="1">
      <c r="A93" s="2">
        <v>2.0</v>
      </c>
      <c r="B93" s="2" t="s">
        <v>353</v>
      </c>
      <c r="C93" s="2" t="s">
        <v>354</v>
      </c>
      <c r="D93" s="2" t="s">
        <v>50</v>
      </c>
      <c r="E93" s="2" t="s">
        <v>14</v>
      </c>
      <c r="F93" s="2" t="s">
        <v>15</v>
      </c>
      <c r="G93" s="2" t="s">
        <v>355</v>
      </c>
      <c r="H93" s="2" t="s">
        <v>356</v>
      </c>
      <c r="I93" s="2" t="str">
        <f>IFERROR(__xludf.DUMMYFUNCTION("GOOGLETRANSLATE(C93,""fr"",""en"")"),"My first impression on Lolivier Insurance was good, pleasant, responsive ... I have been at home for about 1 year and a half. I contacted you a few days ago to explain to you that my financial situation was complicated this month. I asked the interlocutor"&amp;" to be able to smooth my monthly payment, I was told that it was not possible! So I explained that I wanted to find a solution .. I was told that it was my first problem that I would not have the costs of 20 euros that I should pay next month! But since t"&amp;"his morning I have been harassed, formal notice, recommended, you claim 2 monthly payment + costs ... I wanted to avoid problems and in the end I see that it is quite the opposite! I will settle you what I owe you and I change my insurance.")</f>
        <v>My first impression on Lolivier Insurance was good, pleasant, responsive ... I have been at home for about 1 year and a half. I contacted you a few days ago to explain to you that my financial situation was complicated this month. I asked the interlocutor to be able to smooth my monthly payment, I was told that it was not possible! So I explained that I wanted to find a solution .. I was told that it was my first problem that I would not have the costs of 20 euros that I should pay next month! But since this morning I have been harassed, formal notice, recommended, you claim 2 monthly payment + costs ... I wanted to avoid problems and in the end I see that it is quite the opposite! I will settle you what I owe you and I change my insurance.</v>
      </c>
    </row>
    <row r="94" ht="15.75" customHeight="1">
      <c r="A94" s="2">
        <v>1.0</v>
      </c>
      <c r="B94" s="2" t="s">
        <v>357</v>
      </c>
      <c r="C94" s="2" t="s">
        <v>358</v>
      </c>
      <c r="D94" s="2" t="s">
        <v>30</v>
      </c>
      <c r="E94" s="2" t="s">
        <v>14</v>
      </c>
      <c r="F94" s="2" t="s">
        <v>15</v>
      </c>
      <c r="G94" s="2" t="s">
        <v>359</v>
      </c>
      <c r="H94" s="2" t="s">
        <v>360</v>
      </c>
      <c r="I94" s="2" t="str">
        <f>IFERROR(__xludf.DUMMYFUNCTION("GOOGLETRANSLATE(C94,""fr"",""en"")"),"The quotes price its interesting, but after being very careful at a price at a price.
For me between 30 euros and 50 euros per modification, during the quote the date of the gray card changed the new gray card did not still have reached state services, s"&amp;"o for the quote I gave the date of the document in My possession.
Annual increase of 34 euros from my not punctual premium but very annual for this change. Very good I accept the contract I pay the supplement.
A few days later, I ask by phone if it is p"&amp;"ossible to advance the effective dates of two days of my contract, indeed it is possible on the other hand I am not informed that this increases my annual bonus by 44 euros, I call them to tell them that I do not agree, there must be an error.
They will "&amp;"bring back the information and he will contact me, after a few days I recall, we take care of it it is not necessary to recall.
Several weeks passes I send an email.
And I am contacted by phone.
Be I sign the new contract with the new bonus be I am no "&amp;"longer insured in three days.
Frankly who would agree to pay 44 euros every year to advance two days are contracts
I am a customer AXA for all our professional and personal insurance for 20 years, for this vehicle which was my service vehicle in my comp"&amp;"any since it was replaced by another, I thought that direct AXA subsidiary insurance certainly cheaper could be up to it.
I am asking myself a lot of questions today because all of our insurance within the AXA Assurances group its important we never had "&amp;"to solicit our coverage. We would face the same treatment.
Here is my opinion
")</f>
        <v>The quotes price its interesting, but after being very careful at a price at a price.
For me between 30 euros and 50 euros per modification, during the quote the date of the gray card changed the new gray card did not still have reached state services, so for the quote I gave the date of the document in My possession.
Annual increase of 34 euros from my not punctual premium but very annual for this change. Very good I accept the contract I pay the supplement.
A few days later, I ask by phone if it is possible to advance the effective dates of two days of my contract, indeed it is possible on the other hand I am not informed that this increases my annual bonus by 44 euros, I call them to tell them that I do not agree, there must be an error.
They will bring back the information and he will contact me, after a few days I recall, we take care of it it is not necessary to recall.
Several weeks passes I send an email.
And I am contacted by phone.
Be I sign the new contract with the new bonus be I am no longer insured in three days.
Frankly who would agree to pay 44 euros every year to advance two days are contracts
I am a customer AXA for all our professional and personal insurance for 20 years, for this vehicle which was my service vehicle in my company since it was replaced by another, I thought that direct AXA subsidiary insurance certainly cheaper could be up to it.
I am asking myself a lot of questions today because all of our insurance within the AXA Assurances group its important we never had to solicit our coverage. We would face the same treatment.
Here is my opinion
</v>
      </c>
    </row>
    <row r="95" ht="15.75" customHeight="1">
      <c r="A95" s="2">
        <v>3.0</v>
      </c>
      <c r="B95" s="2" t="s">
        <v>361</v>
      </c>
      <c r="C95" s="2" t="s">
        <v>362</v>
      </c>
      <c r="D95" s="2" t="s">
        <v>30</v>
      </c>
      <c r="E95" s="2" t="s">
        <v>14</v>
      </c>
      <c r="F95" s="2" t="s">
        <v>15</v>
      </c>
      <c r="G95" s="2" t="s">
        <v>363</v>
      </c>
      <c r="H95" s="2" t="s">
        <v>52</v>
      </c>
      <c r="I95" s="2" t="str">
        <f>IFERROR(__xludf.DUMMYFUNCTION("GOOGLETRANSLATE(C95,""fr"",""en"")"),"The prices are correct auto insurance for young driver (first insurance) if you can pay directly because in ""monthly"", the price rises quickly!")</f>
        <v>The prices are correct auto insurance for young driver (first insurance) if you can pay directly because in "monthly", the price rises quickly!</v>
      </c>
    </row>
    <row r="96" ht="15.75" customHeight="1">
      <c r="A96" s="2">
        <v>4.0</v>
      </c>
      <c r="B96" s="2" t="s">
        <v>364</v>
      </c>
      <c r="C96" s="2" t="s">
        <v>365</v>
      </c>
      <c r="D96" s="2" t="s">
        <v>50</v>
      </c>
      <c r="E96" s="2" t="s">
        <v>14</v>
      </c>
      <c r="F96" s="2" t="s">
        <v>15</v>
      </c>
      <c r="G96" s="2" t="s">
        <v>37</v>
      </c>
      <c r="H96" s="2" t="s">
        <v>38</v>
      </c>
      <c r="I96" s="2" t="str">
        <f>IFERROR(__xludf.DUMMYFUNCTION("GOOGLETRANSLATE(C96,""fr"",""en"")"),"I am satisfied with the service, the prices suit me perfectly, the telephone service is impeccable and know how to meet my expectations, I will recommend to those around me.")</f>
        <v>I am satisfied with the service, the prices suit me perfectly, the telephone service is impeccable and know how to meet my expectations, I will recommend to those around me.</v>
      </c>
    </row>
    <row r="97" ht="15.75" customHeight="1">
      <c r="A97" s="2">
        <v>2.0</v>
      </c>
      <c r="B97" s="2" t="s">
        <v>366</v>
      </c>
      <c r="C97" s="2" t="s">
        <v>367</v>
      </c>
      <c r="D97" s="2" t="s">
        <v>25</v>
      </c>
      <c r="E97" s="2" t="s">
        <v>14</v>
      </c>
      <c r="F97" s="2" t="s">
        <v>15</v>
      </c>
      <c r="G97" s="2" t="s">
        <v>368</v>
      </c>
      <c r="H97" s="2" t="s">
        <v>369</v>
      </c>
      <c r="I97" s="2" t="str">
        <f>IFERROR(__xludf.DUMMYFUNCTION("GOOGLETRANSLATE(C97,""fr"",""en"")"),"Axa Troubleshooting 'leaves no one with disabilities broken down on the road for 4 hours promising him breakdown in months of an hour which will not come because the refusal of the charter to move around")</f>
        <v>Axa Troubleshooting 'leaves no one with disabilities broken down on the road for 4 hours promising him breakdown in months of an hour which will not come because the refusal of the charter to move around</v>
      </c>
    </row>
    <row r="98" ht="15.75" customHeight="1">
      <c r="A98" s="2">
        <v>2.0</v>
      </c>
      <c r="B98" s="2" t="s">
        <v>370</v>
      </c>
      <c r="C98" s="2" t="s">
        <v>371</v>
      </c>
      <c r="D98" s="2" t="s">
        <v>50</v>
      </c>
      <c r="E98" s="2" t="s">
        <v>14</v>
      </c>
      <c r="F98" s="2" t="s">
        <v>15</v>
      </c>
      <c r="G98" s="2" t="s">
        <v>372</v>
      </c>
      <c r="H98" s="2" t="s">
        <v>82</v>
      </c>
      <c r="I98" s="2" t="str">
        <f>IFERROR(__xludf.DUMMYFUNCTION("GOOGLETRANSLATE(C98,""fr"",""en"")"),"Very disappointed by this insurance, since the passage by Europe Assistance on January 1, 2017 there is no more repatriation of passengers, in clear we repatriate your vehicle, and you do with your luggage and your children, it's a shame And everyone refe"&amp;"rs the ball, no clear responses from customer services.")</f>
        <v>Very disappointed by this insurance, since the passage by Europe Assistance on January 1, 2017 there is no more repatriation of passengers, in clear we repatriate your vehicle, and you do with your luggage and your children, it's a shame And everyone refers the ball, no clear responses from customer services.</v>
      </c>
    </row>
    <row r="99" ht="15.75" customHeight="1">
      <c r="A99" s="2">
        <v>2.0</v>
      </c>
      <c r="B99" s="2" t="s">
        <v>373</v>
      </c>
      <c r="C99" s="2" t="s">
        <v>374</v>
      </c>
      <c r="D99" s="2" t="s">
        <v>85</v>
      </c>
      <c r="E99" s="2" t="s">
        <v>36</v>
      </c>
      <c r="F99" s="2" t="s">
        <v>15</v>
      </c>
      <c r="G99" s="2" t="s">
        <v>249</v>
      </c>
      <c r="H99" s="2" t="s">
        <v>249</v>
      </c>
      <c r="I99" s="2" t="str">
        <f>IFERROR(__xludf.DUMMYFUNCTION("GOOGLETRANSLATE(C99,""fr"",""en"")"),"Price and cover in adequacy, rather average, but period of processing of unacceptable reimbursements, 7 weeks late in")</f>
        <v>Price and cover in adequacy, rather average, but period of processing of unacceptable reimbursements, 7 weeks late in</v>
      </c>
    </row>
    <row r="100" ht="15.75" customHeight="1">
      <c r="A100" s="2">
        <v>5.0</v>
      </c>
      <c r="B100" s="2" t="s">
        <v>375</v>
      </c>
      <c r="C100" s="2" t="s">
        <v>376</v>
      </c>
      <c r="D100" s="2" t="s">
        <v>50</v>
      </c>
      <c r="E100" s="2" t="s">
        <v>14</v>
      </c>
      <c r="F100" s="2" t="s">
        <v>15</v>
      </c>
      <c r="G100" s="2" t="s">
        <v>377</v>
      </c>
      <c r="H100" s="2" t="s">
        <v>378</v>
      </c>
      <c r="I100" s="2" t="str">
        <f>IFERROR(__xludf.DUMMYFUNCTION("GOOGLETRANSLATE(C100,""fr"",""en"")"),"So kind and effective, quick response time. What a pleasure to have people so professional online")</f>
        <v>So kind and effective, quick response time. What a pleasure to have people so professional online</v>
      </c>
    </row>
    <row r="101" ht="15.75" customHeight="1">
      <c r="A101" s="2">
        <v>5.0</v>
      </c>
      <c r="B101" s="2" t="s">
        <v>379</v>
      </c>
      <c r="C101" s="2" t="s">
        <v>380</v>
      </c>
      <c r="D101" s="2" t="s">
        <v>50</v>
      </c>
      <c r="E101" s="2" t="s">
        <v>14</v>
      </c>
      <c r="F101" s="2" t="s">
        <v>15</v>
      </c>
      <c r="G101" s="2" t="s">
        <v>381</v>
      </c>
      <c r="H101" s="2" t="s">
        <v>64</v>
      </c>
      <c r="I101" s="2" t="str">
        <f>IFERROR(__xludf.DUMMYFUNCTION("GOOGLETRANSLATE(C101,""fr"",""en"")"),"Very satisfied I highly recommend. Satisfactory price. Quick approach everything is well explained. I recommend Lolivier Insurance. Thank you for everything.")</f>
        <v>Very satisfied I highly recommend. Satisfactory price. Quick approach everything is well explained. I recommend Lolivier Insurance. Thank you for everything.</v>
      </c>
    </row>
    <row r="102" ht="15.75" customHeight="1">
      <c r="A102" s="2">
        <v>1.0</v>
      </c>
      <c r="B102" s="2" t="s">
        <v>382</v>
      </c>
      <c r="C102" s="2" t="s">
        <v>383</v>
      </c>
      <c r="D102" s="2" t="s">
        <v>30</v>
      </c>
      <c r="E102" s="2" t="s">
        <v>14</v>
      </c>
      <c r="F102" s="2" t="s">
        <v>15</v>
      </c>
      <c r="G102" s="2" t="s">
        <v>384</v>
      </c>
      <c r="H102" s="2" t="s">
        <v>229</v>
      </c>
      <c r="I102" s="2" t="str">
        <f>IFERROR(__xludf.DUMMYFUNCTION("GOOGLETRANSLATE(C102,""fr"",""en"")"),"Very unhappy with the performance of my former insurer.
The prices were competitive in the first year - call price- then increased by more than 50% over 4 years with a bonus up each year (0 accidents)
No flexibility. Everything is automatic and the advi"&amp;"sers, after the quarter of an hour of regulatory waiting can do nothing ""because of the system"". To avoid absolutely.")</f>
        <v>Very unhappy with the performance of my former insurer.
The prices were competitive in the first year - call price- then increased by more than 50% over 4 years with a bonus up each year (0 accidents)
No flexibility. Everything is automatic and the advisers, after the quarter of an hour of regulatory waiting can do nothing "because of the system". To avoid absolutely.</v>
      </c>
    </row>
    <row r="103" ht="15.75" customHeight="1">
      <c r="A103" s="2">
        <v>3.0</v>
      </c>
      <c r="B103" s="2" t="s">
        <v>385</v>
      </c>
      <c r="C103" s="2" t="s">
        <v>386</v>
      </c>
      <c r="D103" s="2" t="s">
        <v>134</v>
      </c>
      <c r="E103" s="2" t="s">
        <v>36</v>
      </c>
      <c r="F103" s="2" t="s">
        <v>15</v>
      </c>
      <c r="G103" s="2" t="s">
        <v>387</v>
      </c>
      <c r="H103" s="2" t="s">
        <v>387</v>
      </c>
      <c r="I103" s="2" t="str">
        <f>IFERROR(__xludf.DUMMYFUNCTION("GOOGLETRANSLATE(C103,""fr"",""en"")"),"very pleasant and very well explained contact on the main points")</f>
        <v>very pleasant and very well explained contact on the main points</v>
      </c>
    </row>
    <row r="104" ht="15.75" customHeight="1">
      <c r="A104" s="2">
        <v>4.0</v>
      </c>
      <c r="B104" s="2" t="s">
        <v>388</v>
      </c>
      <c r="C104" s="2" t="s">
        <v>389</v>
      </c>
      <c r="D104" s="2" t="s">
        <v>50</v>
      </c>
      <c r="E104" s="2" t="s">
        <v>14</v>
      </c>
      <c r="F104" s="2" t="s">
        <v>15</v>
      </c>
      <c r="G104" s="2" t="s">
        <v>390</v>
      </c>
      <c r="H104" s="2" t="s">
        <v>38</v>
      </c>
      <c r="I104" s="2" t="str">
        <f>IFERROR(__xludf.DUMMYFUNCTION("GOOGLETRANSLATE(C104,""fr"",""en"")"),"Easy contact
My requests were taken into account.
Very cordial telephone call
I recommend for the prices and all the explanations of the contract")</f>
        <v>Easy contact
My requests were taken into account.
Very cordial telephone call
I recommend for the prices and all the explanations of the contract</v>
      </c>
    </row>
    <row r="105" ht="15.75" customHeight="1">
      <c r="A105" s="2">
        <v>2.0</v>
      </c>
      <c r="B105" s="2" t="s">
        <v>391</v>
      </c>
      <c r="C105" s="2" t="s">
        <v>392</v>
      </c>
      <c r="D105" s="2" t="s">
        <v>134</v>
      </c>
      <c r="E105" s="2" t="s">
        <v>36</v>
      </c>
      <c r="F105" s="2" t="s">
        <v>15</v>
      </c>
      <c r="G105" s="2" t="s">
        <v>393</v>
      </c>
      <c r="H105" s="2" t="s">
        <v>47</v>
      </c>
      <c r="I105" s="2" t="str">
        <f>IFERROR(__xludf.DUMMYFUNCTION("GOOGLETRANSLATE(C105,""fr"",""en"")"),"Very unhappy with Néoliane I can't get reimbursed when they phone they say it was in short treatment but still nothing to be day yet they are well received my documents because they have sent me an email with the documents Received I have been waiting for"&amp;" a reimbursement since February 9 and since February 18 has been day still nothing, however, it pays pharmacies and laboratories")</f>
        <v>Very unhappy with Néoliane I can't get reimbursed when they phone they say it was in short treatment but still nothing to be day yet they are well received my documents because they have sent me an email with the documents Received I have been waiting for a reimbursement since February 9 and since February 18 has been day still nothing, however, it pays pharmacies and laboratories</v>
      </c>
    </row>
    <row r="106" ht="15.75" customHeight="1">
      <c r="A106" s="2">
        <v>3.0</v>
      </c>
      <c r="B106" s="2" t="s">
        <v>394</v>
      </c>
      <c r="C106" s="2" t="s">
        <v>395</v>
      </c>
      <c r="D106" s="2" t="s">
        <v>329</v>
      </c>
      <c r="E106" s="2" t="s">
        <v>14</v>
      </c>
      <c r="F106" s="2" t="s">
        <v>15</v>
      </c>
      <c r="G106" s="2" t="s">
        <v>396</v>
      </c>
      <c r="H106" s="2" t="s">
        <v>397</v>
      </c>
      <c r="I106" s="2" t="str">
        <f>IFERROR(__xludf.DUMMYFUNCTION("GOOGLETRANSLATE(C106,""fr"",""en"")"),"Difficult to judge the performance of the insurer QD we had no claim.
Too bad it is not possible to choose the amount of the franchise for insurance.")</f>
        <v>Difficult to judge the performance of the insurer QD we had no claim.
Too bad it is not possible to choose the amount of the franchise for insurance.</v>
      </c>
    </row>
    <row r="107" ht="15.75" customHeight="1">
      <c r="A107" s="2">
        <v>4.0</v>
      </c>
      <c r="B107" s="2" t="s">
        <v>398</v>
      </c>
      <c r="C107" s="2" t="s">
        <v>399</v>
      </c>
      <c r="D107" s="2" t="s">
        <v>50</v>
      </c>
      <c r="E107" s="2" t="s">
        <v>14</v>
      </c>
      <c r="F107" s="2" t="s">
        <v>15</v>
      </c>
      <c r="G107" s="2" t="s">
        <v>400</v>
      </c>
      <c r="H107" s="2" t="s">
        <v>356</v>
      </c>
      <c r="I107" s="2" t="str">
        <f>IFERROR(__xludf.DUMMYFUNCTION("GOOGLETRANSLATE(C107,""fr"",""en"")"),"Quick analysis of the situation
rapid and effective treatment of my backrest
pleasant and professional people
Help and assistance for the finalization of the contract
informed
")</f>
        <v>Quick analysis of the situation
rapid and effective treatment of my backrest
pleasant and professional people
Help and assistance for the finalization of the contract
informed
</v>
      </c>
    </row>
    <row r="108" ht="15.75" customHeight="1">
      <c r="A108" s="2">
        <v>1.0</v>
      </c>
      <c r="B108" s="2" t="s">
        <v>401</v>
      </c>
      <c r="C108" s="2" t="s">
        <v>402</v>
      </c>
      <c r="D108" s="2" t="s">
        <v>403</v>
      </c>
      <c r="E108" s="2" t="s">
        <v>68</v>
      </c>
      <c r="F108" s="2" t="s">
        <v>15</v>
      </c>
      <c r="G108" s="2" t="s">
        <v>404</v>
      </c>
      <c r="H108" s="2" t="s">
        <v>397</v>
      </c>
      <c r="I108" s="2" t="str">
        <f>IFERROR(__xludf.DUMMYFUNCTION("GOOGLETRANSLATE(C108,""fr"",""en"")"),"Privatis comfort home insurance with legal protection.
Today I have a concern with my employer and my insurance tells me that he does not take care of professional disputes ... have it been reported? NOPE .
Is this noted on my contract not.
Comfort leg"&amp;"al protection .. quite simply.
I have been paying for this insurance for many years and Houppss not guaranteed.
I will immediately look for a more serious insurer.
")</f>
        <v>Privatis comfort home insurance with legal protection.
Today I have a concern with my employer and my insurance tells me that he does not take care of professional disputes ... have it been reported? NOPE .
Is this noted on my contract not.
Comfort legal protection .. quite simply.
I have been paying for this insurance for many years and Houppss not guaranteed.
I will immediately look for a more serious insurer.
</v>
      </c>
    </row>
    <row r="109" ht="15.75" customHeight="1">
      <c r="A109" s="2">
        <v>3.0</v>
      </c>
      <c r="B109" s="2" t="s">
        <v>405</v>
      </c>
      <c r="C109" s="2" t="s">
        <v>406</v>
      </c>
      <c r="D109" s="2" t="s">
        <v>30</v>
      </c>
      <c r="E109" s="2" t="s">
        <v>14</v>
      </c>
      <c r="F109" s="2" t="s">
        <v>15</v>
      </c>
      <c r="G109" s="2" t="s">
        <v>407</v>
      </c>
      <c r="H109" s="2" t="s">
        <v>352</v>
      </c>
      <c r="I109" s="2" t="str">
        <f>IFERROR(__xludf.DUMMYFUNCTION("GOOGLETRANSLATE(C109,""fr"",""en"")"),"I am delighted with your services in the past. The quality/price is very suitable and also attracted me a lot.
Overall I am delighted with the services offered.")</f>
        <v>I am delighted with your services in the past. The quality/price is very suitable and also attracted me a lot.
Overall I am delighted with the services offered.</v>
      </c>
    </row>
    <row r="110" ht="15.75" customHeight="1">
      <c r="A110" s="2">
        <v>5.0</v>
      </c>
      <c r="B110" s="2" t="s">
        <v>408</v>
      </c>
      <c r="C110" s="2" t="s">
        <v>409</v>
      </c>
      <c r="D110" s="2" t="s">
        <v>50</v>
      </c>
      <c r="E110" s="2" t="s">
        <v>14</v>
      </c>
      <c r="F110" s="2" t="s">
        <v>15</v>
      </c>
      <c r="G110" s="2" t="s">
        <v>410</v>
      </c>
      <c r="H110" s="2" t="s">
        <v>32</v>
      </c>
      <c r="I110" s="2" t="str">
        <f>IFERROR(__xludf.DUMMYFUNCTION("GOOGLETRANSLATE(C110,""fr"",""en"")"),"Interesting quality/price ratio, reactive and listening advisers; This is my first subscription to auto insurance and I was delighted with the steps step by step by tele-advisers who explained the various terms of this contract to me and answered all my q"&amp;"uestions.")</f>
        <v>Interesting quality/price ratio, reactive and listening advisers; This is my first subscription to auto insurance and I was delighted with the steps step by step by tele-advisers who explained the various terms of this contract to me and answered all my questions.</v>
      </c>
    </row>
    <row r="111" ht="15.75" customHeight="1">
      <c r="A111" s="2">
        <v>1.0</v>
      </c>
      <c r="B111" s="2" t="s">
        <v>411</v>
      </c>
      <c r="C111" s="2" t="s">
        <v>412</v>
      </c>
      <c r="D111" s="2" t="s">
        <v>30</v>
      </c>
      <c r="E111" s="2" t="s">
        <v>14</v>
      </c>
      <c r="F111" s="2" t="s">
        <v>15</v>
      </c>
      <c r="G111" s="2" t="s">
        <v>413</v>
      </c>
      <c r="H111" s="2" t="s">
        <v>107</v>
      </c>
      <c r="I111" s="2" t="str">
        <f>IFERROR(__xludf.DUMMYFUNCTION("GOOGLETRANSLATE(C111,""fr"",""en"")"),"The prices do not suit me, your prices are wrong. I do not recommend at all. I redo a quote with the same information and I get a difference of 100 euros")</f>
        <v>The prices do not suit me, your prices are wrong. I do not recommend at all. I redo a quote with the same information and I get a difference of 100 euros</v>
      </c>
    </row>
    <row r="112" ht="15.75" customHeight="1">
      <c r="A112" s="2">
        <v>2.0</v>
      </c>
      <c r="B112" s="2" t="s">
        <v>414</v>
      </c>
      <c r="C112" s="2" t="s">
        <v>415</v>
      </c>
      <c r="D112" s="2" t="s">
        <v>416</v>
      </c>
      <c r="E112" s="2" t="s">
        <v>116</v>
      </c>
      <c r="F112" s="2" t="s">
        <v>15</v>
      </c>
      <c r="G112" s="2" t="s">
        <v>417</v>
      </c>
      <c r="H112" s="2" t="s">
        <v>233</v>
      </c>
      <c r="I112" s="2" t="str">
        <f>IFERROR(__xludf.DUMMYFUNCTION("GOOGLETRANSLATE(C112,""fr"",""en"")"),"I applied for partial buyout, three weeks ago, no news on my account, except that my advisor has the information well and nothing happens. I absolutely need this money to pay my land taxes ... This delay is extremely penalizing ... especially in the impos"&amp;"sibility of joining advisers who do not recall in the proposed service ....")</f>
        <v>I applied for partial buyout, three weeks ago, no news on my account, except that my advisor has the information well and nothing happens. I absolutely need this money to pay my land taxes ... This delay is extremely penalizing ... especially in the impossibility of joining advisers who do not recall in the proposed service ....</v>
      </c>
    </row>
    <row r="113" ht="15.75" customHeight="1">
      <c r="A113" s="2">
        <v>5.0</v>
      </c>
      <c r="B113" s="2" t="s">
        <v>418</v>
      </c>
      <c r="C113" s="2" t="s">
        <v>419</v>
      </c>
      <c r="D113" s="2" t="s">
        <v>35</v>
      </c>
      <c r="E113" s="2" t="s">
        <v>36</v>
      </c>
      <c r="F113" s="2" t="s">
        <v>15</v>
      </c>
      <c r="G113" s="2" t="s">
        <v>420</v>
      </c>
      <c r="H113" s="2" t="s">
        <v>221</v>
      </c>
      <c r="I113" s="2" t="str">
        <f>IFERROR(__xludf.DUMMYFUNCTION("GOOGLETRANSLATE(C113,""fr"",""en"")"),"Great ! I had very good advice! The lady answered all my questions, help me for the manipulation on the internet. Thanks to Caroline for this pleasant moment")</f>
        <v>Great ! I had very good advice! The lady answered all my questions, help me for the manipulation on the internet. Thanks to Caroline for this pleasant moment</v>
      </c>
    </row>
    <row r="114" ht="15.75" customHeight="1">
      <c r="A114" s="2">
        <v>1.0</v>
      </c>
      <c r="B114" s="2" t="s">
        <v>421</v>
      </c>
      <c r="C114" s="2" t="s">
        <v>422</v>
      </c>
      <c r="D114" s="2" t="s">
        <v>219</v>
      </c>
      <c r="E114" s="2" t="s">
        <v>68</v>
      </c>
      <c r="F114" s="2" t="s">
        <v>15</v>
      </c>
      <c r="G114" s="2" t="s">
        <v>423</v>
      </c>
      <c r="H114" s="2" t="s">
        <v>424</v>
      </c>
      <c r="I114" s="2" t="str">
        <f>IFERROR(__xludf.DUMMYFUNCTION("GOOGLETRANSLATE(C114,""fr"",""en"")"),"We have two sinister at Eu who does not sound resolved for more than two months. No news of the experts I wanted to do the work myself he requests a bill for purchasing materials which amounts to 350 € and eu offers me everything understood 345 € he does "&amp;"not care about us to flee from us and all our friends parton of this insurance. No news of the experts either he can take you every month but it is the only thing where they go quickly and Save doing we have filed a handrail and soon a complaint if it is "&amp;"resolved not proof in the hands of our damage it will go around the social networks finally disgust")</f>
        <v>We have two sinister at Eu who does not sound resolved for more than two months. No news of the experts I wanted to do the work myself he requests a bill for purchasing materials which amounts to 350 € and eu offers me everything understood 345 € he does not care about us to flee from us and all our friends parton of this insurance. No news of the experts either he can take you every month but it is the only thing where they go quickly and Save doing we have filed a handrail and soon a complaint if it is resolved not proof in the hands of our damage it will go around the social networks finally disgust</v>
      </c>
    </row>
    <row r="115" ht="15.75" customHeight="1">
      <c r="A115" s="2">
        <v>4.0</v>
      </c>
      <c r="B115" s="2" t="s">
        <v>425</v>
      </c>
      <c r="C115" s="2" t="s">
        <v>426</v>
      </c>
      <c r="D115" s="2" t="s">
        <v>145</v>
      </c>
      <c r="E115" s="2" t="s">
        <v>111</v>
      </c>
      <c r="F115" s="2" t="s">
        <v>15</v>
      </c>
      <c r="G115" s="2" t="s">
        <v>427</v>
      </c>
      <c r="H115" s="2" t="s">
        <v>38</v>
      </c>
      <c r="I115" s="2" t="str">
        <f>IFERROR(__xludf.DUMMYFUNCTION("GOOGLETRANSLATE(C115,""fr"",""en"")"),"price are very affordable
speed to registration by following the procedure
Too bad the documents to be sent are not indicated at the start (or not seen?)
")</f>
        <v>price are very affordable
speed to registration by following the procedure
Too bad the documents to be sent are not indicated at the start (or not seen?)
</v>
      </c>
    </row>
    <row r="116" ht="15.75" customHeight="1">
      <c r="A116" s="2">
        <v>2.0</v>
      </c>
      <c r="B116" s="2" t="s">
        <v>428</v>
      </c>
      <c r="C116" s="2" t="s">
        <v>429</v>
      </c>
      <c r="D116" s="2" t="s">
        <v>329</v>
      </c>
      <c r="E116" s="2" t="s">
        <v>68</v>
      </c>
      <c r="F116" s="2" t="s">
        <v>15</v>
      </c>
      <c r="G116" s="2" t="s">
        <v>430</v>
      </c>
      <c r="H116" s="2" t="s">
        <v>312</v>
      </c>
      <c r="I116" s="2" t="str">
        <f>IFERROR(__xludf.DUMMYFUNCTION("GOOGLETRANSLATE(C116,""fr"",""en"")")," I was the victim of a burglary. I have no news from the Macif. I go 2 times to the Montreuil agency at the opening time, but it was closed, without any words to notify customers.
I composed the following number: 01 55 56 57 58 to which I had to call s"&amp;"everal times to get a coherent answer (I was led by boat) here are the answers of the agents on the phone:
-1st call, I was given a telephone appointment, which was also canceled in the afternoon. I want to clarify that the reception agent refused to g"&amp;"ive me the name of the person who was to contact me, after insisting she replied that she did not know him. This would have facilitated contacts if necessary with this unknown person.
2er call, I obtained an emergency appointment but the next day no ca"&amp;"ll.
3er call, I explain my situation, the agent replies that calls to the customer are within 48 hours.
I send 2 letters including one in receipt of which I have no response. I remind you of the hostess tells me that no one was busy from my file. I re"&amp;"turn to the agency and there it is the pompom, the person deigns send a complaint email to his chief and asks me to wait a week for the answer, and to come back to see her if I have no answer , so she will call him. The really she is fucked up from me !!!"&amp;"
")</f>
        <v> I was the victim of a burglary. I have no news from the Macif. I go 2 times to the Montreuil agency at the opening time, but it was closed, without any words to notify customers.
I composed the following number: 01 55 56 57 58 to which I had to call several times to get a coherent answer (I was led by boat) here are the answers of the agents on the phone:
-1st call, I was given a telephone appointment, which was also canceled in the afternoon. I want to clarify that the reception agent refused to give me the name of the person who was to contact me, after insisting she replied that she did not know him. This would have facilitated contacts if necessary with this unknown person.
2er call, I obtained an emergency appointment but the next day no call.
3er call, I explain my situation, the agent replies that calls to the customer are within 48 hours.
I send 2 letters including one in receipt of which I have no response. I remind you of the hostess tells me that no one was busy from my file. I return to the agency and there it is the pompom, the person deigns send a complaint email to his chief and asks me to wait a week for the answer, and to come back to see her if I have no answer , so she will call him. The really she is fucked up from me !!!
</v>
      </c>
    </row>
    <row r="117" ht="15.75" customHeight="1">
      <c r="A117" s="2">
        <v>5.0</v>
      </c>
      <c r="B117" s="2" t="s">
        <v>431</v>
      </c>
      <c r="C117" s="2" t="s">
        <v>432</v>
      </c>
      <c r="D117" s="2" t="s">
        <v>30</v>
      </c>
      <c r="E117" s="2" t="s">
        <v>14</v>
      </c>
      <c r="F117" s="2" t="s">
        <v>15</v>
      </c>
      <c r="G117" s="2" t="s">
        <v>433</v>
      </c>
      <c r="H117" s="2" t="s">
        <v>199</v>
      </c>
      <c r="I117" s="2" t="str">
        <f>IFERROR(__xludf.DUMMYFUNCTION("GOOGLETRANSLATE(C117,""fr"",""en"")"),"Prices suit me
The guarantees are enough for me
Awaiting what my current Crédit Agricole insurance will offer me. I'm waiting for my appointment
")</f>
        <v>Prices suit me
The guarantees are enough for me
Awaiting what my current Crédit Agricole insurance will offer me. I'm waiting for my appointment
</v>
      </c>
    </row>
    <row r="118" ht="15.75" customHeight="1">
      <c r="A118" s="2">
        <v>3.0</v>
      </c>
      <c r="B118" s="2" t="s">
        <v>434</v>
      </c>
      <c r="C118" s="2" t="s">
        <v>435</v>
      </c>
      <c r="D118" s="2" t="s">
        <v>436</v>
      </c>
      <c r="E118" s="2" t="s">
        <v>36</v>
      </c>
      <c r="F118" s="2" t="s">
        <v>15</v>
      </c>
      <c r="G118" s="2" t="s">
        <v>437</v>
      </c>
      <c r="H118" s="2" t="s">
        <v>82</v>
      </c>
      <c r="I118" s="2" t="str">
        <f>IFERROR(__xludf.DUMMYFUNCTION("GOOGLETRANSLATE(C118,""fr"",""en"")"),"No reimbursement of health expenses since January 2017. In response to my complaint on May 9, it is the fault of harmony communication with the MGEN and it is up to members to manage to overcome the anomaly!
Who benefits financially this situation? A Mut"&amp;"ual Harmonie of course, which thus has capital to make fruit at the expense of members.
I do not admit these practices, especially since I am an elderly person in a low budget.
I will enter the UFC Que Choisir, which will be at least bad publicity for t"&amp;"his mutual.")</f>
        <v>No reimbursement of health expenses since January 2017. In response to my complaint on May 9, it is the fault of harmony communication with the MGEN and it is up to members to manage to overcome the anomaly!
Who benefits financially this situation? A Mutual Harmonie of course, which thus has capital to make fruit at the expense of members.
I do not admit these practices, especially since I am an elderly person in a low budget.
I will enter the UFC Que Choisir, which will be at least bad publicity for this mutual.</v>
      </c>
    </row>
    <row r="119" ht="15.75" customHeight="1">
      <c r="A119" s="2">
        <v>1.0</v>
      </c>
      <c r="B119" s="2" t="s">
        <v>438</v>
      </c>
      <c r="C119" s="2" t="s">
        <v>439</v>
      </c>
      <c r="D119" s="2" t="s">
        <v>247</v>
      </c>
      <c r="E119" s="2" t="s">
        <v>36</v>
      </c>
      <c r="F119" s="2" t="s">
        <v>15</v>
      </c>
      <c r="G119" s="2" t="s">
        <v>440</v>
      </c>
      <c r="H119" s="2" t="s">
        <v>52</v>
      </c>
      <c r="I119" s="2" t="str">
        <f>IFERROR(__xludf.DUMMYFUNCTION("GOOGLETRANSLATE(C119,""fr"",""en"")"),"Very expensive: after rapid calculation, we realize that even if all the disasters happen to us, the cost of the mutual will always be higher than what it reimburses.
In addition, today, I tried to reach them 8 times: 16 min of answering machine each t"&amp;"ime before it hangs up ...
I have never seen that.")</f>
        <v>Very expensive: after rapid calculation, we realize that even if all the disasters happen to us, the cost of the mutual will always be higher than what it reimburses.
In addition, today, I tried to reach them 8 times: 16 min of answering machine each time before it hangs up ...
I have never seen that.</v>
      </c>
    </row>
    <row r="120" ht="15.75" customHeight="1">
      <c r="A120" s="2">
        <v>4.0</v>
      </c>
      <c r="B120" s="2" t="s">
        <v>441</v>
      </c>
      <c r="C120" s="2" t="s">
        <v>442</v>
      </c>
      <c r="D120" s="2" t="s">
        <v>30</v>
      </c>
      <c r="E120" s="2" t="s">
        <v>14</v>
      </c>
      <c r="F120" s="2" t="s">
        <v>15</v>
      </c>
      <c r="G120" s="2" t="s">
        <v>443</v>
      </c>
      <c r="H120" s="2" t="s">
        <v>107</v>
      </c>
      <c r="I120" s="2" t="str">
        <f>IFERROR(__xludf.DUMMYFUNCTION("GOOGLETRANSLATE(C120,""fr"",""en"")"),"I am relatively satisfied with your insurance and I will recommend it to my friends.
We should be able to do more since the application")</f>
        <v>I am relatively satisfied with your insurance and I will recommend it to my friends.
We should be able to do more since the application</v>
      </c>
    </row>
    <row r="121" ht="15.75" customHeight="1">
      <c r="A121" s="2">
        <v>1.0</v>
      </c>
      <c r="B121" s="2" t="s">
        <v>444</v>
      </c>
      <c r="C121" s="2" t="s">
        <v>445</v>
      </c>
      <c r="D121" s="2" t="s">
        <v>25</v>
      </c>
      <c r="E121" s="2" t="s">
        <v>14</v>
      </c>
      <c r="F121" s="2" t="s">
        <v>15</v>
      </c>
      <c r="G121" s="2" t="s">
        <v>446</v>
      </c>
      <c r="H121" s="2" t="s">
        <v>155</v>
      </c>
      <c r="I121" s="2" t="str">
        <f>IFERROR(__xludf.DUMMYFUNCTION("GOOGLETRANSLATE(C121,""fr"",""en"")"),". The prices should not be talked about, when you will see them, the lady clearly explains to you that she doesn't care that you are satisfied or not, she says that her client remains the same (insolence in addition) so never again .")</f>
        <v>. The prices should not be talked about, when you will see them, the lady clearly explains to you that she doesn't care that you are satisfied or not, she says that her client remains the same (insolence in addition) so never again .</v>
      </c>
    </row>
    <row r="122" ht="15.75" customHeight="1">
      <c r="A122" s="2">
        <v>2.0</v>
      </c>
      <c r="B122" s="2" t="s">
        <v>447</v>
      </c>
      <c r="C122" s="2" t="s">
        <v>448</v>
      </c>
      <c r="D122" s="2" t="s">
        <v>449</v>
      </c>
      <c r="E122" s="2" t="s">
        <v>36</v>
      </c>
      <c r="F122" s="2" t="s">
        <v>15</v>
      </c>
      <c r="G122" s="2" t="s">
        <v>450</v>
      </c>
      <c r="H122" s="2" t="s">
        <v>298</v>
      </c>
      <c r="I122" s="2" t="str">
        <f>IFERROR(__xludf.DUMMYFUNCTION("GOOGLETRANSLATE(C122,""fr"",""en"")"),"Mandatory business mutual
My husband appeared well last year he had his own card
This year I am alone insured I do not know where they came out that my husband had his own mandatory mutual because he does not work
 I sent via my company the documents t"&amp;"hat I am claimed and I always wait but without more hope
I wanted to register on their site to find out more
 For this have of course asked us the member number and the last 7 figures of my IBAN
Impossible
My IBAN is not saying not correct except that"&amp;" I can still read an IBAN on my account statement")</f>
        <v>Mandatory business mutual
My husband appeared well last year he had his own card
This year I am alone insured I do not know where they came out that my husband had his own mandatory mutual because he does not work
 I sent via my company the documents that I am claimed and I always wait but without more hope
I wanted to register on their site to find out more
 For this have of course asked us the member number and the last 7 figures of my IBAN
Impossible
My IBAN is not saying not correct except that I can still read an IBAN on my account statement</v>
      </c>
    </row>
    <row r="123" ht="15.75" customHeight="1">
      <c r="A123" s="2">
        <v>1.0</v>
      </c>
      <c r="B123" s="2" t="s">
        <v>451</v>
      </c>
      <c r="C123" s="2" t="s">
        <v>452</v>
      </c>
      <c r="D123" s="2" t="s">
        <v>20</v>
      </c>
      <c r="E123" s="2" t="s">
        <v>14</v>
      </c>
      <c r="F123" s="2" t="s">
        <v>15</v>
      </c>
      <c r="G123" s="2" t="s">
        <v>453</v>
      </c>
      <c r="H123" s="2" t="s">
        <v>199</v>
      </c>
      <c r="I123" s="2" t="str">
        <f>IFERROR(__xludf.DUMMYFUNCTION("GOOGLETRANSLATE(C123,""fr"",""en"")"),"To flee, are not at all professional. No ethics. Unsuitable offer proposal.")</f>
        <v>To flee, are not at all professional. No ethics. Unsuitable offer proposal.</v>
      </c>
    </row>
    <row r="124" ht="15.75" customHeight="1">
      <c r="A124" s="2">
        <v>2.0</v>
      </c>
      <c r="B124" s="2" t="s">
        <v>454</v>
      </c>
      <c r="C124" s="2" t="s">
        <v>455</v>
      </c>
      <c r="D124" s="2" t="s">
        <v>292</v>
      </c>
      <c r="E124" s="2" t="s">
        <v>14</v>
      </c>
      <c r="F124" s="2" t="s">
        <v>15</v>
      </c>
      <c r="G124" s="2" t="s">
        <v>113</v>
      </c>
      <c r="H124" s="2" t="s">
        <v>113</v>
      </c>
      <c r="I124" s="2" t="str">
        <f>IFERROR(__xludf.DUMMYFUNCTION("GOOGLETRANSLATE(C124,""fr"",""en"")"),"A Deviis Auto Insurance by Internet = 341.90
The contract written by Matmut = 378.20
Their explanation; Quote does not include body guarantee and legal protection;
")</f>
        <v>A Deviis Auto Insurance by Internet = 341.90
The contract written by Matmut = 378.20
Their explanation; Quote does not include body guarantee and legal protection;
</v>
      </c>
    </row>
    <row r="125" ht="15.75" customHeight="1">
      <c r="A125" s="2">
        <v>3.0</v>
      </c>
      <c r="B125" s="2" t="s">
        <v>456</v>
      </c>
      <c r="C125" s="2" t="s">
        <v>457</v>
      </c>
      <c r="D125" s="2" t="s">
        <v>296</v>
      </c>
      <c r="E125" s="2" t="s">
        <v>14</v>
      </c>
      <c r="F125" s="2" t="s">
        <v>15</v>
      </c>
      <c r="G125" s="2" t="s">
        <v>252</v>
      </c>
      <c r="H125" s="2" t="s">
        <v>64</v>
      </c>
      <c r="I125" s="2" t="str">
        <f>IFERROR(__xludf.DUMMYFUNCTION("GOOGLETRANSLATE(C125,""fr"",""en"")"),"I am relatively satisfied because I have little disaster ... But the lack of information during my last problem with my car was a shame.
Having a loan car with such a huge franchise is not normal! We are priceless and it's not pleasant ...
Regarding the"&amp;" price of insurance, I find that little offer its fact to former customers while offers are offered to new customers. Maybe I will have to compare with the competition ... To follow")</f>
        <v>I am relatively satisfied because I have little disaster ... But the lack of information during my last problem with my car was a shame.
Having a loan car with such a huge franchise is not normal! We are priceless and it's not pleasant ...
Regarding the price of insurance, I find that little offer its fact to former customers while offers are offered to new customers. Maybe I will have to compare with the competition ... To follow</v>
      </c>
    </row>
    <row r="126" ht="15.75" customHeight="1">
      <c r="A126" s="2">
        <v>4.0</v>
      </c>
      <c r="B126" s="2" t="s">
        <v>458</v>
      </c>
      <c r="C126" s="2" t="s">
        <v>459</v>
      </c>
      <c r="D126" s="2" t="s">
        <v>145</v>
      </c>
      <c r="E126" s="2" t="s">
        <v>111</v>
      </c>
      <c r="F126" s="2" t="s">
        <v>15</v>
      </c>
      <c r="G126" s="2" t="s">
        <v>225</v>
      </c>
      <c r="H126" s="2" t="s">
        <v>159</v>
      </c>
      <c r="I126" s="2" t="str">
        <f>IFERROR(__xludf.DUMMYFUNCTION("GOOGLETRANSLATE(C126,""fr"",""en"")"),"Nothing to say negative about this insurance. The fact that the vast majority of steps are done online suits me very well. Guaranteed side I have never had to play my insurance yet but I have the feeling of being considered and well protected as biker.")</f>
        <v>Nothing to say negative about this insurance. The fact that the vast majority of steps are done online suits me very well. Guaranteed side I have never had to play my insurance yet but I have the feeling of being considered and well protected as biker.</v>
      </c>
    </row>
    <row r="127" ht="15.75" customHeight="1">
      <c r="A127" s="2">
        <v>4.0</v>
      </c>
      <c r="B127" s="2" t="s">
        <v>460</v>
      </c>
      <c r="C127" s="2" t="s">
        <v>461</v>
      </c>
      <c r="D127" s="2" t="s">
        <v>134</v>
      </c>
      <c r="E127" s="2" t="s">
        <v>36</v>
      </c>
      <c r="F127" s="2" t="s">
        <v>15</v>
      </c>
      <c r="G127" s="2" t="s">
        <v>462</v>
      </c>
      <c r="H127" s="2" t="s">
        <v>17</v>
      </c>
      <c r="I127" s="2" t="str">
        <f>IFERROR(__xludf.DUMMYFUNCTION("GOOGLETRANSLATE(C127,""fr"",""en"")"),"A member since 2013, good listening to reasonable needs, prices and always available to answer various questions")</f>
        <v>A member since 2013, good listening to reasonable needs, prices and always available to answer various questions</v>
      </c>
    </row>
    <row r="128" ht="15.75" customHeight="1">
      <c r="A128" s="2">
        <v>1.0</v>
      </c>
      <c r="B128" s="2" t="s">
        <v>463</v>
      </c>
      <c r="C128" s="2" t="s">
        <v>464</v>
      </c>
      <c r="D128" s="2" t="s">
        <v>465</v>
      </c>
      <c r="E128" s="2" t="s">
        <v>111</v>
      </c>
      <c r="F128" s="2" t="s">
        <v>15</v>
      </c>
      <c r="G128" s="2" t="s">
        <v>301</v>
      </c>
      <c r="H128" s="2" t="s">
        <v>159</v>
      </c>
      <c r="I128" s="2" t="str">
        <f>IFERROR(__xludf.DUMMYFUNCTION("GOOGLETRANSLATE(C128,""fr"",""en"")"),"Insurance which subscribes options without informing the customer, I sign an amount by phone, I see that it does not correspond at all to the samples a few months later, I am explained to customer service that they will do nothing. I receive a year later "&amp;"(without accident) a note that in addition to having insurance that does not correspond to the quote, my annual bonus will increase. This is the first insurance I see or it increases every year. to flee")</f>
        <v>Insurance which subscribes options without informing the customer, I sign an amount by phone, I see that it does not correspond at all to the samples a few months later, I am explained to customer service that they will do nothing. I receive a year later (without accident) a note that in addition to having insurance that does not correspond to the quote, my annual bonus will increase. This is the first insurance I see or it increases every year. to flee</v>
      </c>
    </row>
    <row r="129" ht="15.75" customHeight="1">
      <c r="A129" s="2">
        <v>1.0</v>
      </c>
      <c r="B129" s="2" t="s">
        <v>466</v>
      </c>
      <c r="C129" s="2" t="s">
        <v>467</v>
      </c>
      <c r="D129" s="2" t="s">
        <v>30</v>
      </c>
      <c r="E129" s="2" t="s">
        <v>14</v>
      </c>
      <c r="F129" s="2" t="s">
        <v>15</v>
      </c>
      <c r="G129" s="2" t="s">
        <v>468</v>
      </c>
      <c r="H129" s="2" t="s">
        <v>468</v>
      </c>
      <c r="I129" s="2" t="str">
        <f>IFERROR(__xludf.DUMMYFUNCTION("GOOGLETRANSLATE(C129,""fr"",""en"")"),"My car has been sinister since 08/20/18/19 since I relaunched them every week but never of concrete answers .... recently an expert contact me to tell me that there will be a reconstruction .... in December or 4 months after !! We put in it in it is a man"&amp;"ager but direct assurance preferred to embellish his customers! Ashamed  !! Asssurance to avoid at all costs!
On the other hand they were able to be very reactive to charge me 40 euros in case fees when I have a house !, To flee ....")</f>
        <v>My car has been sinister since 08/20/18/19 since I relaunched them every week but never of concrete answers .... recently an expert contact me to tell me that there will be a reconstruction .... in December or 4 months after !! We put in it in it is a manager but direct assurance preferred to embellish his customers! Ashamed  !! Asssurance to avoid at all costs!
On the other hand they were able to be very reactive to charge me 40 euros in case fees when I have a house !, To flee ....</v>
      </c>
    </row>
    <row r="130" ht="15.75" customHeight="1">
      <c r="A130" s="2">
        <v>5.0</v>
      </c>
      <c r="B130" s="2" t="s">
        <v>469</v>
      </c>
      <c r="C130" s="2" t="s">
        <v>470</v>
      </c>
      <c r="D130" s="2" t="s">
        <v>30</v>
      </c>
      <c r="E130" s="2" t="s">
        <v>14</v>
      </c>
      <c r="F130" s="2" t="s">
        <v>15</v>
      </c>
      <c r="G130" s="2" t="s">
        <v>103</v>
      </c>
      <c r="H130" s="2" t="s">
        <v>64</v>
      </c>
      <c r="I130" s="2" t="str">
        <f>IFERROR(__xludf.DUMMYFUNCTION("GOOGLETRANSLATE(C130,""fr"",""en"")"),"Assured for three years, very satisfied
Quality service and fast management
Among the most attractive prices in the different types of insurance
To recommend")</f>
        <v>Assured for three years, very satisfied
Quality service and fast management
Among the most attractive prices in the different types of insurance
To recommend</v>
      </c>
    </row>
    <row r="131" ht="15.75" customHeight="1">
      <c r="A131" s="2">
        <v>1.0</v>
      </c>
      <c r="B131" s="2" t="s">
        <v>471</v>
      </c>
      <c r="C131" s="2" t="s">
        <v>472</v>
      </c>
      <c r="D131" s="2" t="s">
        <v>41</v>
      </c>
      <c r="E131" s="2" t="s">
        <v>36</v>
      </c>
      <c r="F131" s="2" t="s">
        <v>15</v>
      </c>
      <c r="G131" s="2" t="s">
        <v>106</v>
      </c>
      <c r="H131" s="2" t="s">
        <v>107</v>
      </c>
      <c r="I131" s="2" t="str">
        <f>IFERROR(__xludf.DUMMYFUNCTION("GOOGLETRANSLATE(C131,""fr"",""en"")"),"Insured for more than 5 years, operated on the cataract, the only request for reimbursement since I have been listed with them, impossible to be reimbursed. Cegema does not respond to letters, supposedly, they only take into account emails but, even there"&amp;", it is absolute silence.
Mutual to proscribe absolutely.")</f>
        <v>Insured for more than 5 years, operated on the cataract, the only request for reimbursement since I have been listed with them, impossible to be reimbursed. Cegema does not respond to letters, supposedly, they only take into account emails but, even there, it is absolute silence.
Mutual to proscribe absolutely.</v>
      </c>
    </row>
    <row r="132" ht="15.75" customHeight="1">
      <c r="A132" s="2">
        <v>4.0</v>
      </c>
      <c r="B132" s="2" t="s">
        <v>473</v>
      </c>
      <c r="C132" s="2" t="s">
        <v>474</v>
      </c>
      <c r="D132" s="2" t="s">
        <v>134</v>
      </c>
      <c r="E132" s="2" t="s">
        <v>36</v>
      </c>
      <c r="F132" s="2" t="s">
        <v>15</v>
      </c>
      <c r="G132" s="2" t="s">
        <v>475</v>
      </c>
      <c r="H132" s="2" t="s">
        <v>192</v>
      </c>
      <c r="I132" s="2" t="str">
        <f>IFERROR(__xludf.DUMMYFUNCTION("GOOGLETRANSLATE(C132,""fr"",""en"")"),"Following the telephone interview I had this morning with Larbi, I obtained the information requested quickly and clearly.
Kind and competent person.
thanks again
Mrs Delamare")</f>
        <v>Following the telephone interview I had this morning with Larbi, I obtained the information requested quickly and clearly.
Kind and competent person.
thanks again
Mrs Delamare</v>
      </c>
    </row>
    <row r="133" ht="15.75" customHeight="1">
      <c r="A133" s="2">
        <v>3.0</v>
      </c>
      <c r="B133" s="2" t="s">
        <v>476</v>
      </c>
      <c r="C133" s="2" t="s">
        <v>477</v>
      </c>
      <c r="D133" s="2" t="s">
        <v>30</v>
      </c>
      <c r="E133" s="2" t="s">
        <v>14</v>
      </c>
      <c r="F133" s="2" t="s">
        <v>15</v>
      </c>
      <c r="G133" s="2" t="s">
        <v>478</v>
      </c>
      <c r="H133" s="2" t="s">
        <v>352</v>
      </c>
      <c r="I133" s="2" t="str">
        <f>IFERROR(__xludf.DUMMYFUNCTION("GOOGLETRANSLATE(C133,""fr"",""en"")"),"Hello, I have no opinions to give for the moment since I have not yet subscribed to you for the moment, thank you very much.
Maëlle Reymann")</f>
        <v>Hello, I have no opinions to give for the moment since I have not yet subscribed to you for the moment, thank you very much.
Maëlle Reymann</v>
      </c>
    </row>
    <row r="134" ht="15.75" customHeight="1">
      <c r="A134" s="2">
        <v>3.0</v>
      </c>
      <c r="B134" s="2" t="s">
        <v>479</v>
      </c>
      <c r="C134" s="2" t="s">
        <v>480</v>
      </c>
      <c r="D134" s="2" t="s">
        <v>481</v>
      </c>
      <c r="E134" s="2" t="s">
        <v>111</v>
      </c>
      <c r="F134" s="2" t="s">
        <v>15</v>
      </c>
      <c r="G134" s="2" t="s">
        <v>482</v>
      </c>
      <c r="H134" s="2" t="s">
        <v>107</v>
      </c>
      <c r="I134" s="2" t="str">
        <f>IFERROR(__xludf.DUMMYFUNCTION("GOOGLETRANSLATE(C134,""fr"",""en"")"),"The price is attractive but the deductible remains a little high. The subscription is simple and quick. I recommend your insurance with my colleagues biker")</f>
        <v>The price is attractive but the deductible remains a little high. The subscription is simple and quick. I recommend your insurance with my colleagues biker</v>
      </c>
    </row>
    <row r="135" ht="15.75" customHeight="1">
      <c r="A135" s="2">
        <v>5.0</v>
      </c>
      <c r="B135" s="2" t="s">
        <v>483</v>
      </c>
      <c r="C135" s="2" t="s">
        <v>484</v>
      </c>
      <c r="D135" s="2" t="s">
        <v>50</v>
      </c>
      <c r="E135" s="2" t="s">
        <v>14</v>
      </c>
      <c r="F135" s="2" t="s">
        <v>15</v>
      </c>
      <c r="G135" s="2" t="s">
        <v>485</v>
      </c>
      <c r="H135" s="2" t="s">
        <v>486</v>
      </c>
      <c r="I135" s="2" t="str">
        <f>IFERROR(__xludf.DUMMYFUNCTION("GOOGLETRANSLATE(C135,""fr"",""en"")"),"From an online quote, the subscription process is not only very simple, but also surprisingly fast!
In less than 15 minutes, the time to enter our personal information, and to make the payment of the first three monthly payments of the premium, the provi"&amp;"sional green card was already sent to my email address. And in a few additional minutes, necessary to deposit allowed, gray card and insurance statement directly from my customer area, the file was complete, and the final card sent in less than 48 hours.
"&amp;"
Above all, the price is really very interesting, I went from almost 65 € to 30 € monthly!
Thank you the Olivier!")</f>
        <v>From an online quote, the subscription process is not only very simple, but also surprisingly fast!
In less than 15 minutes, the time to enter our personal information, and to make the payment of the first three monthly payments of the premium, the provisional green card was already sent to my email address. And in a few additional minutes, necessary to deposit allowed, gray card and insurance statement directly from my customer area, the file was complete, and the final card sent in less than 48 hours.
Above all, the price is really very interesting, I went from almost 65 € to 30 € monthly!
Thank you the Olivier!</v>
      </c>
    </row>
    <row r="136" ht="15.75" customHeight="1">
      <c r="A136" s="2">
        <v>4.0</v>
      </c>
      <c r="B136" s="2" t="s">
        <v>487</v>
      </c>
      <c r="C136" s="2" t="s">
        <v>488</v>
      </c>
      <c r="D136" s="2" t="s">
        <v>145</v>
      </c>
      <c r="E136" s="2" t="s">
        <v>111</v>
      </c>
      <c r="F136" s="2" t="s">
        <v>15</v>
      </c>
      <c r="G136" s="2" t="s">
        <v>489</v>
      </c>
      <c r="H136" s="2" t="s">
        <v>38</v>
      </c>
      <c r="I136" s="2" t="str">
        <f>IFERROR(__xludf.DUMMYFUNCTION("GOOGLETRANSLATE(C136,""fr"",""en"")"),"I am satisfied with the service: simple and practical!
Contract changes and quotes are made from a single click.
The prices offered are correct.")</f>
        <v>I am satisfied with the service: simple and practical!
Contract changes and quotes are made from a single click.
The prices offered are correct.</v>
      </c>
    </row>
    <row r="137" ht="15.75" customHeight="1">
      <c r="A137" s="2">
        <v>4.0</v>
      </c>
      <c r="B137" s="2" t="s">
        <v>490</v>
      </c>
      <c r="C137" s="2" t="s">
        <v>491</v>
      </c>
      <c r="D137" s="2" t="s">
        <v>30</v>
      </c>
      <c r="E137" s="2" t="s">
        <v>14</v>
      </c>
      <c r="F137" s="2" t="s">
        <v>15</v>
      </c>
      <c r="G137" s="2" t="s">
        <v>492</v>
      </c>
      <c r="H137" s="2" t="s">
        <v>64</v>
      </c>
      <c r="I137" s="2" t="str">
        <f>IFERROR(__xludf.DUMMYFUNCTION("GOOGLETRANSLATE(C137,""fr"",""en"")"),"Very good, for the moment ...
I hope I never need to check the reimbursements
If I continue to be satisfied, I will put my other vehicles")</f>
        <v>Very good, for the moment ...
I hope I never need to check the reimbursements
If I continue to be satisfied, I will put my other vehicles</v>
      </c>
    </row>
    <row r="138" ht="15.75" customHeight="1">
      <c r="A138" s="2">
        <v>3.0</v>
      </c>
      <c r="B138" s="2" t="s">
        <v>493</v>
      </c>
      <c r="C138" s="2" t="s">
        <v>494</v>
      </c>
      <c r="D138" s="2" t="s">
        <v>224</v>
      </c>
      <c r="E138" s="2" t="s">
        <v>14</v>
      </c>
      <c r="F138" s="2" t="s">
        <v>15</v>
      </c>
      <c r="G138" s="2" t="s">
        <v>495</v>
      </c>
      <c r="H138" s="2" t="s">
        <v>233</v>
      </c>
      <c r="I138" s="2" t="str">
        <f>IFERROR(__xludf.DUMMYFUNCTION("GOOGLETRANSLATE(C138,""fr"",""en"")"),"Very good auto insurance, but dear in time, good service in the event of a problem of course insured in any risk, I had a problem alone at 300km from home I went up to Normandy with family, I called Pacifica ( Crédit Agricole), within 30 minutes of the co"&amp;"nvenience store was there, towed my vehicle, then the insurance asked me for the care either that I continued my way or I went home, had Either one or the other, a taxi therefore brought me home with my 12 year old son, then they paid me the fees km to go"&amp;" and collect my vehicle, too bad the price is expensive over the years, If you have several accounts with them, you have 10/20% of your insurance, I recommend it for young permits after one year of license, you pass a free internship of one morning and by"&amp;" accepting this internship you have 10% the following year on your membership")</f>
        <v>Very good auto insurance, but dear in time, good service in the event of a problem of course insured in any risk, I had a problem alone at 300km from home I went up to Normandy with family, I called Pacifica ( Crédit Agricole), within 30 minutes of the convenience store was there, towed my vehicle, then the insurance asked me for the care either that I continued my way or I went home, had Either one or the other, a taxi therefore brought me home with my 12 year old son, then they paid me the fees km to go and collect my vehicle, too bad the price is expensive over the years, If you have several accounts with them, you have 10/20% of your insurance, I recommend it for young permits after one year of license, you pass a free internship of one morning and by accepting this internship you have 10% the following year on your membership</v>
      </c>
    </row>
    <row r="139" ht="15.75" customHeight="1">
      <c r="A139" s="2">
        <v>4.0</v>
      </c>
      <c r="B139" s="2" t="s">
        <v>496</v>
      </c>
      <c r="C139" s="2" t="s">
        <v>497</v>
      </c>
      <c r="D139" s="2" t="s">
        <v>50</v>
      </c>
      <c r="E139" s="2" t="s">
        <v>14</v>
      </c>
      <c r="F139" s="2" t="s">
        <v>15</v>
      </c>
      <c r="G139" s="2" t="s">
        <v>498</v>
      </c>
      <c r="H139" s="2" t="s">
        <v>52</v>
      </c>
      <c r="I139" s="2" t="str">
        <f>IFERROR(__xludf.DUMMYFUNCTION("GOOGLETRANSLATE(C139,""fr"",""en"")"),"I am satisfied with the service, the prices are correct to recommend I am satisfied with the service, the prices are correct to recommend I am satisfied with the service, the prices are correct to recommend I am satisfied with the service, the prices are "&amp;"correct to recommend")</f>
        <v>I am satisfied with the service, the prices are correct to recommend I am satisfied with the service, the prices are correct to recommend I am satisfied with the service, the prices are correct to recommend I am satisfied with the service, the prices are correct to recommend</v>
      </c>
    </row>
    <row r="140" ht="15.75" customHeight="1">
      <c r="A140" s="2">
        <v>5.0</v>
      </c>
      <c r="B140" s="2" t="s">
        <v>499</v>
      </c>
      <c r="C140" s="2" t="s">
        <v>500</v>
      </c>
      <c r="D140" s="2" t="s">
        <v>50</v>
      </c>
      <c r="E140" s="2" t="s">
        <v>14</v>
      </c>
      <c r="F140" s="2" t="s">
        <v>15</v>
      </c>
      <c r="G140" s="2" t="s">
        <v>322</v>
      </c>
      <c r="H140" s="2" t="s">
        <v>107</v>
      </c>
      <c r="I140" s="2" t="str">
        <f>IFERROR(__xludf.DUMMYFUNCTION("GOOGLETRANSLATE(C140,""fr"",""en"")"),"Fast and efficient I was able to make my searches in about ten minutes, which is generally satisfactory. I still have to produce the documents.")</f>
        <v>Fast and efficient I was able to make my searches in about ten minutes, which is generally satisfactory. I still have to produce the documents.</v>
      </c>
    </row>
    <row r="141" ht="15.75" customHeight="1">
      <c r="A141" s="2">
        <v>3.0</v>
      </c>
      <c r="B141" s="2" t="s">
        <v>501</v>
      </c>
      <c r="C141" s="2" t="s">
        <v>502</v>
      </c>
      <c r="D141" s="2" t="s">
        <v>134</v>
      </c>
      <c r="E141" s="2" t="s">
        <v>36</v>
      </c>
      <c r="F141" s="2" t="s">
        <v>15</v>
      </c>
      <c r="G141" s="2" t="s">
        <v>503</v>
      </c>
      <c r="H141" s="2" t="s">
        <v>70</v>
      </c>
      <c r="I141" s="2" t="str">
        <f>IFERROR(__xludf.DUMMYFUNCTION("GOOGLETRANSLATE(C141,""fr"",""en"")"),"Member since 2015 with Néoliane. I have to satisfy the speed of reimbursements but I find the contribution excessive in relation to my needs.")</f>
        <v>Member since 2015 with Néoliane. I have to satisfy the speed of reimbursements but I find the contribution excessive in relation to my needs.</v>
      </c>
    </row>
    <row r="142" ht="15.75" customHeight="1">
      <c r="A142" s="2">
        <v>1.0</v>
      </c>
      <c r="B142" s="2" t="s">
        <v>504</v>
      </c>
      <c r="C142" s="2" t="s">
        <v>505</v>
      </c>
      <c r="D142" s="2" t="s">
        <v>449</v>
      </c>
      <c r="E142" s="2" t="s">
        <v>36</v>
      </c>
      <c r="F142" s="2" t="s">
        <v>15</v>
      </c>
      <c r="G142" s="2" t="s">
        <v>506</v>
      </c>
      <c r="H142" s="2" t="s">
        <v>237</v>
      </c>
      <c r="I142" s="2" t="str">
        <f>IFERROR(__xludf.DUMMYFUNCTION("GOOGLETRANSLATE(C142,""fr"",""en"")"),"Customer generation for several years, we learned 2 weeks ago, via our pharmacist who asked us for our third -party payment certificate, which we were no longer covered ... After telephone contacts (we never remind us) and emails unanswered ... We learned"&amp;" that we had no more health mutuals at Génération but that our ""contract"" had been transferred to Cetim. At Cetim, we are not found, we also promise to remember but nothing. Today, we learn that we will have our attestation in mid February if all is wel"&amp;"l. No mail, no email, no call to inform us ... We are thrown away like that suits them and without knowing why !!! So terminated contract, I made opposition on banking samples and I will see elsewhere .... it is time for our policies to put their noses in"&amp;" these mutuals ....")</f>
        <v>Customer generation for several years, we learned 2 weeks ago, via our pharmacist who asked us for our third -party payment certificate, which we were no longer covered ... After telephone contacts (we never remind us) and emails unanswered ... We learned that we had no more health mutuals at Génération but that our "contract" had been transferred to Cetim. At Cetim, we are not found, we also promise to remember but nothing. Today, we learn that we will have our attestation in mid February if all is well. No mail, no email, no call to inform us ... We are thrown away like that suits them and without knowing why !!! So terminated contract, I made opposition on banking samples and I will see elsewhere .... it is time for our policies to put their noses in these mutuals ....</v>
      </c>
    </row>
    <row r="143" ht="15.75" customHeight="1">
      <c r="A143" s="2">
        <v>4.0</v>
      </c>
      <c r="B143" s="2" t="s">
        <v>507</v>
      </c>
      <c r="C143" s="2" t="s">
        <v>508</v>
      </c>
      <c r="D143" s="2" t="s">
        <v>50</v>
      </c>
      <c r="E143" s="2" t="s">
        <v>14</v>
      </c>
      <c r="F143" s="2" t="s">
        <v>15</v>
      </c>
      <c r="G143" s="2" t="s">
        <v>509</v>
      </c>
      <c r="H143" s="2" t="s">
        <v>22</v>
      </c>
      <c r="I143" s="2" t="str">
        <f>IFERROR(__xludf.DUMMYFUNCTION("GOOGLETRANSLATE(C143,""fr"",""en"")"),"Hello, I had to subscribe after having my license in July 2019. The price offered for an Opel Corsa D of 2008 (80hp) was around € 114. Rather expensive in my opinion, because I saw cheaper elsewhere but I was just wary of other insurers. I have subscribed"&amp;" to a third -party offer+flight+0km Troubleshooting. Regarding the services, I was satisfied because I used it (2 times) in the breakdown service and it was the insurance that paid for me. The mechanical breakdown I had about the clutch was not covered an"&amp;"d therefore I paid it out of my pocket (600 € anyway!) But I don't know if it is possible with a higher blanket.
I was also able to request a modification of the date of direct debit (from 5 to 10) because I work next to it and I perceive my income after"&amp;" the 5th of each month.
After a year, I went to the 0.95 coefficient and at a price of approximately € 91, it is which is a rather substantial drop especially for a student like me who must pay attention to her expenses. So far, I have never had a prob"&amp;"lem. In case of strong crowds, I have rarely waited more than 10 minutes and less outside.
I changed insurer because my bank advisor offered me an offer allowing me to no longer pay for my bank charges and a price negotiation. Also, I wanted to bring t"&amp;"ogether all my contracts in one and the same institution instead of dispatch everything because it makes it easier for me since I only move one place.")</f>
        <v>Hello, I had to subscribe after having my license in July 2019. The price offered for an Opel Corsa D of 2008 (80hp) was around € 114. Rather expensive in my opinion, because I saw cheaper elsewhere but I was just wary of other insurers. I have subscribed to a third -party offer+flight+0km Troubleshooting. Regarding the services, I was satisfied because I used it (2 times) in the breakdown service and it was the insurance that paid for me. The mechanical breakdown I had about the clutch was not covered and therefore I paid it out of my pocket (600 € anyway!) But I don't know if it is possible with a higher blanket.
I was also able to request a modification of the date of direct debit (from 5 to 10) because I work next to it and I perceive my income after the 5th of each month.
After a year, I went to the 0.95 coefficient and at a price of approximately € 91, it is which is a rather substantial drop especially for a student like me who must pay attention to her expenses. So far, I have never had a problem. In case of strong crowds, I have rarely waited more than 10 minutes and less outside.
I changed insurer because my bank advisor offered me an offer allowing me to no longer pay for my bank charges and a price negotiation. Also, I wanted to bring together all my contracts in one and the same institution instead of dispatch everything because it makes it easier for me since I only move one place.</v>
      </c>
    </row>
    <row r="144" ht="15.75" customHeight="1">
      <c r="A144" s="2">
        <v>4.0</v>
      </c>
      <c r="B144" s="2" t="s">
        <v>510</v>
      </c>
      <c r="C144" s="2" t="s">
        <v>511</v>
      </c>
      <c r="D144" s="2" t="s">
        <v>50</v>
      </c>
      <c r="E144" s="2" t="s">
        <v>14</v>
      </c>
      <c r="F144" s="2" t="s">
        <v>15</v>
      </c>
      <c r="G144" s="2" t="s">
        <v>120</v>
      </c>
      <c r="H144" s="2" t="s">
        <v>32</v>
      </c>
      <c r="I144" s="2" t="str">
        <f>IFERROR(__xludf.DUMMYFUNCTION("GOOGLETRANSLATE(C144,""fr"",""en"")"),"I am satisfied with my car contract at l olivier.fr
I recommend this insurance to effective and speed to make the auto contracts and the simplicity of the site.
")</f>
        <v>I am satisfied with my car contract at l olivier.fr
I recommend this insurance to effective and speed to make the auto contracts and the simplicity of the site.
</v>
      </c>
    </row>
    <row r="145" ht="15.75" customHeight="1">
      <c r="A145" s="2">
        <v>4.0</v>
      </c>
      <c r="B145" s="2" t="s">
        <v>512</v>
      </c>
      <c r="C145" s="2" t="s">
        <v>513</v>
      </c>
      <c r="D145" s="2" t="s">
        <v>449</v>
      </c>
      <c r="E145" s="2" t="s">
        <v>36</v>
      </c>
      <c r="F145" s="2" t="s">
        <v>15</v>
      </c>
      <c r="G145" s="2" t="s">
        <v>514</v>
      </c>
      <c r="H145" s="2" t="s">
        <v>22</v>
      </c>
      <c r="I145" s="2" t="str">
        <f>IFERROR(__xludf.DUMMYFUNCTION("GOOGLETRANSLATE(C145,""fr"",""en"")"),"I put 3 stars at the price level because benefiting from this mutual with my old job, I do not pay it for myself and therefore I do not know the prices. I imagine that prices are not given given the quality of this mutual.
Unlike the majority of the op"&amp;"inions I see (maybe I'm lucky?) I find this mutual really top. They are easily available and very kind: I had late over the two months max for the portability of my rights, and they still agreed to extend me! It pleases an indulgent mutual.
For my part"&amp;", they reimburse me super quickly and very well, but I imagine that it depends on the agreements with the company in question. In any case I am very satisfied and if I have the means later to stay there I will probably do it.")</f>
        <v>I put 3 stars at the price level because benefiting from this mutual with my old job, I do not pay it for myself and therefore I do not know the prices. I imagine that prices are not given given the quality of this mutual.
Unlike the majority of the opinions I see (maybe I'm lucky?) I find this mutual really top. They are easily available and very kind: I had late over the two months max for the portability of my rights, and they still agreed to extend me! It pleases an indulgent mutual.
For my part, they reimburse me super quickly and very well, but I imagine that it depends on the agreements with the company in question. In any case I am very satisfied and if I have the means later to stay there I will probably do it.</v>
      </c>
    </row>
    <row r="146" ht="15.75" customHeight="1">
      <c r="A146" s="2">
        <v>4.0</v>
      </c>
      <c r="B146" s="2" t="s">
        <v>515</v>
      </c>
      <c r="C146" s="2" t="s">
        <v>516</v>
      </c>
      <c r="D146" s="2" t="s">
        <v>30</v>
      </c>
      <c r="E146" s="2" t="s">
        <v>14</v>
      </c>
      <c r="F146" s="2" t="s">
        <v>15</v>
      </c>
      <c r="G146" s="2" t="s">
        <v>181</v>
      </c>
      <c r="H146" s="2" t="s">
        <v>155</v>
      </c>
      <c r="I146" s="2" t="str">
        <f>IFERROR(__xludf.DUMMYFUNCTION("GOOGLETRANSLATE(C146,""fr"",""en"")"),"I am satisfied with your quote in addition you take the young drivers
My if I have been 2 years of supervised driving is you too care about the same day is I am found thanks to one of my colleagues who is also young conductive
")</f>
        <v>I am satisfied with your quote in addition you take the young drivers
My if I have been 2 years of supervised driving is you too care about the same day is I am found thanks to one of my colleagues who is also young conductive
</v>
      </c>
    </row>
    <row r="147" ht="15.75" customHeight="1">
      <c r="A147" s="2">
        <v>5.0</v>
      </c>
      <c r="B147" s="2" t="s">
        <v>517</v>
      </c>
      <c r="C147" s="2" t="s">
        <v>518</v>
      </c>
      <c r="D147" s="2" t="s">
        <v>30</v>
      </c>
      <c r="E147" s="2" t="s">
        <v>14</v>
      </c>
      <c r="F147" s="2" t="s">
        <v>15</v>
      </c>
      <c r="G147" s="2" t="s">
        <v>519</v>
      </c>
      <c r="H147" s="2" t="s">
        <v>32</v>
      </c>
      <c r="I147" s="2" t="str">
        <f>IFERROR(__xludf.DUMMYFUNCTION("GOOGLETRANSLATE(C147,""fr"",""en"")"),"After a claim I was very well taken care of I am very satisfied with this car insurance, I am now waiting for body care")</f>
        <v>After a claim I was very well taken care of I am very satisfied with this car insurance, I am now waiting for body care</v>
      </c>
    </row>
    <row r="148" ht="15.75" customHeight="1">
      <c r="A148" s="2">
        <v>4.0</v>
      </c>
      <c r="B148" s="2" t="s">
        <v>520</v>
      </c>
      <c r="C148" s="2" t="s">
        <v>521</v>
      </c>
      <c r="D148" s="2" t="s">
        <v>30</v>
      </c>
      <c r="E148" s="2" t="s">
        <v>14</v>
      </c>
      <c r="F148" s="2" t="s">
        <v>15</v>
      </c>
      <c r="G148" s="2" t="s">
        <v>522</v>
      </c>
      <c r="H148" s="2" t="s">
        <v>107</v>
      </c>
      <c r="I148" s="2" t="str">
        <f>IFERROR(__xludf.DUMMYFUNCTION("GOOGLETRANSLATE(C148,""fr"",""en"")"),"I am satisfied with the ease of subscription to my home insurance and the ease of navigation on the site and the fluidity of the questions.")</f>
        <v>I am satisfied with the ease of subscription to my home insurance and the ease of navigation on the site and the fluidity of the questions.</v>
      </c>
    </row>
    <row r="149" ht="15.75" customHeight="1">
      <c r="A149" s="2">
        <v>5.0</v>
      </c>
      <c r="B149" s="2" t="s">
        <v>523</v>
      </c>
      <c r="C149" s="2" t="s">
        <v>524</v>
      </c>
      <c r="D149" s="2" t="s">
        <v>30</v>
      </c>
      <c r="E149" s="2" t="s">
        <v>14</v>
      </c>
      <c r="F149" s="2" t="s">
        <v>15</v>
      </c>
      <c r="G149" s="2" t="s">
        <v>31</v>
      </c>
      <c r="H149" s="2" t="s">
        <v>32</v>
      </c>
      <c r="I149" s="2" t="str">
        <f>IFERROR(__xludf.DUMMYFUNCTION("GOOGLETRANSLATE(C149,""fr"",""en"")"),"I am satisfied with all the conditions offered
I am also from the price offered and also of all the options I chose
I recommend direct insurance")</f>
        <v>I am satisfied with all the conditions offered
I am also from the price offered and also of all the options I chose
I recommend direct insurance</v>
      </c>
    </row>
    <row r="150" ht="15.75" customHeight="1">
      <c r="A150" s="2">
        <v>4.0</v>
      </c>
      <c r="B150" s="2" t="s">
        <v>525</v>
      </c>
      <c r="C150" s="2" t="s">
        <v>526</v>
      </c>
      <c r="D150" s="2" t="s">
        <v>30</v>
      </c>
      <c r="E150" s="2" t="s">
        <v>14</v>
      </c>
      <c r="F150" s="2" t="s">
        <v>15</v>
      </c>
      <c r="G150" s="2" t="s">
        <v>527</v>
      </c>
      <c r="H150" s="2" t="s">
        <v>52</v>
      </c>
      <c r="I150" s="2" t="str">
        <f>IFERROR(__xludf.DUMMYFUNCTION("GOOGLETRANSLATE(C150,""fr"",""en"")"),"I am happy with direct insurance. Nothing to say about prices. the cheapest on the market. I recommend direct insurance to everyone who does not want to spend a fortune while having good coverage.")</f>
        <v>I am happy with direct insurance. Nothing to say about prices. the cheapest on the market. I recommend direct insurance to everyone who does not want to spend a fortune while having good coverage.</v>
      </c>
    </row>
    <row r="151" ht="15.75" customHeight="1">
      <c r="A151" s="2">
        <v>5.0</v>
      </c>
      <c r="B151" s="2" t="s">
        <v>528</v>
      </c>
      <c r="C151" s="2" t="s">
        <v>529</v>
      </c>
      <c r="D151" s="2" t="s">
        <v>416</v>
      </c>
      <c r="E151" s="2" t="s">
        <v>116</v>
      </c>
      <c r="F151" s="2" t="s">
        <v>15</v>
      </c>
      <c r="G151" s="2" t="s">
        <v>530</v>
      </c>
      <c r="H151" s="2" t="s">
        <v>241</v>
      </c>
      <c r="I151" s="2" t="str">
        <f>IFERROR(__xludf.DUMMYFUNCTION("GOOGLETRANSLATE(C151,""fr"",""en"")"),"Fully satisfied with AFER, and for at least 25 years
Very good profitability - Better than the CAC40 - Very good management of the Management Board
No problem for investments, nor for buyouts
I had 2 successions following 2 deaths: everything went very"&amp;" well
I do not stop talking about AFER to my entourage: I have opened dozens of files to my friends and all my family
I can only recommend the AFER to who seeks to place their money with more or less yield therefore more or less risk (at the choice of t"&amp;"he member)")</f>
        <v>Fully satisfied with AFER, and for at least 25 years
Very good profitability - Better than the CAC40 - Very good management of the Management Board
No problem for investments, nor for buyouts
I had 2 successions following 2 deaths: everything went very well
I do not stop talking about AFER to my entourage: I have opened dozens of files to my friends and all my family
I can only recommend the AFER to who seeks to place their money with more or less yield therefore more or less risk (at the choice of the member)</v>
      </c>
    </row>
    <row r="152" ht="15.75" customHeight="1">
      <c r="A152" s="2">
        <v>5.0</v>
      </c>
      <c r="B152" s="2" t="s">
        <v>531</v>
      </c>
      <c r="C152" s="2" t="s">
        <v>532</v>
      </c>
      <c r="D152" s="2" t="s">
        <v>50</v>
      </c>
      <c r="E152" s="2" t="s">
        <v>14</v>
      </c>
      <c r="F152" s="2" t="s">
        <v>15</v>
      </c>
      <c r="G152" s="2" t="s">
        <v>533</v>
      </c>
      <c r="H152" s="2" t="s">
        <v>233</v>
      </c>
      <c r="I152" s="2" t="str">
        <f>IFERROR(__xludf.DUMMYFUNCTION("GOOGLETRANSLATE(C152,""fr"",""en"")"),"Attractive price facilitated contact such a very good welcome and good understanding of customer relations
Last example I received my annual premium with an increase of 30% I telephonized so that I am explained and understand the reasons for my increase
"&amp;"
On the phone the wait was short and the quality reception")</f>
        <v>Attractive price facilitated contact such a very good welcome and good understanding of customer relations
Last example I received my annual premium with an increase of 30% I telephonized so that I am explained and understand the reasons for my increase
On the phone the wait was short and the quality reception</v>
      </c>
    </row>
    <row r="153" ht="15.75" customHeight="1">
      <c r="A153" s="2">
        <v>1.0</v>
      </c>
      <c r="B153" s="2" t="s">
        <v>534</v>
      </c>
      <c r="C153" s="2" t="s">
        <v>535</v>
      </c>
      <c r="D153" s="2" t="s">
        <v>219</v>
      </c>
      <c r="E153" s="2" t="s">
        <v>116</v>
      </c>
      <c r="F153" s="2" t="s">
        <v>15</v>
      </c>
      <c r="G153" s="2" t="s">
        <v>536</v>
      </c>
      <c r="H153" s="2" t="s">
        <v>124</v>
      </c>
      <c r="I153" s="2" t="str">
        <f>IFERROR(__xludf.DUMMYFUNCTION("GOOGLETRANSLATE(C153,""fr"",""en"")"),"Hello
4 weeks ago I informed Allianz that I was the beneficiary of life insurance. I immediately provided the death certificate. We had to call me within 15 days. Today still has nothing despite my calls and my emails. It seems that there is a lot of dea"&amp;"th. We make fun of who ....
What recourse ?? I would like to avoid involving a consumer association or a lawyer.
I would like an amicable and fast purpose.")</f>
        <v>Hello
4 weeks ago I informed Allianz that I was the beneficiary of life insurance. I immediately provided the death certificate. We had to call me within 15 days. Today still has nothing despite my calls and my emails. It seems that there is a lot of death. We make fun of who ....
What recourse ?? I would like to avoid involving a consumer association or a lawyer.
I would like an amicable and fast purpose.</v>
      </c>
    </row>
    <row r="154" ht="15.75" customHeight="1">
      <c r="A154" s="2">
        <v>3.0</v>
      </c>
      <c r="B154" s="2" t="s">
        <v>537</v>
      </c>
      <c r="C154" s="2" t="s">
        <v>538</v>
      </c>
      <c r="D154" s="2" t="s">
        <v>329</v>
      </c>
      <c r="E154" s="2" t="s">
        <v>68</v>
      </c>
      <c r="F154" s="2" t="s">
        <v>15</v>
      </c>
      <c r="G154" s="2" t="s">
        <v>539</v>
      </c>
      <c r="H154" s="2" t="s">
        <v>70</v>
      </c>
      <c r="I154" s="2" t="str">
        <f>IFERROR(__xludf.DUMMYFUNCTION("GOOGLETRANSLATE(C154,""fr"",""en"")"),"Disgusted by the way the Macif deals with claims files. In fact she does not deal with anything. She classifies. Negligence, casualness and contempt are in order not to compensate members.
My parents, elderly, have been members for over 30 years, good pa"&amp;"yers, no claim to their credit.
Victims of a strip of waters that caused significant work, more than 10,000 euros.
What to think of the missioned expert? Incompetent and negligent. Assured that he would do a ""good expertise"" ""because the employees of"&amp;" Macif, behind their desk, were not aware of the distress in which the victims were. In the end, he achieved fanciful expertise and n ' did not even communicate to Macif the quotes and invoices which were given to him. Bogus expertise.
The Macif therefor"&amp;"e decided that it did not intervene in this file.
After mail with the appeal committee, compensation of 880 euros for leak research, when a manager announced, by telephone, unpleasantly, that leak research was not compensated.
")</f>
        <v>Disgusted by the way the Macif deals with claims files. In fact she does not deal with anything. She classifies. Negligence, casualness and contempt are in order not to compensate members.
My parents, elderly, have been members for over 30 years, good payers, no claim to their credit.
Victims of a strip of waters that caused significant work, more than 10,000 euros.
What to think of the missioned expert? Incompetent and negligent. Assured that he would do a "good expertise" "because the employees of Macif, behind their desk, were not aware of the distress in which the victims were. In the end, he achieved fanciful expertise and n ' did not even communicate to Macif the quotes and invoices which were given to him. Bogus expertise.
The Macif therefore decided that it did not intervene in this file.
After mail with the appeal committee, compensation of 880 euros for leak research, when a manager announced, by telephone, unpleasantly, that leak research was not compensated.
</v>
      </c>
    </row>
    <row r="155" ht="15.75" customHeight="1">
      <c r="A155" s="2">
        <v>3.0</v>
      </c>
      <c r="B155" s="2" t="s">
        <v>540</v>
      </c>
      <c r="C155" s="2" t="s">
        <v>541</v>
      </c>
      <c r="D155" s="2" t="s">
        <v>481</v>
      </c>
      <c r="E155" s="2" t="s">
        <v>111</v>
      </c>
      <c r="F155" s="2" t="s">
        <v>15</v>
      </c>
      <c r="G155" s="2" t="s">
        <v>542</v>
      </c>
      <c r="H155" s="2" t="s">
        <v>159</v>
      </c>
      <c r="I155" s="2" t="str">
        <f>IFERROR(__xludf.DUMMYFUNCTION("GOOGLETRANSLATE(C155,""fr"",""en"")"),"Advise very attentive. I recommend this brand to users, whether in motorcycles or in cars and wish you an excellent day.")</f>
        <v>Advise very attentive. I recommend this brand to users, whether in motorcycles or in cars and wish you an excellent day.</v>
      </c>
    </row>
    <row r="156" ht="15.75" customHeight="1">
      <c r="A156" s="2">
        <v>1.0</v>
      </c>
      <c r="B156" s="2" t="s">
        <v>543</v>
      </c>
      <c r="C156" s="2" t="s">
        <v>544</v>
      </c>
      <c r="D156" s="2" t="s">
        <v>449</v>
      </c>
      <c r="E156" s="2" t="s">
        <v>36</v>
      </c>
      <c r="F156" s="2" t="s">
        <v>15</v>
      </c>
      <c r="G156" s="2" t="s">
        <v>545</v>
      </c>
      <c r="H156" s="2" t="s">
        <v>82</v>
      </c>
      <c r="I156" s="2" t="str">
        <f>IFERROR(__xludf.DUMMYFUNCTION("GOOGLETRANSLATE(C156,""fr"",""en"")"),"Unscrupulous mutual which takes the reimbursements of these members hostage to settle its disputes with the employer. I am up to date with my contributions and the mutual has suspended my guarantees as long as my old company pays its share. I have never b"&amp;"een warned and I can do nothing other than waiting ... it's been 5 months ... I do not recommend it. No commercial sense, the member is not at all considered and treated as a unwanted one who wants to be reimbursed ...")</f>
        <v>Unscrupulous mutual which takes the reimbursements of these members hostage to settle its disputes with the employer. I am up to date with my contributions and the mutual has suspended my guarantees as long as my old company pays its share. I have never been warned and I can do nothing other than waiting ... it's been 5 months ... I do not recommend it. No commercial sense, the member is not at all considered and treated as a unwanted one who wants to be reimbursed ...</v>
      </c>
    </row>
    <row r="157" ht="15.75" customHeight="1">
      <c r="A157" s="2">
        <v>1.0</v>
      </c>
      <c r="B157" s="2" t="s">
        <v>546</v>
      </c>
      <c r="C157" s="2" t="s">
        <v>547</v>
      </c>
      <c r="D157" s="2" t="s">
        <v>30</v>
      </c>
      <c r="E157" s="2" t="s">
        <v>14</v>
      </c>
      <c r="F157" s="2" t="s">
        <v>15</v>
      </c>
      <c r="G157" s="2" t="s">
        <v>548</v>
      </c>
      <c r="H157" s="2" t="s">
        <v>270</v>
      </c>
      <c r="I157" s="2" t="str">
        <f>IFERROR(__xludf.DUMMYFUNCTION("GOOGLETRANSLATE(C157,""fr"",""en"")"),"Even if you terminate in time requires contributions of the coming year
Insurance can be cheaper but the guarantees are also in smaller details
Service difficult to reach")</f>
        <v>Even if you terminate in time requires contributions of the coming year
Insurance can be cheaper but the guarantees are also in smaller details
Service difficult to reach</v>
      </c>
    </row>
    <row r="158" ht="15.75" customHeight="1">
      <c r="A158" s="2">
        <v>3.0</v>
      </c>
      <c r="B158" s="2" t="s">
        <v>549</v>
      </c>
      <c r="C158" s="2" t="s">
        <v>550</v>
      </c>
      <c r="D158" s="2" t="s">
        <v>219</v>
      </c>
      <c r="E158" s="2" t="s">
        <v>116</v>
      </c>
      <c r="F158" s="2" t="s">
        <v>15</v>
      </c>
      <c r="G158" s="2" t="s">
        <v>551</v>
      </c>
      <c r="H158" s="2" t="s">
        <v>340</v>
      </c>
      <c r="I158" s="2" t="str">
        <f>IFERROR(__xludf.DUMMYFUNCTION("GOOGLETRANSLATE(C158,""fr"",""en"")"),"To flee
25 minutes to have a
advise
File that dates from 3.5 years
On a succession
Still nothing to this day
4 people on the phone who tell me that regularized
It dates from 4 months
And you are not more advanced")</f>
        <v>To flee
25 minutes to have a
advise
File that dates from 3.5 years
On a succession
Still nothing to this day
4 people on the phone who tell me that regularized
It dates from 4 months
And you are not more advanced</v>
      </c>
    </row>
    <row r="159" ht="15.75" customHeight="1">
      <c r="A159" s="2">
        <v>4.0</v>
      </c>
      <c r="B159" s="2" t="s">
        <v>552</v>
      </c>
      <c r="C159" s="2" t="s">
        <v>553</v>
      </c>
      <c r="D159" s="2" t="s">
        <v>145</v>
      </c>
      <c r="E159" s="2" t="s">
        <v>111</v>
      </c>
      <c r="F159" s="2" t="s">
        <v>15</v>
      </c>
      <c r="G159" s="2" t="s">
        <v>554</v>
      </c>
      <c r="H159" s="2" t="s">
        <v>124</v>
      </c>
      <c r="I159" s="2" t="str">
        <f>IFERROR(__xludf.DUMMYFUNCTION("GOOGLETRANSLATE(C159,""fr"",""en"")"),"Excellent service, guarantees and online site. Everything is done easily online and the agents are very easy to reach in case additional information is necessary ... excellent!")</f>
        <v>Excellent service, guarantees and online site. Everything is done easily online and the agents are very easy to reach in case additional information is necessary ... excellent!</v>
      </c>
    </row>
    <row r="160" ht="15.75" customHeight="1">
      <c r="A160" s="2">
        <v>4.0</v>
      </c>
      <c r="B160" s="2" t="s">
        <v>555</v>
      </c>
      <c r="C160" s="2" t="s">
        <v>556</v>
      </c>
      <c r="D160" s="2" t="s">
        <v>30</v>
      </c>
      <c r="E160" s="2" t="s">
        <v>14</v>
      </c>
      <c r="F160" s="2" t="s">
        <v>15</v>
      </c>
      <c r="G160" s="2" t="s">
        <v>38</v>
      </c>
      <c r="H160" s="2" t="s">
        <v>38</v>
      </c>
      <c r="I160" s="2" t="str">
        <f>IFERROR(__xludf.DUMMYFUNCTION("GOOGLETRANSLATE(C160,""fr"",""en"")"),"Very good site. The contributions that adapt thanks to the ""Youdrive is clever and well thought out for respectful drivers. Good road to all")</f>
        <v>Very good site. The contributions that adapt thanks to the "Youdrive is clever and well thought out for respectful drivers. Good road to all</v>
      </c>
    </row>
    <row r="161" ht="15.75" customHeight="1">
      <c r="A161" s="2">
        <v>4.0</v>
      </c>
      <c r="B161" s="2" t="s">
        <v>557</v>
      </c>
      <c r="C161" s="2" t="s">
        <v>558</v>
      </c>
      <c r="D161" s="2" t="s">
        <v>449</v>
      </c>
      <c r="E161" s="2" t="s">
        <v>36</v>
      </c>
      <c r="F161" s="2" t="s">
        <v>15</v>
      </c>
      <c r="G161" s="2" t="s">
        <v>559</v>
      </c>
      <c r="H161" s="2" t="s">
        <v>352</v>
      </c>
      <c r="I161" s="2" t="str">
        <f>IFERROR(__xludf.DUMMYFUNCTION("GOOGLETRANSLATE(C161,""fr"",""en"")"),"Whenever I call generation for a question on my mutual or for a refund as was the case the last time, I am always surprised (in the right direction of course) not only of the speed of its advisers and advisers , but also and above all their skills, profes"&amp;"sionalism and their kindness. My sincere respects to the whole generation team.
Sincerely: Williams Longsi Marcel.")</f>
        <v>Whenever I call generation for a question on my mutual or for a refund as was the case the last time, I am always surprised (in the right direction of course) not only of the speed of its advisers and advisers , but also and above all their skills, professionalism and their kindness. My sincere respects to the whole generation team.
Sincerely: Williams Longsi Marcel.</v>
      </c>
    </row>
    <row r="162" ht="15.75" customHeight="1">
      <c r="A162" s="2">
        <v>4.0</v>
      </c>
      <c r="B162" s="2" t="s">
        <v>560</v>
      </c>
      <c r="C162" s="2" t="s">
        <v>561</v>
      </c>
      <c r="D162" s="2" t="s">
        <v>30</v>
      </c>
      <c r="E162" s="2" t="s">
        <v>14</v>
      </c>
      <c r="F162" s="2" t="s">
        <v>15</v>
      </c>
      <c r="G162" s="2" t="s">
        <v>562</v>
      </c>
      <c r="H162" s="2" t="s">
        <v>159</v>
      </c>
      <c r="I162" s="2" t="str">
        <f>IFERROR(__xludf.DUMMYFUNCTION("GOOGLETRANSLATE(C162,""fr"",""en"")"),"The prices suit me, top telephone reception, good value for money, the information given corresponds to what the person explains to me.")</f>
        <v>The prices suit me, top telephone reception, good value for money, the information given corresponds to what the person explains to me.</v>
      </c>
    </row>
    <row r="163" ht="15.75" customHeight="1">
      <c r="A163" s="2">
        <v>3.0</v>
      </c>
      <c r="B163" s="2" t="s">
        <v>563</v>
      </c>
      <c r="C163" s="2" t="s">
        <v>564</v>
      </c>
      <c r="D163" s="2" t="s">
        <v>292</v>
      </c>
      <c r="E163" s="2" t="s">
        <v>14</v>
      </c>
      <c r="F163" s="2" t="s">
        <v>15</v>
      </c>
      <c r="G163" s="2" t="s">
        <v>565</v>
      </c>
      <c r="H163" s="2" t="s">
        <v>566</v>
      </c>
      <c r="I163" s="2" t="str">
        <f>IFERROR(__xludf.DUMMYFUNCTION("GOOGLETRANSLATE(C163,""fr"",""en"")"),"The Matmut is my first insurance and I am quite satisfied with it. The prices should be reviewed in the absence of a claim.")</f>
        <v>The Matmut is my first insurance and I am quite satisfied with it. The prices should be reviewed in the absence of a claim.</v>
      </c>
    </row>
    <row r="164" ht="15.75" customHeight="1">
      <c r="A164" s="2">
        <v>5.0</v>
      </c>
      <c r="B164" s="2" t="s">
        <v>567</v>
      </c>
      <c r="C164" s="2" t="s">
        <v>568</v>
      </c>
      <c r="D164" s="2" t="s">
        <v>50</v>
      </c>
      <c r="E164" s="2" t="s">
        <v>14</v>
      </c>
      <c r="F164" s="2" t="s">
        <v>15</v>
      </c>
      <c r="G164" s="2" t="s">
        <v>225</v>
      </c>
      <c r="H164" s="2" t="s">
        <v>159</v>
      </c>
      <c r="I164" s="2" t="str">
        <f>IFERROR(__xludf.DUMMYFUNCTION("GOOGLETRANSLATE(C164,""fr"",""en"")"),"I am satisfied with the service. Insurance rates are very interesting. Appreciable telephone contact. I will not hesitate to come back to you for other auto contracts")</f>
        <v>I am satisfied with the service. Insurance rates are very interesting. Appreciable telephone contact. I will not hesitate to come back to you for other auto contracts</v>
      </c>
    </row>
    <row r="165" ht="15.75" customHeight="1">
      <c r="A165" s="2">
        <v>5.0</v>
      </c>
      <c r="B165" s="2" t="s">
        <v>569</v>
      </c>
      <c r="C165" s="2" t="s">
        <v>570</v>
      </c>
      <c r="D165" s="2" t="s">
        <v>571</v>
      </c>
      <c r="E165" s="2" t="s">
        <v>80</v>
      </c>
      <c r="F165" s="2" t="s">
        <v>15</v>
      </c>
      <c r="G165" s="2" t="s">
        <v>572</v>
      </c>
      <c r="H165" s="2" t="s">
        <v>52</v>
      </c>
      <c r="I165" s="2" t="str">
        <f>IFERROR(__xludf.DUMMYFUNCTION("GOOGLETRANSLATE(C165,""fr"",""en"")"),"I am very satisfied with the service.
Simple and quick with interesting rates.
Very welcome and explanations of the advisor.
I recommend Zen'up
")</f>
        <v>I am very satisfied with the service.
Simple and quick with interesting rates.
Very welcome and explanations of the advisor.
I recommend Zen'up
</v>
      </c>
    </row>
    <row r="166" ht="15.75" customHeight="1">
      <c r="A166" s="2">
        <v>1.0</v>
      </c>
      <c r="B166" s="2" t="s">
        <v>573</v>
      </c>
      <c r="C166" s="2" t="s">
        <v>574</v>
      </c>
      <c r="D166" s="2" t="s">
        <v>219</v>
      </c>
      <c r="E166" s="2" t="s">
        <v>14</v>
      </c>
      <c r="F166" s="2" t="s">
        <v>15</v>
      </c>
      <c r="G166" s="2" t="s">
        <v>575</v>
      </c>
      <c r="H166" s="2" t="s">
        <v>241</v>
      </c>
      <c r="I166" s="2" t="str">
        <f>IFERROR(__xludf.DUMMYFUNCTION("GOOGLETRANSLATE(C166,""fr"",""en"")"),"We have contracted our car contract via the Internet. It has been 4 months that we cannot terminate our contract by internet, saturated mailbox and email direct direct to the basket. I find it scandalous and inadmissible. Today several recommended A/R let"&amp;"ters in order to terminate this contract.")</f>
        <v>We have contracted our car contract via the Internet. It has been 4 months that we cannot terminate our contract by internet, saturated mailbox and email direct direct to the basket. I find it scandalous and inadmissible. Today several recommended A/R letters in order to terminate this contract.</v>
      </c>
    </row>
    <row r="167" ht="15.75" customHeight="1">
      <c r="A167" s="2">
        <v>1.0</v>
      </c>
      <c r="B167" s="2" t="s">
        <v>576</v>
      </c>
      <c r="C167" s="2" t="s">
        <v>577</v>
      </c>
      <c r="D167" s="2" t="s">
        <v>30</v>
      </c>
      <c r="E167" s="2" t="s">
        <v>14</v>
      </c>
      <c r="F167" s="2" t="s">
        <v>15</v>
      </c>
      <c r="G167" s="2" t="s">
        <v>393</v>
      </c>
      <c r="H167" s="2" t="s">
        <v>47</v>
      </c>
      <c r="I167" s="2" t="str">
        <f>IFERROR(__xludf.DUMMYFUNCTION("GOOGLETRANSLATE(C167,""fr"",""en"")"),"I gain bonus and yet no price drop. When I make a simulation as a new customer I am 50 € below what is offered to me in contract renewal. I have been asking for legal assistance for almost 10 days and the services meet the ball ... No one is empowered to "&amp;"answer simple questions.")</f>
        <v>I gain bonus and yet no price drop. When I make a simulation as a new customer I am 50 € below what is offered to me in contract renewal. I have been asking for legal assistance for almost 10 days and the services meet the ball ... No one is empowered to answer simple questions.</v>
      </c>
    </row>
    <row r="168" ht="15.75" customHeight="1">
      <c r="A168" s="2">
        <v>5.0</v>
      </c>
      <c r="B168" s="2" t="s">
        <v>578</v>
      </c>
      <c r="C168" s="2" t="s">
        <v>579</v>
      </c>
      <c r="D168" s="2" t="s">
        <v>50</v>
      </c>
      <c r="E168" s="2" t="s">
        <v>14</v>
      </c>
      <c r="F168" s="2" t="s">
        <v>15</v>
      </c>
      <c r="G168" s="2" t="s">
        <v>580</v>
      </c>
      <c r="H168" s="2" t="s">
        <v>38</v>
      </c>
      <c r="I168" s="2" t="str">
        <f>IFERROR(__xludf.DUMMYFUNCTION("GOOGLETRANSLATE(C168,""fr"",""en"")"),"A great speed and efficiency, well done and thank you for your professionalism I recommend your insurance to all my entourage shoots thank you
")</f>
        <v>A great speed and efficiency, well done and thank you for your professionalism I recommend your insurance to all my entourage shoots thank you
</v>
      </c>
    </row>
    <row r="169" ht="15.75" customHeight="1">
      <c r="A169" s="2">
        <v>2.0</v>
      </c>
      <c r="B169" s="2" t="s">
        <v>581</v>
      </c>
      <c r="C169" s="2" t="s">
        <v>582</v>
      </c>
      <c r="D169" s="2" t="s">
        <v>30</v>
      </c>
      <c r="E169" s="2" t="s">
        <v>14</v>
      </c>
      <c r="F169" s="2" t="s">
        <v>15</v>
      </c>
      <c r="G169" s="2" t="s">
        <v>583</v>
      </c>
      <c r="H169" s="2" t="s">
        <v>159</v>
      </c>
      <c r="I169" s="2" t="str">
        <f>IFERROR(__xludf.DUMMYFUNCTION("GOOGLETRANSLATE(C169,""fr"",""en"")"),"The prices are high but quick subscription I do not know if I will renew but I needed quickly insurance very expensive for a 14 -year -old vehicle")</f>
        <v>The prices are high but quick subscription I do not know if I will renew but I needed quickly insurance very expensive for a 14 -year -old vehicle</v>
      </c>
    </row>
    <row r="170" ht="15.75" customHeight="1">
      <c r="A170" s="2">
        <v>1.0</v>
      </c>
      <c r="B170" s="2" t="s">
        <v>584</v>
      </c>
      <c r="C170" s="2" t="s">
        <v>585</v>
      </c>
      <c r="D170" s="2" t="s">
        <v>481</v>
      </c>
      <c r="E170" s="2" t="s">
        <v>111</v>
      </c>
      <c r="F170" s="2" t="s">
        <v>15</v>
      </c>
      <c r="G170" s="2" t="s">
        <v>482</v>
      </c>
      <c r="H170" s="2" t="s">
        <v>107</v>
      </c>
      <c r="I170" s="2" t="str">
        <f>IFERROR(__xludf.DUMMYFUNCTION("GOOGLETRANSLATE(C170,""fr"",""en"")"),"I was struck on a motorcycle parking space by a car while maneuvering. Although not responsible for this accident, I always expect after 11 months to be reimbursed for repair costs.
I therefore strongly advise against this company which only collects the"&amp;" receipts but will do its best so as not to reimburse within the deadlines in the event of a claim. As a reminder, insurance law gives a company 3 months to repay a claim.")</f>
        <v>I was struck on a motorcycle parking space by a car while maneuvering. Although not responsible for this accident, I always expect after 11 months to be reimbursed for repair costs.
I therefore strongly advise against this company which only collects the receipts but will do its best so as not to reimburse within the deadlines in the event of a claim. As a reminder, insurance law gives a company 3 months to repay a claim.</v>
      </c>
    </row>
    <row r="171" ht="15.75" customHeight="1">
      <c r="A171" s="2">
        <v>2.0</v>
      </c>
      <c r="B171" s="2" t="s">
        <v>586</v>
      </c>
      <c r="C171" s="2" t="s">
        <v>587</v>
      </c>
      <c r="D171" s="2" t="s">
        <v>416</v>
      </c>
      <c r="E171" s="2" t="s">
        <v>116</v>
      </c>
      <c r="F171" s="2" t="s">
        <v>15</v>
      </c>
      <c r="G171" s="2" t="s">
        <v>588</v>
      </c>
      <c r="H171" s="2" t="s">
        <v>131</v>
      </c>
      <c r="I171" s="2" t="str">
        <f>IFERROR(__xludf.DUMMYFUNCTION("GOOGLETRANSLATE(C171,""fr"",""en"")"),"Specialist in tactics to delay payment of life insurance to heirs.
Last (from a long series) to date: after 6 months, they explain to me that the RIB supplied is an unusable foreign rib (it is the one that everyone uses, whose notary in charge of the suc"&amp;"cession who just made me a transfer). I return the RIB 3 weeks ago: no news")</f>
        <v>Specialist in tactics to delay payment of life insurance to heirs.
Last (from a long series) to date: after 6 months, they explain to me that the RIB supplied is an unusable foreign rib (it is the one that everyone uses, whose notary in charge of the succession who just made me a transfer). I return the RIB 3 weeks ago: no news</v>
      </c>
    </row>
    <row r="172" ht="15.75" customHeight="1">
      <c r="A172" s="2">
        <v>3.0</v>
      </c>
      <c r="B172" s="2" t="s">
        <v>589</v>
      </c>
      <c r="C172" s="2" t="s">
        <v>590</v>
      </c>
      <c r="D172" s="2" t="s">
        <v>296</v>
      </c>
      <c r="E172" s="2" t="s">
        <v>14</v>
      </c>
      <c r="F172" s="2" t="s">
        <v>15</v>
      </c>
      <c r="G172" s="2" t="s">
        <v>591</v>
      </c>
      <c r="H172" s="2" t="s">
        <v>64</v>
      </c>
      <c r="I172" s="2" t="str">
        <f>IFERROR(__xludf.DUMMYFUNCTION("GOOGLETRANSLATE(C172,""fr"",""en"")"),"Overall I am satisfied but I am very disappointed with ""legal protection"" which never provides a clear and clear response.
If the insured is wrong it must be said clearly and if he is also in his law. It would be good to provide the texts and regulatio"&amp;"ns in force. If it is indeed a ""legal service"", I find it difficult to admit his reluctance to defend myself during several requests.
Cordially,
Mr Carles")</f>
        <v>Overall I am satisfied but I am very disappointed with "legal protection" which never provides a clear and clear response.
If the insured is wrong it must be said clearly and if he is also in his law. It would be good to provide the texts and regulations in force. If it is indeed a "legal service", I find it difficult to admit his reluctance to defend myself during several requests.
Cordially,
Mr Carles</v>
      </c>
    </row>
    <row r="173" ht="15.75" customHeight="1">
      <c r="A173" s="2">
        <v>5.0</v>
      </c>
      <c r="B173" s="2" t="s">
        <v>592</v>
      </c>
      <c r="C173" s="2" t="s">
        <v>593</v>
      </c>
      <c r="D173" s="2" t="s">
        <v>50</v>
      </c>
      <c r="E173" s="2" t="s">
        <v>14</v>
      </c>
      <c r="F173" s="2" t="s">
        <v>15</v>
      </c>
      <c r="G173" s="2" t="s">
        <v>594</v>
      </c>
      <c r="H173" s="2" t="s">
        <v>47</v>
      </c>
      <c r="I173" s="2" t="str">
        <f>IFERROR(__xludf.DUMMYFUNCTION("GOOGLETRANSLATE(C173,""fr"",""en"")"),"For the moment I am satisfied: I am now waiting for validation but the site is simple, fast! The prices offered are interesting and the fact of offering dematerialization (without imposing!) It's just a big plus! Personally I am in favor of the scan and e"&amp;"lectronic signatures")</f>
        <v>For the moment I am satisfied: I am now waiting for validation but the site is simple, fast! The prices offered are interesting and the fact of offering dematerialization (without imposing!) It's just a big plus! Personally I am in favor of the scan and electronic signatures</v>
      </c>
    </row>
    <row r="174" ht="15.75" customHeight="1">
      <c r="A174" s="2">
        <v>3.0</v>
      </c>
      <c r="B174" s="2" t="s">
        <v>595</v>
      </c>
      <c r="C174" s="2" t="s">
        <v>596</v>
      </c>
      <c r="D174" s="2" t="s">
        <v>94</v>
      </c>
      <c r="E174" s="2" t="s">
        <v>36</v>
      </c>
      <c r="F174" s="2" t="s">
        <v>15</v>
      </c>
      <c r="G174" s="2" t="s">
        <v>597</v>
      </c>
      <c r="H174" s="2" t="s">
        <v>124</v>
      </c>
      <c r="I174" s="2" t="str">
        <f>IFERROR(__xludf.DUMMYFUNCTION("GOOGLETRANSLATE(C174,""fr"",""en"")"),"Quick and precise answer to the question asked.
Courteous and competent employee.
Cher rate in relation to the protections offered in comparison to mutuals in private.")</f>
        <v>Quick and precise answer to the question asked.
Courteous and competent employee.
Cher rate in relation to the protections offered in comparison to mutuals in private.</v>
      </c>
    </row>
    <row r="175" ht="15.75" customHeight="1">
      <c r="A175" s="2">
        <v>4.0</v>
      </c>
      <c r="B175" s="2" t="s">
        <v>598</v>
      </c>
      <c r="C175" s="2" t="s">
        <v>599</v>
      </c>
      <c r="D175" s="2" t="s">
        <v>30</v>
      </c>
      <c r="E175" s="2" t="s">
        <v>14</v>
      </c>
      <c r="F175" s="2" t="s">
        <v>15</v>
      </c>
      <c r="G175" s="2" t="s">
        <v>427</v>
      </c>
      <c r="H175" s="2" t="s">
        <v>38</v>
      </c>
      <c r="I175" s="2" t="str">
        <f>IFERROR(__xludf.DUMMYFUNCTION("GOOGLETRANSLATE(C175,""fr"",""en"")"),"I am very satisfied with your services. I will be more satisfied with a reduction on my subscription. While keeping the same guarantees that I have on the current contract.")</f>
        <v>I am very satisfied with your services. I will be more satisfied with a reduction on my subscription. While keeping the same guarantees that I have on the current contract.</v>
      </c>
    </row>
    <row r="176" ht="15.75" customHeight="1">
      <c r="A176" s="2">
        <v>1.0</v>
      </c>
      <c r="B176" s="2" t="s">
        <v>600</v>
      </c>
      <c r="C176" s="2" t="s">
        <v>601</v>
      </c>
      <c r="D176" s="2" t="s">
        <v>30</v>
      </c>
      <c r="E176" s="2" t="s">
        <v>14</v>
      </c>
      <c r="F176" s="2" t="s">
        <v>15</v>
      </c>
      <c r="G176" s="2" t="s">
        <v>602</v>
      </c>
      <c r="H176" s="2" t="s">
        <v>326</v>
      </c>
      <c r="I176" s="2" t="str">
        <f>IFERROR(__xludf.DUMMYFUNCTION("GOOGLETRANSLATE(C176,""fr"",""en"")"),"After 2 years of assuring contract you are no longer placed. After several calls, we tell you that prices cannot move ... in short we say even that we remind you and nothing")</f>
        <v>After 2 years of assuring contract you are no longer placed. After several calls, we tell you that prices cannot move ... in short we say even that we remind you and nothing</v>
      </c>
    </row>
    <row r="177" ht="15.75" customHeight="1">
      <c r="A177" s="2">
        <v>1.0</v>
      </c>
      <c r="B177" s="2" t="s">
        <v>603</v>
      </c>
      <c r="C177" s="2" t="s">
        <v>604</v>
      </c>
      <c r="D177" s="2" t="s">
        <v>605</v>
      </c>
      <c r="E177" s="2" t="s">
        <v>80</v>
      </c>
      <c r="F177" s="2" t="s">
        <v>15</v>
      </c>
      <c r="G177" s="2" t="s">
        <v>606</v>
      </c>
      <c r="H177" s="2" t="s">
        <v>249</v>
      </c>
      <c r="I177" s="2" t="str">
        <f>IFERROR(__xludf.DUMMYFUNCTION("GOOGLETRANSLATE(C177,""fr"",""en"")"),"No response within a reasonable time (1 week). The company has an arbitrary behavior: a double monthly landmark has been started while everything worked roughly properly from the previous incident")</f>
        <v>No response within a reasonable time (1 week). The company has an arbitrary behavior: a double monthly landmark has been started while everything worked roughly properly from the previous incident</v>
      </c>
    </row>
    <row r="178" ht="15.75" customHeight="1">
      <c r="A178" s="2">
        <v>2.0</v>
      </c>
      <c r="B178" s="2" t="s">
        <v>607</v>
      </c>
      <c r="C178" s="2" t="s">
        <v>608</v>
      </c>
      <c r="D178" s="2" t="s">
        <v>35</v>
      </c>
      <c r="E178" s="2" t="s">
        <v>36</v>
      </c>
      <c r="F178" s="2" t="s">
        <v>15</v>
      </c>
      <c r="G178" s="2" t="s">
        <v>609</v>
      </c>
      <c r="H178" s="2" t="s">
        <v>159</v>
      </c>
      <c r="I178" s="2" t="str">
        <f>IFERROR(__xludf.DUMMYFUNCTION("GOOGLETRANSLATE(C178,""fr"",""en"")"),"I congratulate Angelique for her precious help, his quality of listening and his answers.
On the other hand, I look forward to terminating this insurance, whose ""minimal"" reimbursements sometimes arrive up to 3 months late")</f>
        <v>I congratulate Angelique for her precious help, his quality of listening and his answers.
On the other hand, I look forward to terminating this insurance, whose "minimal" reimbursements sometimes arrive up to 3 months late</v>
      </c>
    </row>
    <row r="179" ht="15.75" customHeight="1">
      <c r="A179" s="2">
        <v>1.0</v>
      </c>
      <c r="B179" s="2" t="s">
        <v>610</v>
      </c>
      <c r="C179" s="2" t="s">
        <v>611</v>
      </c>
      <c r="D179" s="2" t="s">
        <v>141</v>
      </c>
      <c r="E179" s="2" t="s">
        <v>14</v>
      </c>
      <c r="F179" s="2" t="s">
        <v>15</v>
      </c>
      <c r="G179" s="2" t="s">
        <v>612</v>
      </c>
      <c r="H179" s="2" t="s">
        <v>613</v>
      </c>
      <c r="I179" s="2" t="str">
        <f>IFERROR(__xludf.DUMMYFUNCTION("GOOGLETRANSLATE(C179,""fr"",""en"")"),"25 years members with this insurer to be abusively cancel our two auto contracts.")</f>
        <v>25 years members with this insurer to be abusively cancel our two auto contracts.</v>
      </c>
    </row>
    <row r="180" ht="15.75" customHeight="1">
      <c r="A180" s="2">
        <v>1.0</v>
      </c>
      <c r="B180" s="2" t="s">
        <v>614</v>
      </c>
      <c r="C180" s="2" t="s">
        <v>615</v>
      </c>
      <c r="D180" s="2" t="s">
        <v>292</v>
      </c>
      <c r="E180" s="2" t="s">
        <v>68</v>
      </c>
      <c r="F180" s="2" t="s">
        <v>15</v>
      </c>
      <c r="G180" s="2" t="s">
        <v>616</v>
      </c>
      <c r="H180" s="2" t="s">
        <v>124</v>
      </c>
      <c r="I180" s="2" t="str">
        <f>IFERROR(__xludf.DUMMYFUNCTION("GOOGLETRANSLATE(C180,""fr"",""en"")"),"Never seen such an ineffective customer service. Impossible to reach on the phone despite multiple attempts that promise you to be remembered by an emergency advisor. I'm still waiting for his call. On the other hand, no delay for a formal notice (paying "&amp;"15 euros) for late payment of my mother's home insurance. Only problem, my mother has died of the covid for a month, which I warned the Matmut by letter with a notice of death attached, and to which I asked to resume the contract in my name, hence my mult"&amp;"iple Calls in vain ... It is not only zero in the process, but particularly revolting on the merits.")</f>
        <v>Never seen such an ineffective customer service. Impossible to reach on the phone despite multiple attempts that promise you to be remembered by an emergency advisor. I'm still waiting for his call. On the other hand, no delay for a formal notice (paying 15 euros) for late payment of my mother's home insurance. Only problem, my mother has died of the covid for a month, which I warned the Matmut by letter with a notice of death attached, and to which I asked to resume the contract in my name, hence my multiple Calls in vain ... It is not only zero in the process, but particularly revolting on the merits.</v>
      </c>
    </row>
    <row r="181" ht="15.75" customHeight="1">
      <c r="A181" s="2">
        <v>4.0</v>
      </c>
      <c r="B181" s="2" t="s">
        <v>617</v>
      </c>
      <c r="C181" s="2" t="s">
        <v>618</v>
      </c>
      <c r="D181" s="2" t="s">
        <v>30</v>
      </c>
      <c r="E181" s="2" t="s">
        <v>14</v>
      </c>
      <c r="F181" s="2" t="s">
        <v>15</v>
      </c>
      <c r="G181" s="2" t="s">
        <v>619</v>
      </c>
      <c r="H181" s="2" t="s">
        <v>47</v>
      </c>
      <c r="I181" s="2" t="str">
        <f>IFERROR(__xludf.DUMMYFUNCTION("GOOGLETRANSLATE(C181,""fr"",""en"")")," Very pleasant young woman, very patient and remarkable and effective, helpful with me!
A discourt to say the same thing see you soon.
it takes time!
")</f>
        <v> Very pleasant young woman, very patient and remarkable and effective, helpful with me!
A discourt to say the same thing see you soon.
it takes time!
</v>
      </c>
    </row>
    <row r="182" ht="15.75" customHeight="1">
      <c r="A182" s="2">
        <v>1.0</v>
      </c>
      <c r="B182" s="2" t="s">
        <v>620</v>
      </c>
      <c r="C182" s="2" t="s">
        <v>621</v>
      </c>
      <c r="D182" s="2" t="s">
        <v>30</v>
      </c>
      <c r="E182" s="2" t="s">
        <v>14</v>
      </c>
      <c r="F182" s="2" t="s">
        <v>15</v>
      </c>
      <c r="G182" s="2" t="s">
        <v>205</v>
      </c>
      <c r="H182" s="2" t="s">
        <v>159</v>
      </c>
      <c r="I182" s="2" t="str">
        <f>IFERROR(__xludf.DUMMYFUNCTION("GOOGLETRANSLATE(C182,""fr"",""en"")"),"While all insurance companies keep their 2021 stable car insurance rates or very slightly increased, Direct Insurance increased my premium by more than 7% when I had no responsible accident or not on the last 2 years.
The Direct Insurance strategy is cle"&amp;"ar: giving attractive prices for subscription and then increasing them a lot in the years that follow. They take loyal customers for milk cows.")</f>
        <v>While all insurance companies keep their 2021 stable car insurance rates or very slightly increased, Direct Insurance increased my premium by more than 7% when I had no responsible accident or not on the last 2 years.
The Direct Insurance strategy is clear: giving attractive prices for subscription and then increasing them a lot in the years that follow. They take loyal customers for milk cows.</v>
      </c>
    </row>
    <row r="183" ht="15.75" customHeight="1">
      <c r="A183" s="2">
        <v>3.0</v>
      </c>
      <c r="B183" s="2" t="s">
        <v>622</v>
      </c>
      <c r="C183" s="2" t="s">
        <v>623</v>
      </c>
      <c r="D183" s="2" t="s">
        <v>481</v>
      </c>
      <c r="E183" s="2" t="s">
        <v>111</v>
      </c>
      <c r="F183" s="2" t="s">
        <v>15</v>
      </c>
      <c r="G183" s="2" t="s">
        <v>120</v>
      </c>
      <c r="H183" s="2" t="s">
        <v>32</v>
      </c>
      <c r="I183" s="2" t="str">
        <f>IFERROR(__xludf.DUMMYFUNCTION("GOOGLETRANSLATE(C183,""fr"",""en"")"),"Satisfied fast and efficient service I fully recommend the services and services that are offered as well as rates that are very suitable.")</f>
        <v>Satisfied fast and efficient service I fully recommend the services and services that are offered as well as rates that are very suitable.</v>
      </c>
    </row>
    <row r="184" ht="15.75" customHeight="1">
      <c r="A184" s="2">
        <v>4.0</v>
      </c>
      <c r="B184" s="2" t="s">
        <v>624</v>
      </c>
      <c r="C184" s="2" t="s">
        <v>625</v>
      </c>
      <c r="D184" s="2" t="s">
        <v>145</v>
      </c>
      <c r="E184" s="2" t="s">
        <v>111</v>
      </c>
      <c r="F184" s="2" t="s">
        <v>15</v>
      </c>
      <c r="G184" s="2" t="s">
        <v>626</v>
      </c>
      <c r="H184" s="2" t="s">
        <v>159</v>
      </c>
      <c r="I184" s="2" t="str">
        <f>IFERROR(__xludf.DUMMYFUNCTION("GOOGLETRANSLATE(C184,""fr"",""en"")"),"AMV offers excellent services for bikers.
15 days after starting the motorcycle, a car returned to me, to a stop. Air-Bag bowed, grated jacket, rape motorcycle bag, motorcycle under his car. Without responsibility for the accident, AMV has taken care of "&amp;"everything (repatriation of the vehicle to the garage, partial or total reimbursement of the equipment, costs of my mechanic (I was able to choose)). The expert came for my motorcycle was able to chat with my mechanic, and had the health of my motorcycle "&amp;"(recent, 2 years old).
The questions that I remained concerning the recharge of my air-bag were answered very clearly by customer service, which indicated to me the process to follow. He also provided me as soon as he had received it, which I really enjo"&amp;"yed.
I was not really lucky when I started the motorcycle with an accident, but I am very happy to have done it with AMV. It was insurance that took me into account in this accident, and replied to my requests and expectations. Having chosen my garage "&amp;"is a more appreciable.
In short, good experience, good insurer. I have already recommended and I will continue to do it.")</f>
        <v>AMV offers excellent services for bikers.
15 days after starting the motorcycle, a car returned to me, to a stop. Air-Bag bowed, grated jacket, rape motorcycle bag, motorcycle under his car. Without responsibility for the accident, AMV has taken care of everything (repatriation of the vehicle to the garage, partial or total reimbursement of the equipment, costs of my mechanic (I was able to choose)). The expert came for my motorcycle was able to chat with my mechanic, and had the health of my motorcycle (recent, 2 years old).
The questions that I remained concerning the recharge of my air-bag were answered very clearly by customer service, which indicated to me the process to follow. He also provided me as soon as he had received it, which I really enjoyed.
I was not really lucky when I started the motorcycle with an accident, but I am very happy to have done it with AMV. It was insurance that took me into account in this accident, and replied to my requests and expectations. Having chosen my garage is a more appreciable.
In short, good experience, good insurer. I have already recommended and I will continue to do it.</v>
      </c>
    </row>
    <row r="185" ht="15.75" customHeight="1">
      <c r="A185" s="2">
        <v>1.0</v>
      </c>
      <c r="B185" s="2" t="s">
        <v>627</v>
      </c>
      <c r="C185" s="2" t="s">
        <v>628</v>
      </c>
      <c r="D185" s="2" t="s">
        <v>30</v>
      </c>
      <c r="E185" s="2" t="s">
        <v>14</v>
      </c>
      <c r="F185" s="2" t="s">
        <v>15</v>
      </c>
      <c r="G185" s="2" t="s">
        <v>629</v>
      </c>
      <c r="H185" s="2" t="s">
        <v>630</v>
      </c>
      <c r="I185" s="2" t="str">
        <f>IFERROR(__xludf.DUMMYFUNCTION("GOOGLETRANSLATE(C185,""fr"",""en"")"),"+10.5% increase in subscription for my car without any claim this year")</f>
        <v>+10.5% increase in subscription for my car without any claim this year</v>
      </c>
    </row>
    <row r="186" ht="15.75" customHeight="1">
      <c r="A186" s="2">
        <v>3.0</v>
      </c>
      <c r="B186" s="2" t="s">
        <v>631</v>
      </c>
      <c r="C186" s="2" t="s">
        <v>632</v>
      </c>
      <c r="D186" s="2" t="s">
        <v>30</v>
      </c>
      <c r="E186" s="2" t="s">
        <v>14</v>
      </c>
      <c r="F186" s="2" t="s">
        <v>15</v>
      </c>
      <c r="G186" s="2" t="s">
        <v>619</v>
      </c>
      <c r="H186" s="2" t="s">
        <v>47</v>
      </c>
      <c r="I186" s="2" t="str">
        <f>IFERROR(__xludf.DUMMYFUNCTION("GOOGLETRANSLATE(C186,""fr"",""en"")"),"satisfied so far.; it seems to me that the price has increased by pus of 20 euros compared to last year, but I do not intend to change for the moment")</f>
        <v>satisfied so far.; it seems to me that the price has increased by pus of 20 euros compared to last year, but I do not intend to change for the moment</v>
      </c>
    </row>
    <row r="187" ht="15.75" customHeight="1">
      <c r="A187" s="2">
        <v>3.0</v>
      </c>
      <c r="B187" s="2" t="s">
        <v>633</v>
      </c>
      <c r="C187" s="2" t="s">
        <v>634</v>
      </c>
      <c r="D187" s="2" t="s">
        <v>296</v>
      </c>
      <c r="E187" s="2" t="s">
        <v>14</v>
      </c>
      <c r="F187" s="2" t="s">
        <v>15</v>
      </c>
      <c r="G187" s="2" t="s">
        <v>58</v>
      </c>
      <c r="H187" s="2" t="s">
        <v>32</v>
      </c>
      <c r="I187" s="2" t="str">
        <f>IFERROR(__xludf.DUMMYFUNCTION("GOOGLETRANSLATE(C187,""fr"",""en"")"),"Hello,
I am satisfied with the follow -up produced by my agency.
I asked for a change of vehicle holder, and I was called very quickly.
thank you
Alain")</f>
        <v>Hello,
I am satisfied with the follow -up produced by my agency.
I asked for a change of vehicle holder, and I was called very quickly.
thank you
Alain</v>
      </c>
    </row>
    <row r="188" ht="15.75" customHeight="1">
      <c r="A188" s="2">
        <v>2.0</v>
      </c>
      <c r="B188" s="2" t="s">
        <v>635</v>
      </c>
      <c r="C188" s="2" t="s">
        <v>636</v>
      </c>
      <c r="D188" s="2" t="s">
        <v>134</v>
      </c>
      <c r="E188" s="2" t="s">
        <v>36</v>
      </c>
      <c r="F188" s="2" t="s">
        <v>15</v>
      </c>
      <c r="G188" s="2" t="s">
        <v>165</v>
      </c>
      <c r="H188" s="2" t="s">
        <v>52</v>
      </c>
      <c r="I188" s="2" t="str">
        <f>IFERROR(__xludf.DUMMYFUNCTION("GOOGLETRANSLATE(C188,""fr"",""en"")"),"Connection to the adherent space is an obstacle course. For example, it is amazing that the robust passwords suggested by data protection services on the computer system are not accepted because too long ... The names composed must write without dash, oth"&amp;"erwise the registration fails ... and this n ' is not indicated! Suffice to say that we spend a certain number of time wondering why the creation of the adherent space does not work.
Refunds are made with unreasonable time. Almost three weeks after tra"&amp;"nsmission of an invoice for dental aircraft, still nothing ... The dentist relaunches me (which is understandable) but without the reimbursement I cannot request the collection of my check. - Is it because it is an invoice with a remainder to pay 0 € in a"&amp;"ccordance with the new health law?
The telephone contact is quite delicate to obtain. I subscribed to Néoliane in early 2021, and in May 2021 I am already thinking of changing next year.")</f>
        <v>Connection to the adherent space is an obstacle course. For example, it is amazing that the robust passwords suggested by data protection services on the computer system are not accepted because too long ... The names composed must write without dash, otherwise the registration fails ... and this n ' is not indicated! Suffice to say that we spend a certain number of time wondering why the creation of the adherent space does not work.
Refunds are made with unreasonable time. Almost three weeks after transmission of an invoice for dental aircraft, still nothing ... The dentist relaunches me (which is understandable) but without the reimbursement I cannot request the collection of my check. - Is it because it is an invoice with a remainder to pay 0 € in accordance with the new health law?
The telephone contact is quite delicate to obtain. I subscribed to Néoliane in early 2021, and in May 2021 I am already thinking of changing next year.</v>
      </c>
    </row>
    <row r="189" ht="15.75" customHeight="1">
      <c r="A189" s="2">
        <v>2.0</v>
      </c>
      <c r="B189" s="2" t="s">
        <v>637</v>
      </c>
      <c r="C189" s="2" t="s">
        <v>638</v>
      </c>
      <c r="D189" s="2" t="s">
        <v>30</v>
      </c>
      <c r="E189" s="2" t="s">
        <v>14</v>
      </c>
      <c r="F189" s="2" t="s">
        <v>15</v>
      </c>
      <c r="G189" s="2" t="s">
        <v>639</v>
      </c>
      <c r="H189" s="2" t="s">
        <v>47</v>
      </c>
      <c r="I189" s="2" t="str">
        <f>IFERROR(__xludf.DUMMYFUNCTION("GOOGLETRANSLATE(C189,""fr"",""en"")"),"I think it's expensive I am not insured all risk but I pay case even 700 euro. It's a shame I hope the price your service otherwise I could not stay.")</f>
        <v>I think it's expensive I am not insured all risk but I pay case even 700 euro. It's a shame I hope the price your service otherwise I could not stay.</v>
      </c>
    </row>
    <row r="190" ht="15.75" customHeight="1">
      <c r="A190" s="2">
        <v>2.0</v>
      </c>
      <c r="B190" s="2" t="s">
        <v>640</v>
      </c>
      <c r="C190" s="2" t="s">
        <v>641</v>
      </c>
      <c r="D190" s="2" t="s">
        <v>642</v>
      </c>
      <c r="E190" s="2" t="s">
        <v>80</v>
      </c>
      <c r="F190" s="2" t="s">
        <v>15</v>
      </c>
      <c r="G190" s="2" t="s">
        <v>168</v>
      </c>
      <c r="H190" s="2" t="s">
        <v>52</v>
      </c>
      <c r="I190" s="2" t="str">
        <f>IFERROR(__xludf.DUMMYFUNCTION("GOOGLETRANSLATE(C190,""fr"",""en"")"),"Work stoppage on 03/23/2019, request a lot of documents and response on 05/26/2021: they pay 6 months because the general practitioner expert saw my percentage of disability contradicting a decision of the CPAM ??, So no problem I have all my time, I have"&amp;" good legal insurance and excellent lawyer to present them ??")</f>
        <v>Work stoppage on 03/23/2019, request a lot of documents and response on 05/26/2021: they pay 6 months because the general practitioner expert saw my percentage of disability contradicting a decision of the CPAM ??, So no problem I have all my time, I have good legal insurance and excellent lawyer to present them ??</v>
      </c>
    </row>
    <row r="191" ht="15.75" customHeight="1">
      <c r="A191" s="2">
        <v>4.0</v>
      </c>
      <c r="B191" s="2" t="s">
        <v>643</v>
      </c>
      <c r="C191" s="2" t="s">
        <v>644</v>
      </c>
      <c r="D191" s="2" t="s">
        <v>13</v>
      </c>
      <c r="E191" s="2" t="s">
        <v>14</v>
      </c>
      <c r="F191" s="2" t="s">
        <v>15</v>
      </c>
      <c r="G191" s="2" t="s">
        <v>645</v>
      </c>
      <c r="H191" s="2" t="s">
        <v>646</v>
      </c>
      <c r="I191" s="2" t="str">
        <f>IFERROR(__xludf.DUMMYFUNCTION("GOOGLETRANSLATE(C191,""fr"",""en"")"),"I have just had a 100% non -responsible claim, however, according to the literature on the web, the MAAF would tend to tidy up its insured very easily, even for non -responsible disaster. I drive very carefully, but I fear this ""cleaver"" at the slightes"&amp;"t problem (not responsible of course). I am wondering if I would not do better to go see elsewhere ...")</f>
        <v>I have just had a 100% non -responsible claim, however, according to the literature on the web, the MAAF would tend to tidy up its insured very easily, even for non -responsible disaster. I drive very carefully, but I fear this "cleaver" at the slightest problem (not responsible of course). I am wondering if I would not do better to go see elsewhere ...</v>
      </c>
    </row>
    <row r="192" ht="15.75" customHeight="1">
      <c r="A192" s="2">
        <v>1.0</v>
      </c>
      <c r="B192" s="2" t="s">
        <v>647</v>
      </c>
      <c r="C192" s="2" t="s">
        <v>648</v>
      </c>
      <c r="D192" s="2" t="s">
        <v>449</v>
      </c>
      <c r="E192" s="2" t="s">
        <v>36</v>
      </c>
      <c r="F192" s="2" t="s">
        <v>15</v>
      </c>
      <c r="G192" s="2" t="s">
        <v>649</v>
      </c>
      <c r="H192" s="2" t="s">
        <v>131</v>
      </c>
      <c r="I192" s="2" t="str">
        <f>IFERROR(__xludf.DUMMYFUNCTION("GOOGLETRANSLATE(C192,""fr"",""en"")"),"non -compliance with the contract € 182.75 of direct debit instead of € 102.50 (Evin law) Removal between service I am told that it will be rectified but another service tells me that this is normal no follow -up between the services error of error of err"&amp;"or of error of The former mutual insurance company who makes me pass for an unemployed person at the end of portability while I am retired")</f>
        <v>non -compliance with the contract € 182.75 of direct debit instead of € 102.50 (Evin law) Removal between service I am told that it will be rectified but another service tells me that this is normal no follow -up between the services error of error of error of error of The former mutual insurance company who makes me pass for an unemployed person at the end of portability while I am retired</v>
      </c>
    </row>
    <row r="193" ht="15.75" customHeight="1">
      <c r="A193" s="2">
        <v>5.0</v>
      </c>
      <c r="B193" s="2" t="s">
        <v>650</v>
      </c>
      <c r="C193" s="2" t="s">
        <v>651</v>
      </c>
      <c r="D193" s="2" t="s">
        <v>481</v>
      </c>
      <c r="E193" s="2" t="s">
        <v>111</v>
      </c>
      <c r="F193" s="2" t="s">
        <v>15</v>
      </c>
      <c r="G193" s="2" t="s">
        <v>652</v>
      </c>
      <c r="H193" s="2" t="s">
        <v>356</v>
      </c>
      <c r="I193" s="2" t="str">
        <f>IFERROR(__xludf.DUMMYFUNCTION("GOOGLETRANSLATE(C193,""fr"",""en"")"),"I am very satisfied and efficient
Quote realizes a few minutes
I HIGHLY RECOMMEND
Very atrractive price for the proposed guarantees
THANK YOU")</f>
        <v>I am very satisfied and efficient
Quote realizes a few minutes
I HIGHLY RECOMMEND
Very atrractive price for the proposed guarantees
THANK YOU</v>
      </c>
    </row>
    <row r="194" ht="15.75" customHeight="1">
      <c r="A194" s="2">
        <v>4.0</v>
      </c>
      <c r="B194" s="2" t="s">
        <v>653</v>
      </c>
      <c r="C194" s="2" t="s">
        <v>654</v>
      </c>
      <c r="D194" s="2" t="s">
        <v>481</v>
      </c>
      <c r="E194" s="2" t="s">
        <v>111</v>
      </c>
      <c r="F194" s="2" t="s">
        <v>15</v>
      </c>
      <c r="G194" s="2" t="s">
        <v>655</v>
      </c>
      <c r="H194" s="2" t="s">
        <v>159</v>
      </c>
      <c r="I194" s="2" t="str">
        <f>IFERROR(__xludf.DUMMYFUNCTION("GOOGLETRANSLATE(C194,""fr"",""en"")"),"I am a new member so I'm waiting to see April's services before issuing an opinion. I hope to be able to count on a quality support. The prices are very correct and satisfy me.")</f>
        <v>I am a new member so I'm waiting to see April's services before issuing an opinion. I hope to be able to count on a quality support. The prices are very correct and satisfy me.</v>
      </c>
    </row>
    <row r="195" ht="15.75" customHeight="1">
      <c r="A195" s="2">
        <v>5.0</v>
      </c>
      <c r="B195" s="2" t="s">
        <v>656</v>
      </c>
      <c r="C195" s="2" t="s">
        <v>657</v>
      </c>
      <c r="D195" s="2" t="s">
        <v>50</v>
      </c>
      <c r="E195" s="2" t="s">
        <v>14</v>
      </c>
      <c r="F195" s="2" t="s">
        <v>15</v>
      </c>
      <c r="G195" s="2" t="s">
        <v>658</v>
      </c>
      <c r="H195" s="2" t="s">
        <v>38</v>
      </c>
      <c r="I195" s="2" t="str">
        <f>IFERROR(__xludf.DUMMYFUNCTION("GOOGLETRANSLATE(C195,""fr"",""en"")"),"Efficient, packaging and listening customer service. The price is attractive with a very satisfactory level of guarantee: 40% cheaper than my previous insurance with the same level of coverage.")</f>
        <v>Efficient, packaging and listening customer service. The price is attractive with a very satisfactory level of guarantee: 40% cheaper than my previous insurance with the same level of coverage.</v>
      </c>
    </row>
    <row r="196" ht="15.75" customHeight="1">
      <c r="A196" s="2">
        <v>1.0</v>
      </c>
      <c r="B196" s="2" t="s">
        <v>659</v>
      </c>
      <c r="C196" s="2" t="s">
        <v>660</v>
      </c>
      <c r="D196" s="2" t="s">
        <v>329</v>
      </c>
      <c r="E196" s="2" t="s">
        <v>68</v>
      </c>
      <c r="F196" s="2" t="s">
        <v>15</v>
      </c>
      <c r="G196" s="2" t="s">
        <v>661</v>
      </c>
      <c r="H196" s="2" t="s">
        <v>221</v>
      </c>
      <c r="I196" s="2" t="str">
        <f>IFERROR(__xludf.DUMMYFUNCTION("GOOGLETRANSLATE(C196,""fr"",""en"")"),"To flee, we have been insured at the Macif for 38 years and completely disgusted with their behavior, following a burglary, they allowed themselves to suspend the reimbursement of the costs incurred for the repair of the doors, on the pretext that we had "&amp;"forgotten to report to them that we had transformed an old workshop into an office.
In addition to having undergone the stress of a burglary, houseless house, stolen jewelry, 2 fractured doors, 3 weeks before signing the sale of our house, we had to puni"&amp;"sh us, feel guilty, in fact we n 'was more the victims, but the culprits and to add that the jewelry is not sufficiently justified with regard to the obligations of the contract and do not allow compensation. While the expert has never contacted us to ask"&amp;" us for additional justifications. We had just provided the file given to the photo police and estimate of the damage.
We protested and obtained compensation for the costs incurred, but they never informed us about the documents that we would have had to"&amp;" provide for the compensation of stolen jewelry or on the paragraph which indicates it in the contract
A dozen years ago after a cut finger they refused the slightest compensation claiming that the disability rate was too low, more recently they refused "&amp;"compensation concerning a garden shed overthrocated by a mini gusts on the pretext that fixing was insufficient
")</f>
        <v>To flee, we have been insured at the Macif for 38 years and completely disgusted with their behavior, following a burglary, they allowed themselves to suspend the reimbursement of the costs incurred for the repair of the doors, on the pretext that we had forgotten to report to them that we had transformed an old workshop into an office.
In addition to having undergone the stress of a burglary, houseless house, stolen jewelry, 2 fractured doors, 3 weeks before signing the sale of our house, we had to punish us, feel guilty, in fact we n 'was more the victims, but the culprits and to add that the jewelry is not sufficiently justified with regard to the obligations of the contract and do not allow compensation. While the expert has never contacted us to ask us for additional justifications. We had just provided the file given to the photo police and estimate of the damage.
We protested and obtained compensation for the costs incurred, but they never informed us about the documents that we would have had to provide for the compensation of stolen jewelry or on the paragraph which indicates it in the contract
A dozen years ago after a cut finger they refused the slightest compensation claiming that the disability rate was too low, more recently they refused compensation concerning a garden shed overthrocated by a mini gusts on the pretext that fixing was insufficient
</v>
      </c>
    </row>
    <row r="197" ht="15.75" customHeight="1">
      <c r="A197" s="2">
        <v>4.0</v>
      </c>
      <c r="B197" s="2" t="s">
        <v>662</v>
      </c>
      <c r="C197" s="2" t="s">
        <v>663</v>
      </c>
      <c r="D197" s="2" t="s">
        <v>30</v>
      </c>
      <c r="E197" s="2" t="s">
        <v>14</v>
      </c>
      <c r="F197" s="2" t="s">
        <v>15</v>
      </c>
      <c r="G197" s="2" t="s">
        <v>73</v>
      </c>
      <c r="H197" s="2" t="s">
        <v>52</v>
      </c>
      <c r="I197" s="2" t="str">
        <f>IFERROR(__xludf.DUMMYFUNCTION("GOOGLETRANSLATE(C197,""fr"",""en"")"),"I moved to live in France and it was the first time I had dealt with automotive insurance. I am satisfied with the service and the prices are very competitive")</f>
        <v>I moved to live in France and it was the first time I had dealt with automotive insurance. I am satisfied with the service and the prices are very competitive</v>
      </c>
    </row>
    <row r="198" ht="15.75" customHeight="1">
      <c r="A198" s="2">
        <v>3.0</v>
      </c>
      <c r="B198" s="2" t="s">
        <v>664</v>
      </c>
      <c r="C198" s="2" t="s">
        <v>665</v>
      </c>
      <c r="D198" s="2" t="s">
        <v>13</v>
      </c>
      <c r="E198" s="2" t="s">
        <v>14</v>
      </c>
      <c r="F198" s="2" t="s">
        <v>15</v>
      </c>
      <c r="G198" s="2" t="s">
        <v>666</v>
      </c>
      <c r="H198" s="2" t="s">
        <v>667</v>
      </c>
      <c r="I198" s="2" t="str">
        <f>IFERROR(__xludf.DUMMYFUNCTION("GOOGLETRANSLATE(C198,""fr"",""en"")"),"Always attentive, customer service at the top, customer advisor in a very competent agency. I almost left elsewhere they have on being stayed!
I had 2 claims and I did not have to worry they all took charge.
Every year my car insurance did not increase "&amp;"faithful to their advertising, and on the house they aligned themselves on their competitors to make me stay!")</f>
        <v>Always attentive, customer service at the top, customer advisor in a very competent agency. I almost left elsewhere they have on being stayed!
I had 2 claims and I did not have to worry they all took charge.
Every year my car insurance did not increase faithful to their advertising, and on the house they aligned themselves on their competitors to make me stay!</v>
      </c>
    </row>
    <row r="199" ht="15.75" customHeight="1">
      <c r="A199" s="2">
        <v>1.0</v>
      </c>
      <c r="B199" s="2" t="s">
        <v>668</v>
      </c>
      <c r="C199" s="2" t="s">
        <v>669</v>
      </c>
      <c r="D199" s="2" t="s">
        <v>436</v>
      </c>
      <c r="E199" s="2" t="s">
        <v>36</v>
      </c>
      <c r="F199" s="2" t="s">
        <v>15</v>
      </c>
      <c r="G199" s="2" t="s">
        <v>348</v>
      </c>
      <c r="H199" s="2" t="s">
        <v>47</v>
      </c>
      <c r="I199" s="2" t="str">
        <f>IFERROR(__xludf.DUMMYFUNCTION("GOOGLETRANSLATE(C199,""fr"",""en"")"),"I was gone because too expensive and I too was asked for the famous hospital protection after my termination. Unfortunately the company for which I worked then had changed honey for harmony and the new ordeal begins for me on 06/30/20. File portability. H"&amp;"armonie dares to say that my employer did not do the necessary when in fact at home someone created a phony file. And no one then warned me that must be an update that I was a job seeker to maintain portability. Rights suspended! Nobody warns you !!! Ther"&amp;"e is cash to advertise TV but not to warn its customers that there is a problem! When we call we stand for hours to come across some time new and touuuut to re -explain it is unbearable. I am exceeded and furious! They dare to ask me for the invoices paid"&amp;" in the health pros that I have consulted. But what is the use of my damn vital card in this case? Even Ameli surveys are not enough for them! In truth I think they are dining so that we end up letting go and it's out of the question. These are exorbitant"&amp;" amounts and we are not CRESUS !!! I'm 4 months of fighting in an Olympian calm and the PB is always in progress! Never subscribe to them! Even the professionals I had to contact to say the same thing and find that it is a shame !!! It will end with the l"&amp;"awyer I tell you. Fleezzz")</f>
        <v>I was gone because too expensive and I too was asked for the famous hospital protection after my termination. Unfortunately the company for which I worked then had changed honey for harmony and the new ordeal begins for me on 06/30/20. File portability. Harmonie dares to say that my employer did not do the necessary when in fact at home someone created a phony file. And no one then warned me that must be an update that I was a job seeker to maintain portability. Rights suspended! Nobody warns you !!! There is cash to advertise TV but not to warn its customers that there is a problem! When we call we stand for hours to come across some time new and touuuut to re -explain it is unbearable. I am exceeded and furious! They dare to ask me for the invoices paid in the health pros that I have consulted. But what is the use of my damn vital card in this case? Even Ameli surveys are not enough for them! In truth I think they are dining so that we end up letting go and it's out of the question. These are exorbitant amounts and we are not CRESUS !!! I'm 4 months of fighting in an Olympian calm and the PB is always in progress! Never subscribe to them! Even the professionals I had to contact to say the same thing and find that it is a shame !!! It will end with the lawyer I tell you. Fleezzz</v>
      </c>
    </row>
    <row r="200" ht="15.75" customHeight="1">
      <c r="A200" s="2">
        <v>2.0</v>
      </c>
      <c r="B200" s="2" t="s">
        <v>670</v>
      </c>
      <c r="C200" s="2" t="s">
        <v>671</v>
      </c>
      <c r="D200" s="2" t="s">
        <v>672</v>
      </c>
      <c r="E200" s="2" t="s">
        <v>90</v>
      </c>
      <c r="F200" s="2" t="s">
        <v>15</v>
      </c>
      <c r="G200" s="2" t="s">
        <v>673</v>
      </c>
      <c r="H200" s="2" t="s">
        <v>107</v>
      </c>
      <c r="I200" s="2" t="str">
        <f>IFERROR(__xludf.DUMMYFUNCTION("GOOGLETRANSLATE(C200,""fr"",""en"")"),"TOO LONG ! The answers to the questions are very slow, see nonexistent. I asked a question to my advisor 4 weeks ago, then on the website: still no answers. Lack of flagrant responsiveness.")</f>
        <v>TOO LONG ! The answers to the questions are very slow, see nonexistent. I asked a question to my advisor 4 weeks ago, then on the website: still no answers. Lack of flagrant responsiveness.</v>
      </c>
    </row>
    <row r="201" ht="15.75" customHeight="1">
      <c r="A201" s="2">
        <v>4.0</v>
      </c>
      <c r="B201" s="2" t="s">
        <v>674</v>
      </c>
      <c r="C201" s="2" t="s">
        <v>675</v>
      </c>
      <c r="D201" s="2" t="s">
        <v>145</v>
      </c>
      <c r="E201" s="2" t="s">
        <v>111</v>
      </c>
      <c r="F201" s="2" t="s">
        <v>15</v>
      </c>
      <c r="G201" s="2" t="s">
        <v>676</v>
      </c>
      <c r="H201" s="2" t="s">
        <v>192</v>
      </c>
      <c r="I201" s="2" t="str">
        <f>IFERROR(__xludf.DUMMYFUNCTION("GOOGLETRANSLATE(C201,""fr"",""en"")"),"No complaints. Ensure for a BMW R100 in collection, the price is really competitive. Their responsiveness is very good for requests ... Aps, I have never tested in the event of an accident because no claim")</f>
        <v>No complaints. Ensure for a BMW R100 in collection, the price is really competitive. Their responsiveness is very good for requests ... Aps, I have never tested in the event of an accident because no claim</v>
      </c>
    </row>
    <row r="202" ht="15.75" customHeight="1">
      <c r="A202" s="2">
        <v>1.0</v>
      </c>
      <c r="B202" s="2" t="s">
        <v>677</v>
      </c>
      <c r="C202" s="2" t="s">
        <v>678</v>
      </c>
      <c r="D202" s="2" t="s">
        <v>292</v>
      </c>
      <c r="E202" s="2" t="s">
        <v>14</v>
      </c>
      <c r="F202" s="2" t="s">
        <v>15</v>
      </c>
      <c r="G202" s="2" t="s">
        <v>679</v>
      </c>
      <c r="H202" s="2" t="s">
        <v>22</v>
      </c>
      <c r="I202" s="2" t="str">
        <f>IFERROR(__xludf.DUMMYFUNCTION("GOOGLETRANSLATE(C202,""fr"",""en"")"),"Ensure at home for 5 years I paid 46 euros per month so not all risk. Jamous declared a claim to this famous March 2020 my car parked downstairs from my home a person returned to him I was not inside so 0% of Responsibility and from my car wrecking, there"&amp;"fore dead, the expert judges it at 2000 euros but I have to wait for a procedure he can do nothing for me. I find myself without a vehicle I am clearly told that we can do nothing for me. I have even told me that I would have been happy if my vehicle woul"&amp;"d have been burning it would have reimbursed me because it is part of my formula. .. See you too much for me I will call on my lawyer who I hope will settle this concern that has lasted since March 2020")</f>
        <v>Ensure at home for 5 years I paid 46 euros per month so not all risk. Jamous declared a claim to this famous March 2020 my car parked downstairs from my home a person returned to him I was not inside so 0% of Responsibility and from my car wrecking, therefore dead, the expert judges it at 2000 euros but I have to wait for a procedure he can do nothing for me. I find myself without a vehicle I am clearly told that we can do nothing for me. I have even told me that I would have been happy if my vehicle would have been burning it would have reimbursed me because it is part of my formula. .. See you too much for me I will call on my lawyer who I hope will settle this concern that has lasted since March 2020</v>
      </c>
    </row>
    <row r="203" ht="15.75" customHeight="1">
      <c r="A203" s="2">
        <v>5.0</v>
      </c>
      <c r="B203" s="2" t="s">
        <v>680</v>
      </c>
      <c r="C203" s="2" t="s">
        <v>681</v>
      </c>
      <c r="D203" s="2" t="s">
        <v>481</v>
      </c>
      <c r="E203" s="2" t="s">
        <v>111</v>
      </c>
      <c r="F203" s="2" t="s">
        <v>15</v>
      </c>
      <c r="G203" s="2" t="s">
        <v>682</v>
      </c>
      <c r="H203" s="2" t="s">
        <v>64</v>
      </c>
      <c r="I203" s="2" t="str">
        <f>IFERROR(__xludf.DUMMYFUNCTION("GOOGLETRANSLATE(C203,""fr"",""en"")"),"Simple, and fast subscription.
The prices are very competitive! Difficult, see impossible to do as well as this insurance.
I recommend April-Moto without any problem!")</f>
        <v>Simple, and fast subscription.
The prices are very competitive! Difficult, see impossible to do as well as this insurance.
I recommend April-Moto without any problem!</v>
      </c>
    </row>
    <row r="204" ht="15.75" customHeight="1">
      <c r="A204" s="2">
        <v>3.0</v>
      </c>
      <c r="B204" s="2" t="s">
        <v>683</v>
      </c>
      <c r="C204" s="2" t="s">
        <v>684</v>
      </c>
      <c r="D204" s="2" t="s">
        <v>50</v>
      </c>
      <c r="E204" s="2" t="s">
        <v>14</v>
      </c>
      <c r="F204" s="2" t="s">
        <v>15</v>
      </c>
      <c r="G204" s="2" t="s">
        <v>135</v>
      </c>
      <c r="H204" s="2" t="s">
        <v>38</v>
      </c>
      <c r="I204" s="2" t="str">
        <f>IFERROR(__xludf.DUMMYFUNCTION("GOOGLETRANSLATE(C204,""fr"",""en"")"),"Effective telephone Home fast, now to see if their word clear explanation only small defect does not take care of the CB")</f>
        <v>Effective telephone Home fast, now to see if their word clear explanation only small defect does not take care of the CB</v>
      </c>
    </row>
    <row r="205" ht="15.75" customHeight="1">
      <c r="A205" s="2">
        <v>2.0</v>
      </c>
      <c r="B205" s="2" t="s">
        <v>685</v>
      </c>
      <c r="C205" s="2" t="s">
        <v>686</v>
      </c>
      <c r="D205" s="2" t="s">
        <v>20</v>
      </c>
      <c r="E205" s="2" t="s">
        <v>14</v>
      </c>
      <c r="F205" s="2" t="s">
        <v>15</v>
      </c>
      <c r="G205" s="2" t="s">
        <v>687</v>
      </c>
      <c r="H205" s="2" t="s">
        <v>687</v>
      </c>
      <c r="I205" s="2" t="str">
        <f>IFERROR(__xludf.DUMMYFUNCTION("GOOGLETRANSLATE(C205,""fr"",""en"")"),"Overall no problems to subscribe, not having a claim, I cannot really judge their guarantees, but what I can say is that everything changes when you want to terminate. Deplorable customer service, who calls you every 15 days to sell you a ""new product"","&amp;" which barely speaks French, who understands absolutely nothing we want. Close limits-limits (obligation to terminate 60 days before the annual date 'while most insurance is 30), not taking into account the recommended mail and incredible bad faith, espec"&amp;"ially on the Hamon law! To flee urgently")</f>
        <v>Overall no problems to subscribe, not having a claim, I cannot really judge their guarantees, but what I can say is that everything changes when you want to terminate. Deplorable customer service, who calls you every 15 days to sell you a "new product", which barely speaks French, who understands absolutely nothing we want. Close limits-limits (obligation to terminate 60 days before the annual date 'while most insurance is 30), not taking into account the recommended mail and incredible bad faith, especially on the Hamon law! To flee urgently</v>
      </c>
    </row>
    <row r="206" ht="15.75" customHeight="1">
      <c r="A206" s="2">
        <v>4.0</v>
      </c>
      <c r="B206" s="2" t="s">
        <v>688</v>
      </c>
      <c r="C206" s="2" t="s">
        <v>689</v>
      </c>
      <c r="D206" s="2" t="s">
        <v>30</v>
      </c>
      <c r="E206" s="2" t="s">
        <v>14</v>
      </c>
      <c r="F206" s="2" t="s">
        <v>15</v>
      </c>
      <c r="G206" s="2" t="s">
        <v>690</v>
      </c>
      <c r="H206" s="2" t="s">
        <v>64</v>
      </c>
      <c r="I206" s="2" t="str">
        <f>IFERROR(__xludf.DUMMYFUNCTION("GOOGLETRANSLATE(C206,""fr"",""en"")"),"Satisfactory price.
Too bad the payment for a change of insurance takes place long before the insurance takes effect, because duplicate in the payment of current insurance + next insurance.")</f>
        <v>Satisfactory price.
Too bad the payment for a change of insurance takes place long before the insurance takes effect, because duplicate in the payment of current insurance + next insurance.</v>
      </c>
    </row>
    <row r="207" ht="15.75" customHeight="1">
      <c r="A207" s="2">
        <v>2.0</v>
      </c>
      <c r="B207" s="2" t="s">
        <v>691</v>
      </c>
      <c r="C207" s="2" t="s">
        <v>692</v>
      </c>
      <c r="D207" s="2" t="s">
        <v>693</v>
      </c>
      <c r="E207" s="2" t="s">
        <v>100</v>
      </c>
      <c r="F207" s="2" t="s">
        <v>15</v>
      </c>
      <c r="G207" s="2" t="s">
        <v>694</v>
      </c>
      <c r="H207" s="2" t="s">
        <v>155</v>
      </c>
      <c r="I207" s="2" t="str">
        <f>IFERROR(__xludf.DUMMYFUNCTION("GOOGLETRANSLATE(C207,""fr"",""en"")"),"To be reimbursed the monthly payment must be raised the opinion on insurance opinion is not very good in favor of ECA insurance ... The date of direct debit has never been respected as far as I am concerned .. I will therefore stop ..")</f>
        <v>To be reimbursed the monthly payment must be raised the opinion on insurance opinion is not very good in favor of ECA insurance ... The date of direct debit has never been respected as far as I am concerned .. I will therefore stop ..</v>
      </c>
    </row>
    <row r="208" ht="15.75" customHeight="1">
      <c r="A208" s="2">
        <v>5.0</v>
      </c>
      <c r="B208" s="2" t="s">
        <v>695</v>
      </c>
      <c r="C208" s="2" t="s">
        <v>696</v>
      </c>
      <c r="D208" s="2" t="s">
        <v>571</v>
      </c>
      <c r="E208" s="2" t="s">
        <v>80</v>
      </c>
      <c r="F208" s="2" t="s">
        <v>15</v>
      </c>
      <c r="G208" s="2" t="s">
        <v>697</v>
      </c>
      <c r="H208" s="2" t="s">
        <v>47</v>
      </c>
      <c r="I208" s="2" t="str">
        <f>IFERROR(__xludf.DUMMYFUNCTION("GOOGLETRANSLATE(C208,""fr"",""en"")"),"I am satisfied with this insurance, very competent and fast. 5 stars without hesitation. I will advise you to those around me if everything is going well, of course. Thanks very much")</f>
        <v>I am satisfied with this insurance, very competent and fast. 5 stars without hesitation. I will advise you to those around me if everything is going well, of course. Thanks very much</v>
      </c>
    </row>
    <row r="209" ht="15.75" customHeight="1">
      <c r="A209" s="2">
        <v>4.0</v>
      </c>
      <c r="B209" s="2" t="s">
        <v>698</v>
      </c>
      <c r="C209" s="2" t="s">
        <v>699</v>
      </c>
      <c r="D209" s="2" t="s">
        <v>30</v>
      </c>
      <c r="E209" s="2" t="s">
        <v>14</v>
      </c>
      <c r="F209" s="2" t="s">
        <v>15</v>
      </c>
      <c r="G209" s="2" t="s">
        <v>700</v>
      </c>
      <c r="H209" s="2" t="s">
        <v>38</v>
      </c>
      <c r="I209" s="2" t="str">
        <f>IFERROR(__xludf.DUMMYFUNCTION("GOOGLETRANSLATE(C209,""fr"",""en"")"),"Subscription of a new online car contract, it was easy and rather fast provided you have the responses for the questionnaire on hand. The guarantees seem to correspond to my driver profile?
It remains to be seen whether the compensation will be as fast a"&amp;"nd easy in the event of a claim.")</f>
        <v>Subscription of a new online car contract, it was easy and rather fast provided you have the responses for the questionnaire on hand. The guarantees seem to correspond to my driver profile?
It remains to be seen whether the compensation will be as fast and easy in the event of a claim.</v>
      </c>
    </row>
    <row r="210" ht="15.75" customHeight="1">
      <c r="A210" s="2">
        <v>1.0</v>
      </c>
      <c r="B210" s="2" t="s">
        <v>701</v>
      </c>
      <c r="C210" s="2" t="s">
        <v>702</v>
      </c>
      <c r="D210" s="2" t="s">
        <v>141</v>
      </c>
      <c r="E210" s="2" t="s">
        <v>68</v>
      </c>
      <c r="F210" s="2" t="s">
        <v>15</v>
      </c>
      <c r="G210" s="2" t="s">
        <v>703</v>
      </c>
      <c r="H210" s="2" t="s">
        <v>387</v>
      </c>
      <c r="I210" s="2" t="str">
        <f>IFERROR(__xludf.DUMMYFUNCTION("GOOGLETRANSLATE(C210,""fr"",""en"")"),"MAIF is no longer what it was ... Malt management of the damage damage to water, the manager is unreachable, these colleagues no longer know what invented in her place, I have paid more than 18OO E per year for more than 25 years and when you have the mis"&amp;"fortune to have a damage of the waters by a third party we find the slightest pretext for not compensating you. Slow, no responsiveness, we spend a time to relaunch for the price of contributions this n ' is not up to it ... The guarantees offered are not"&amp;" respected. The experts assess you at a discount and deceive you during their expertise, believe me I paid the price ... Be vigilant")</f>
        <v>MAIF is no longer what it was ... Malt management of the damage damage to water, the manager is unreachable, these colleagues no longer know what invented in her place, I have paid more than 18OO E per year for more than 25 years and when you have the misfortune to have a damage of the waters by a third party we find the slightest pretext for not compensating you. Slow, no responsiveness, we spend a time to relaunch for the price of contributions this n ' is not up to it ... The guarantees offered are not respected. The experts assess you at a discount and deceive you during their expertise, believe me I paid the price ... Be vigilant</v>
      </c>
    </row>
    <row r="211" ht="15.75" customHeight="1">
      <c r="A211" s="2">
        <v>2.0</v>
      </c>
      <c r="B211" s="2" t="s">
        <v>704</v>
      </c>
      <c r="C211" s="2" t="s">
        <v>705</v>
      </c>
      <c r="D211" s="2" t="s">
        <v>50</v>
      </c>
      <c r="E211" s="2" t="s">
        <v>14</v>
      </c>
      <c r="F211" s="2" t="s">
        <v>15</v>
      </c>
      <c r="G211" s="2" t="s">
        <v>706</v>
      </c>
      <c r="H211" s="2" t="s">
        <v>397</v>
      </c>
      <c r="I211" s="2" t="str">
        <f>IFERROR(__xludf.DUMMYFUNCTION("GOOGLETRANSLATE(C211,""fr"",""en"")"),"No reproach except one !!
I terminated for competition, and I was debited, 497.70, unemployed and without income, sincerely I find it zero from you, when I had received a confirmation email for my termination.")</f>
        <v>No reproach except one !!
I terminated for competition, and I was debited, 497.70, unemployed and without income, sincerely I find it zero from you, when I had received a confirmation email for my termination.</v>
      </c>
    </row>
    <row r="212" ht="15.75" customHeight="1">
      <c r="A212" s="2">
        <v>1.0</v>
      </c>
      <c r="B212" s="2" t="s">
        <v>707</v>
      </c>
      <c r="C212" s="2" t="s">
        <v>708</v>
      </c>
      <c r="D212" s="2" t="s">
        <v>709</v>
      </c>
      <c r="E212" s="2" t="s">
        <v>90</v>
      </c>
      <c r="F212" s="2" t="s">
        <v>15</v>
      </c>
      <c r="G212" s="2" t="s">
        <v>363</v>
      </c>
      <c r="H212" s="2" t="s">
        <v>52</v>
      </c>
      <c r="I212" s="2" t="str">
        <f>IFERROR(__xludf.DUMMYFUNCTION("GOOGLETRANSLATE(C212,""fr"",""en"")"),"More than mediocre skills in monitoring wages maintenance, a telephone platform that responds next to calls for two months six different people on the phone six different explanations for the same question
Non -compliance with the five -day working perio"&amp;"d on the processing of a part provided on its online file
")</f>
        <v>More than mediocre skills in monitoring wages maintenance, a telephone platform that responds next to calls for two months six different people on the phone six different explanations for the same question
Non -compliance with the five -day working period on the processing of a part provided on its online file
</v>
      </c>
    </row>
    <row r="213" ht="15.75" customHeight="1">
      <c r="A213" s="2">
        <v>1.0</v>
      </c>
      <c r="B213" s="2" t="s">
        <v>710</v>
      </c>
      <c r="C213" s="2" t="s">
        <v>711</v>
      </c>
      <c r="D213" s="2" t="s">
        <v>35</v>
      </c>
      <c r="E213" s="2" t="s">
        <v>36</v>
      </c>
      <c r="F213" s="2" t="s">
        <v>15</v>
      </c>
      <c r="G213" s="2" t="s">
        <v>712</v>
      </c>
      <c r="H213" s="2" t="s">
        <v>397</v>
      </c>
      <c r="I213" s="2" t="str">
        <f>IFERROR(__xludf.DUMMYFUNCTION("GOOGLETRANSLATE(C213,""fr"",""en"")"),"I have repeatedly called upon their services, unanswered ,; A 1st email in the reclamation service, I am told that the email has never arrived. The 2nd email sent almost 15 days ago and still no news. These people are borderline with their commitments, th"&amp;"ey should be more vigilant.")</f>
        <v>I have repeatedly called upon their services, unanswered ,; A 1st email in the reclamation service, I am told that the email has never arrived. The 2nd email sent almost 15 days ago and still no news. These people are borderline with their commitments, they should be more vigilant.</v>
      </c>
    </row>
    <row r="214" ht="15.75" customHeight="1">
      <c r="A214" s="2">
        <v>1.0</v>
      </c>
      <c r="B214" s="2" t="s">
        <v>713</v>
      </c>
      <c r="C214" s="2" t="s">
        <v>714</v>
      </c>
      <c r="D214" s="2" t="s">
        <v>134</v>
      </c>
      <c r="E214" s="2" t="s">
        <v>36</v>
      </c>
      <c r="F214" s="2" t="s">
        <v>15</v>
      </c>
      <c r="G214" s="2" t="s">
        <v>715</v>
      </c>
      <c r="H214" s="2" t="s">
        <v>131</v>
      </c>
      <c r="I214" s="2" t="str">
        <f>IFERROR(__xludf.DUMMYFUNCTION("GOOGLETRANSLATE(C214,""fr"",""en"")"),"I am harassed by this company twice a week! I did not know it but make myself believe that I have subscribed a contract which is false of course. She talks to me about sample and when I answer her she hangs up on me !!!")</f>
        <v>I am harassed by this company twice a week! I did not know it but make myself believe that I have subscribed a contract which is false of course. She talks to me about sample and when I answer her she hangs up on me !!!</v>
      </c>
    </row>
    <row r="215" ht="15.75" customHeight="1">
      <c r="A215" s="2">
        <v>4.0</v>
      </c>
      <c r="B215" s="2" t="s">
        <v>716</v>
      </c>
      <c r="C215" s="2" t="s">
        <v>717</v>
      </c>
      <c r="D215" s="2" t="s">
        <v>718</v>
      </c>
      <c r="E215" s="2" t="s">
        <v>36</v>
      </c>
      <c r="F215" s="2" t="s">
        <v>15</v>
      </c>
      <c r="G215" s="2" t="s">
        <v>719</v>
      </c>
      <c r="H215" s="2" t="s">
        <v>192</v>
      </c>
      <c r="I215" s="2" t="str">
        <f>IFERROR(__xludf.DUMMYFUNCTION("GOOGLETRANSLATE(C215,""fr"",""en"")"),"April Health Mix is ​​the tailor -made health solution! And thank you for the 1st month offer. Health insurance according to our priorities and our needs.")</f>
        <v>April Health Mix is ​​the tailor -made health solution! And thank you for the 1st month offer. Health insurance according to our priorities and our needs.</v>
      </c>
    </row>
    <row r="216" ht="15.75" customHeight="1">
      <c r="A216" s="2">
        <v>1.0</v>
      </c>
      <c r="B216" s="2" t="s">
        <v>720</v>
      </c>
      <c r="C216" s="2" t="s">
        <v>721</v>
      </c>
      <c r="D216" s="2" t="s">
        <v>50</v>
      </c>
      <c r="E216" s="2" t="s">
        <v>14</v>
      </c>
      <c r="F216" s="2" t="s">
        <v>15</v>
      </c>
      <c r="G216" s="2" t="s">
        <v>722</v>
      </c>
      <c r="H216" s="2" t="s">
        <v>47</v>
      </c>
      <c r="I216" s="2" t="str">
        <f>IFERROR(__xludf.DUMMYFUNCTION("GOOGLETRANSLATE(C216,""fr"",""en"")"),"I came to the terms of my contract I went to Groupama after several termination in acknowledgment of receipt !!! Despite me the upstream law !!!! They still do not want to terminate me I do not recommend this insurance and I will attack them in court")</f>
        <v>I came to the terms of my contract I went to Groupama after several termination in acknowledgment of receipt !!! Despite me the upstream law !!!! They still do not want to terminate me I do not recommend this insurance and I will attack them in court</v>
      </c>
    </row>
    <row r="217" ht="15.75" customHeight="1">
      <c r="A217" s="2">
        <v>2.0</v>
      </c>
      <c r="B217" s="2" t="s">
        <v>723</v>
      </c>
      <c r="C217" s="2" t="s">
        <v>724</v>
      </c>
      <c r="D217" s="2" t="s">
        <v>25</v>
      </c>
      <c r="E217" s="2" t="s">
        <v>111</v>
      </c>
      <c r="F217" s="2" t="s">
        <v>15</v>
      </c>
      <c r="G217" s="2" t="s">
        <v>725</v>
      </c>
      <c r="H217" s="2" t="s">
        <v>113</v>
      </c>
      <c r="I217" s="2" t="str">
        <f>IFERROR(__xludf.DUMMYFUNCTION("GOOGLETRANSLATE(C217,""fr"",""en"")"),"Insured Axa, accidents on a motorcycle in December 2012, seriously injured and hospitalized 120 days, 0% liability.
My opponent, also assured axa sentenced to criminal ...
This day, 60 months later, AXA has still not made me a compensation offer when th"&amp;"ey should have done it no later than 8 months after the accident (art l 211-9 of the insurance code) . This is what Axa calls ""being always there to protect you"" ... Are they waiting for prescription? Let them not dream too much, it is 10 years, and I w"&amp;"ill assign them at the end of the 8th year. It will cost them a maximum of morator interests .....
")</f>
        <v>Insured Axa, accidents on a motorcycle in December 2012, seriously injured and hospitalized 120 days, 0% liability.
My opponent, also assured axa sentenced to criminal ...
This day, 60 months later, AXA has still not made me a compensation offer when they should have done it no later than 8 months after the accident (art l 211-9 of the insurance code) . This is what Axa calls "being always there to protect you" ... Are they waiting for prescription? Let them not dream too much, it is 10 years, and I will assign them at the end of the 8th year. It will cost them a maximum of morator interests .....
</v>
      </c>
    </row>
    <row r="218" ht="15.75" customHeight="1">
      <c r="A218" s="2">
        <v>4.0</v>
      </c>
      <c r="B218" s="2" t="s">
        <v>726</v>
      </c>
      <c r="C218" s="2" t="s">
        <v>727</v>
      </c>
      <c r="D218" s="2" t="s">
        <v>30</v>
      </c>
      <c r="E218" s="2" t="s">
        <v>14</v>
      </c>
      <c r="F218" s="2" t="s">
        <v>15</v>
      </c>
      <c r="G218" s="2" t="s">
        <v>315</v>
      </c>
      <c r="H218" s="2" t="s">
        <v>64</v>
      </c>
      <c r="I218" s="2" t="str">
        <f>IFERROR(__xludf.DUMMYFUNCTION("GOOGLETRANSLATE(C218,""fr"",""en"")"),"I am satisfied to come back to Direct Insurance. People on the phone are very kind. The price suits me even if a little more expensive than a competition.
")</f>
        <v>I am satisfied to come back to Direct Insurance. People on the phone are very kind. The price suits me even if a little more expensive than a competition.
</v>
      </c>
    </row>
    <row r="219" ht="15.75" customHeight="1">
      <c r="A219" s="2">
        <v>1.0</v>
      </c>
      <c r="B219" s="2" t="s">
        <v>728</v>
      </c>
      <c r="C219" s="2" t="s">
        <v>729</v>
      </c>
      <c r="D219" s="2" t="s">
        <v>329</v>
      </c>
      <c r="E219" s="2" t="s">
        <v>68</v>
      </c>
      <c r="F219" s="2" t="s">
        <v>15</v>
      </c>
      <c r="G219" s="2" t="s">
        <v>730</v>
      </c>
      <c r="H219" s="2" t="s">
        <v>159</v>
      </c>
      <c r="I219" s="2" t="str">
        <f>IFERROR(__xludf.DUMMYFUNCTION("GOOGLETRANSLATE(C219,""fr"",""en"")"),"Macif St-Malo 04/23/21
The employees of this agency are exceeded by the events, not holding the same discourt according to the person on whom you fall, no longer managing to process a simple file, for my case 7 months for a disaster because the person ha"&amp;"d everything Simply forget to present the file to the people concerned despite my reminders. No professionalism, completely lost with COVVID, can no longer master the work, a shame of incompetence, personal not empowered to do this job. This agency and th"&amp;"is insurance is to be forgotten.")</f>
        <v>Macif St-Malo 04/23/21
The employees of this agency are exceeded by the events, not holding the same discourt according to the person on whom you fall, no longer managing to process a simple file, for my case 7 months for a disaster because the person had everything Simply forget to present the file to the people concerned despite my reminders. No professionalism, completely lost with COVVID, can no longer master the work, a shame of incompetence, personal not empowered to do this job. This agency and this insurance is to be forgotten.</v>
      </c>
    </row>
    <row r="220" ht="15.75" customHeight="1">
      <c r="A220" s="2">
        <v>1.0</v>
      </c>
      <c r="B220" s="2" t="s">
        <v>731</v>
      </c>
      <c r="C220" s="2" t="s">
        <v>732</v>
      </c>
      <c r="D220" s="2" t="s">
        <v>79</v>
      </c>
      <c r="E220" s="2" t="s">
        <v>80</v>
      </c>
      <c r="F220" s="2" t="s">
        <v>15</v>
      </c>
      <c r="G220" s="2" t="s">
        <v>397</v>
      </c>
      <c r="H220" s="2" t="s">
        <v>397</v>
      </c>
      <c r="I220" s="2" t="str">
        <f>IFERROR(__xludf.DUMMYFUNCTION("GOOGLETRANSLATE(C220,""fr"",""en"")"),"Having subscribed to a job loss insurance, I am rather surprised and even my bank which imposed their own insurance for me. Contacted this morning she does not understand how a dismissed person is denied job loss insurance ... I do not enter any of the ex"&amp;"clusions: no fixed -term contract, no resignation, no fault, no period test ... in short incomprehensible.")</f>
        <v>Having subscribed to a job loss insurance, I am rather surprised and even my bank which imposed their own insurance for me. Contacted this morning she does not understand how a dismissed person is denied job loss insurance ... I do not enter any of the exclusions: no fixed -term contract, no resignation, no fault, no period test ... in short incomprehensible.</v>
      </c>
    </row>
    <row r="221" ht="15.75" customHeight="1">
      <c r="A221" s="2">
        <v>1.0</v>
      </c>
      <c r="B221" s="2" t="s">
        <v>733</v>
      </c>
      <c r="C221" s="2" t="s">
        <v>734</v>
      </c>
      <c r="D221" s="2" t="s">
        <v>436</v>
      </c>
      <c r="E221" s="2" t="s">
        <v>36</v>
      </c>
      <c r="F221" s="2" t="s">
        <v>15</v>
      </c>
      <c r="G221" s="2" t="s">
        <v>735</v>
      </c>
      <c r="H221" s="2" t="s">
        <v>369</v>
      </c>
      <c r="I221" s="2" t="str">
        <f>IFERROR(__xludf.DUMMYFUNCTION("GOOGLETRANSLATE(C221,""fr"",""en"")"),"Obliged to join my business mutual insurance company, Mutuelle Harmonie Me Ballade so as not to terminate my contract. 3 letters recommended later with sending all the supporting documents to terminate, and yes it still lacks ""one"", harmony asks me to p"&amp;"ay all of my remaining monthly payments until the anniversary of my contract at home on December 31 2018. Outside, the anniversary of my contract with them is October 3. In short, this is without counting on non -reimbursements, because of teletransmissio"&amp;"n not made by the security (""supposedly"") or an lost invoice (especially that of the Hosteo). Etc., etc....")</f>
        <v>Obliged to join my business mutual insurance company, Mutuelle Harmonie Me Ballade so as not to terminate my contract. 3 letters recommended later with sending all the supporting documents to terminate, and yes it still lacks "one", harmony asks me to pay all of my remaining monthly payments until the anniversary of my contract at home on December 31 2018. Outside, the anniversary of my contract with them is October 3. In short, this is without counting on non -reimbursements, because of teletransmission not made by the security ("supposedly") or an lost invoice (especially that of the Hosteo). Etc., etc....</v>
      </c>
    </row>
    <row r="222" ht="15.75" customHeight="1">
      <c r="A222" s="2">
        <v>1.0</v>
      </c>
      <c r="B222" s="2" t="s">
        <v>736</v>
      </c>
      <c r="C222" s="2" t="s">
        <v>737</v>
      </c>
      <c r="D222" s="2" t="s">
        <v>20</v>
      </c>
      <c r="E222" s="2" t="s">
        <v>14</v>
      </c>
      <c r="F222" s="2" t="s">
        <v>15</v>
      </c>
      <c r="G222" s="2" t="s">
        <v>738</v>
      </c>
      <c r="H222" s="2" t="s">
        <v>360</v>
      </c>
      <c r="I222" s="2" t="str">
        <f>IFERROR(__xludf.DUMMYFUNCTION("GOOGLETRANSLATE(C222,""fr"",""en"")"),"To avoid absolutely!")</f>
        <v>To avoid absolutely!</v>
      </c>
    </row>
    <row r="223" ht="15.75" customHeight="1">
      <c r="A223" s="2">
        <v>1.0</v>
      </c>
      <c r="B223" s="2" t="s">
        <v>739</v>
      </c>
      <c r="C223" s="2" t="s">
        <v>740</v>
      </c>
      <c r="D223" s="2" t="s">
        <v>741</v>
      </c>
      <c r="E223" s="2" t="s">
        <v>111</v>
      </c>
      <c r="F223" s="2" t="s">
        <v>15</v>
      </c>
      <c r="G223" s="2" t="s">
        <v>742</v>
      </c>
      <c r="H223" s="2" t="s">
        <v>177</v>
      </c>
      <c r="I223" s="2" t="str">
        <f>IFERROR(__xludf.DUMMYFUNCTION("GOOGLETRANSLATE(C223,""fr"",""en"")"),"Prime reimbursement always expected more than 30 days after termination ... An absent management service allowing to hang up on the client's nose after 20 min waiting and no response")</f>
        <v>Prime reimbursement always expected more than 30 days after termination ... An absent management service allowing to hang up on the client's nose after 20 min waiting and no response</v>
      </c>
    </row>
    <row r="224" ht="15.75" customHeight="1">
      <c r="A224" s="2">
        <v>1.0</v>
      </c>
      <c r="B224" s="2" t="s">
        <v>743</v>
      </c>
      <c r="C224" s="2" t="s">
        <v>744</v>
      </c>
      <c r="D224" s="2" t="s">
        <v>693</v>
      </c>
      <c r="E224" s="2" t="s">
        <v>100</v>
      </c>
      <c r="F224" s="2" t="s">
        <v>15</v>
      </c>
      <c r="G224" s="2" t="s">
        <v>745</v>
      </c>
      <c r="H224" s="2" t="s">
        <v>159</v>
      </c>
      <c r="I224" s="2" t="str">
        <f>IFERROR(__xludf.DUMMYFUNCTION("GOOGLETRANSLATE(C224,""fr"",""en"")"),"Reimbursement period is unacceptable and non -existent customer service.
This insurance is not recommended by two veterinary clinics (with a large customer volume) that I have consulted.
")</f>
        <v>Reimbursement period is unacceptable and non -existent customer service.
This insurance is not recommended by two veterinary clinics (with a large customer volume) that I have consulted.
</v>
      </c>
    </row>
    <row r="225" ht="15.75" customHeight="1">
      <c r="A225" s="2">
        <v>2.0</v>
      </c>
      <c r="B225" s="2" t="s">
        <v>746</v>
      </c>
      <c r="C225" s="2" t="s">
        <v>747</v>
      </c>
      <c r="D225" s="2" t="s">
        <v>50</v>
      </c>
      <c r="E225" s="2" t="s">
        <v>14</v>
      </c>
      <c r="F225" s="2" t="s">
        <v>15</v>
      </c>
      <c r="G225" s="2" t="s">
        <v>748</v>
      </c>
      <c r="H225" s="2" t="s">
        <v>91</v>
      </c>
      <c r="I225" s="2" t="str">
        <f>IFERROR(__xludf.DUMMYFUNCTION("GOOGLETRANSLATE(C225,""fr"",""en"")"),"My situation:
Insured all risks
38% bonus see a little more (I have never had an accident since I have a license)
Very disappointed with this insurance.
I encountered two problems in less than a year with the olive tree.
1- A non-reimbursed towin"&amp;"g because I did not call assistance but a convenience store.
I understand that they want to avoid scams here and that is precisely why there is a maximum amount of care of 200 euros. As far as I am concerned, I paid more expensive and I accepted the fact"&amp;" that because of my stupidity I am not reimbursing me more than 200 euros. By cons I did not expect that I was not reimbursed at all ... I had the opportunity to chat with Europassistance and Olivier advisers. To listen to them, yes I had to be reimbursed"&amp;" in a maximum amount of 200 euros on the other hand each rejected the fault on the other.
A purpose: after having made the ping pong for several weeks, an official at the olive tree told me that I would be reimbursed and that he was going to make a compl"&amp;"aint. I have never been reimbursed. (It's been over a year and I dropped)
2- A hailless cloud located in my workplace
A lot of cars were crap following a hailstorm. Of course, many of us have filmed this storm.
Insured all risks and therefore against"&amp;" bad weather, I call my insurance and I am told that I am taken care of (with a franchise of 420 euros). On the other hand, I am asked to provide proof of this hailstorm via a press article.
Unfortunately, the storm being located, I do not find any artic"&amp;"le. Even the town hall of my city was not aware and could not give me anything. I remind my insurer to tell them that I have no article but that I still have several videos.
But there, they do not want my videos and insist by asking me articles of presse"&amp;"s. I have many colleagues who have been taken care of without having to provide anything.
Finality: my car is crawled and I gave up repairing it because it is aesthetic and is not seen as long as it. (Well and then there is also the olive tree which brok"&amp;"e my feet too)
I therefore do not recommend the olive tree since even being assured of all risks, I have never obtained anything from them.
Besides, I have a slight impact on the windshield, I wonder if the insurance can take care of the resin at Ca"&amp;"rglass ... After all, I only have all risks, I think that not enough. :(")</f>
        <v>My situation:
Insured all risks
38% bonus see a little more (I have never had an accident since I have a license)
Very disappointed with this insurance.
I encountered two problems in less than a year with the olive tree.
1- A non-reimbursed towing because I did not call assistance but a convenience store.
I understand that they want to avoid scams here and that is precisely why there is a maximum amount of care of 200 euros. As far as I am concerned, I paid more expensive and I accepted the fact that because of my stupidity I am not reimbursing me more than 200 euros. By cons I did not expect that I was not reimbursed at all ... I had the opportunity to chat with Europassistance and Olivier advisers. To listen to them, yes I had to be reimbursed in a maximum amount of 200 euros on the other hand each rejected the fault on the other.
A purpose: after having made the ping pong for several weeks, an official at the olive tree told me that I would be reimbursed and that he was going to make a complaint. I have never been reimbursed. (It's been over a year and I dropped)
2- A hailless cloud located in my workplace
A lot of cars were crap following a hailstorm. Of course, many of us have filmed this storm.
Insured all risks and therefore against bad weather, I call my insurance and I am told that I am taken care of (with a franchise of 420 euros). On the other hand, I am asked to provide proof of this hailstorm via a press article.
Unfortunately, the storm being located, I do not find any article. Even the town hall of my city was not aware and could not give me anything. I remind my insurer to tell them that I have no article but that I still have several videos.
But there, they do not want my videos and insist by asking me articles of presses. I have many colleagues who have been taken care of without having to provide anything.
Finality: my car is crawled and I gave up repairing it because it is aesthetic and is not seen as long as it. (Well and then there is also the olive tree which broke my feet too)
I therefore do not recommend the olive tree since even being assured of all risks, I have never obtained anything from them.
Besides, I have a slight impact on the windshield, I wonder if the insurance can take care of the resin at Carglass ... After all, I only have all risks, I think that not enough. :(</v>
      </c>
    </row>
    <row r="226" ht="15.75" customHeight="1">
      <c r="A226" s="2">
        <v>4.0</v>
      </c>
      <c r="B226" s="2" t="s">
        <v>749</v>
      </c>
      <c r="C226" s="2" t="s">
        <v>750</v>
      </c>
      <c r="D226" s="2" t="s">
        <v>145</v>
      </c>
      <c r="E226" s="2" t="s">
        <v>111</v>
      </c>
      <c r="F226" s="2" t="s">
        <v>15</v>
      </c>
      <c r="G226" s="2" t="s">
        <v>751</v>
      </c>
      <c r="H226" s="2" t="s">
        <v>64</v>
      </c>
      <c r="I226" s="2" t="str">
        <f>IFERROR(__xludf.DUMMYFUNCTION("GOOGLETRANSLATE(C226,""fr"",""en"")"),"Very good service! Being a young A2 license, the prices are quite high but like everywhere else! I highly recommend this insurance for young bikers or confirmed !!!")</f>
        <v>Very good service! Being a young A2 license, the prices are quite high but like everywhere else! I highly recommend this insurance for young bikers or confirmed !!!</v>
      </c>
    </row>
    <row r="227" ht="15.75" customHeight="1">
      <c r="A227" s="2">
        <v>2.0</v>
      </c>
      <c r="B227" s="2" t="s">
        <v>752</v>
      </c>
      <c r="C227" s="2" t="s">
        <v>753</v>
      </c>
      <c r="D227" s="2" t="s">
        <v>30</v>
      </c>
      <c r="E227" s="2" t="s">
        <v>14</v>
      </c>
      <c r="F227" s="2" t="s">
        <v>15</v>
      </c>
      <c r="G227" s="2" t="s">
        <v>754</v>
      </c>
      <c r="H227" s="2" t="s">
        <v>229</v>
      </c>
      <c r="I227" s="2" t="str">
        <f>IFERROR(__xludf.DUMMYFUNCTION("GOOGLETRANSLATE(C227,""fr"",""en"")"),"I had to terminate insurance any risk with frankness on a can all of the unheard of !!!
The salesperson had however told me the opposite!
")</f>
        <v>I had to terminate insurance any risk with frankness on a can all of the unheard of !!!
The salesperson had however told me the opposite!
</v>
      </c>
    </row>
    <row r="228" ht="15.75" customHeight="1">
      <c r="A228" s="2">
        <v>2.0</v>
      </c>
      <c r="B228" s="2" t="s">
        <v>755</v>
      </c>
      <c r="C228" s="2" t="s">
        <v>756</v>
      </c>
      <c r="D228" s="2" t="s">
        <v>30</v>
      </c>
      <c r="E228" s="2" t="s">
        <v>14</v>
      </c>
      <c r="F228" s="2" t="s">
        <v>15</v>
      </c>
      <c r="G228" s="2" t="s">
        <v>619</v>
      </c>
      <c r="H228" s="2" t="s">
        <v>47</v>
      </c>
      <c r="I228" s="2" t="str">
        <f>IFERROR(__xludf.DUMMYFUNCTION("GOOGLETRANSLATE(C228,""fr"",""en"")"),"Could make better especially given the price I pay per month ...
I thought it would be lower but beyond that the file was well dealt with")</f>
        <v>Could make better especially given the price I pay per month ...
I thought it would be lower but beyond that the file was well dealt with</v>
      </c>
    </row>
    <row r="229" ht="15.75" customHeight="1">
      <c r="A229" s="2">
        <v>1.0</v>
      </c>
      <c r="B229" s="2" t="s">
        <v>757</v>
      </c>
      <c r="C229" s="2" t="s">
        <v>758</v>
      </c>
      <c r="D229" s="2" t="s">
        <v>13</v>
      </c>
      <c r="E229" s="2" t="s">
        <v>14</v>
      </c>
      <c r="F229" s="2" t="s">
        <v>15</v>
      </c>
      <c r="G229" s="2" t="s">
        <v>759</v>
      </c>
      <c r="H229" s="2" t="s">
        <v>229</v>
      </c>
      <c r="I229" s="2" t="str">
        <f>IFERROR(__xludf.DUMMYFUNCTION("GOOGLETRANSLATE(C229,""fr"",""en"")"),"Customer at the MAAF and never having a claim, we had a first non -responsible disaster in August, shock in the back. The expert wants to reimburse body damage but does not want to pay the diagnosis of the garage to search for mechanical problems because "&amp;"according to him, there is no direct link with the accident when he himself recognizes that he does not know the mechanical problem. It is up to us customers to prove that there is a link, otherwise they do not reimburse !! It's the world upside down!! My"&amp;" vehicle was rolling before, no longer rolled after but it is not linked !! I am completely disgusted with this insurance behind their experts and have no recognition of their customers.")</f>
        <v>Customer at the MAAF and never having a claim, we had a first non -responsible disaster in August, shock in the back. The expert wants to reimburse body damage but does not want to pay the diagnosis of the garage to search for mechanical problems because according to him, there is no direct link with the accident when he himself recognizes that he does not know the mechanical problem. It is up to us customers to prove that there is a link, otherwise they do not reimburse !! It's the world upside down!! My vehicle was rolling before, no longer rolled after but it is not linked !! I am completely disgusted with this insurance behind their experts and have no recognition of their customers.</v>
      </c>
    </row>
    <row r="230" ht="15.75" customHeight="1">
      <c r="A230" s="2">
        <v>1.0</v>
      </c>
      <c r="B230" s="2" t="s">
        <v>760</v>
      </c>
      <c r="C230" s="2" t="s">
        <v>761</v>
      </c>
      <c r="D230" s="2" t="s">
        <v>219</v>
      </c>
      <c r="E230" s="2" t="s">
        <v>14</v>
      </c>
      <c r="F230" s="2" t="s">
        <v>15</v>
      </c>
      <c r="G230" s="2" t="s">
        <v>762</v>
      </c>
      <c r="H230" s="2" t="s">
        <v>241</v>
      </c>
      <c r="I230" s="2" t="str">
        <f>IFERROR(__xludf.DUMMYFUNCTION("GOOGLETRANSLATE(C230,""fr"",""en"")"),"A shame ! Do not answer anything (email, phone ...) even free I do not assure myself at home. Flee far because there is no communication. My vehicle has been sold since July 2020 and even today I fight against the samples.")</f>
        <v>A shame ! Do not answer anything (email, phone ...) even free I do not assure myself at home. Flee far because there is no communication. My vehicle has been sold since July 2020 and even today I fight against the samples.</v>
      </c>
    </row>
    <row r="231" ht="15.75" customHeight="1">
      <c r="A231" s="2">
        <v>1.0</v>
      </c>
      <c r="B231" s="2" t="s">
        <v>763</v>
      </c>
      <c r="C231" s="2" t="s">
        <v>764</v>
      </c>
      <c r="D231" s="2" t="s">
        <v>50</v>
      </c>
      <c r="E231" s="2" t="s">
        <v>14</v>
      </c>
      <c r="F231" s="2" t="s">
        <v>15</v>
      </c>
      <c r="G231" s="2" t="s">
        <v>765</v>
      </c>
      <c r="H231" s="2" t="s">
        <v>340</v>
      </c>
      <c r="I231" s="2" t="str">
        <f>IFERROR(__xludf.DUMMYFUNCTION("GOOGLETRANSLATE(C231,""fr"",""en"")"),"Victim of a non -responsible claim it's been a month now that I have no vehicle (no loan vehicle no more) and I still don't know what will happen to my vehicle (so I can't No to buy another) and that I am led by boat, a blow is the expert then after the e"&amp;"xpert dismiss the ball by saying that it is the insurer. It is good to make the big misleading ad on TV but frankly invest in your customers that to try to always scratch more. Decu Flee")</f>
        <v>Victim of a non -responsible claim it's been a month now that I have no vehicle (no loan vehicle no more) and I still don't know what will happen to my vehicle (so I can't No to buy another) and that I am led by boat, a blow is the expert then after the expert dismiss the ball by saying that it is the insurer. It is good to make the big misleading ad on TV but frankly invest in your customers that to try to always scratch more. Decu Flee</v>
      </c>
    </row>
    <row r="232" ht="15.75" customHeight="1">
      <c r="A232" s="2">
        <v>2.0</v>
      </c>
      <c r="B232" s="2" t="s">
        <v>766</v>
      </c>
      <c r="C232" s="2" t="s">
        <v>767</v>
      </c>
      <c r="D232" s="2" t="s">
        <v>180</v>
      </c>
      <c r="E232" s="2" t="s">
        <v>14</v>
      </c>
      <c r="F232" s="2" t="s">
        <v>15</v>
      </c>
      <c r="G232" s="2" t="s">
        <v>120</v>
      </c>
      <c r="H232" s="2" t="s">
        <v>32</v>
      </c>
      <c r="I232" s="2" t="str">
        <f>IFERROR(__xludf.DUMMYFUNCTION("GOOGLETRANSLATE(C232,""fr"",""en"")"),"Hello,
Insatisted in this insurance I do not advise it especially if you broke down abroad, that makes you subscribe options and finally you have bananas.
Another thing, a few days ago I contacted them to ask if my daughter's boyfriend could roll our "&amp;"vehicle to go for a walk with her from time to time, if we could add it to the insurance, knowing how that we have 3 vehicles insured at home and that we have 50 % bonuses for 4 years. The answer was a shock for us because they terminated the insurance in"&amp;" 10 days of time without real explanations by registered mail with acknowledgment of receipt. I contacted the Legal Mutuel Legal Service and actually they are wrong with this abusive termination. I would not stay there for sure, 60 million consumers will "&amp;"be informed. It is a shame to do this to people who have only asked a simple question.
Pay attention to this insurance, we are even afraid of asking a question.
I strongly advise against this insurance !!!!!
Eurofil will hide, you are shame !!!!!")</f>
        <v>Hello,
Insatisted in this insurance I do not advise it especially if you broke down abroad, that makes you subscribe options and finally you have bananas.
Another thing, a few days ago I contacted them to ask if my daughter's boyfriend could roll our vehicle to go for a walk with her from time to time, if we could add it to the insurance, knowing how that we have 3 vehicles insured at home and that we have 50 % bonuses for 4 years. The answer was a shock for us because they terminated the insurance in 10 days of time without real explanations by registered mail with acknowledgment of receipt. I contacted the Legal Mutuel Legal Service and actually they are wrong with this abusive termination. I would not stay there for sure, 60 million consumers will be informed. It is a shame to do this to people who have only asked a simple question.
Pay attention to this insurance, we are even afraid of asking a question.
I strongly advise against this insurance !!!!!
Eurofil will hide, you are shame !!!!!</v>
      </c>
    </row>
    <row r="233" ht="15.75" customHeight="1">
      <c r="A233" s="2">
        <v>5.0</v>
      </c>
      <c r="B233" s="2" t="s">
        <v>768</v>
      </c>
      <c r="C233" s="2" t="s">
        <v>769</v>
      </c>
      <c r="D233" s="2" t="s">
        <v>30</v>
      </c>
      <c r="E233" s="2" t="s">
        <v>14</v>
      </c>
      <c r="F233" s="2" t="s">
        <v>15</v>
      </c>
      <c r="G233" s="2" t="s">
        <v>770</v>
      </c>
      <c r="H233" s="2" t="s">
        <v>52</v>
      </c>
      <c r="I233" s="2" t="str">
        <f>IFERROR(__xludf.DUMMYFUNCTION("GOOGLETRANSLATE(C233,""fr"",""en"")"),"Nothing to say negative for the moment. The assistance works perfectly because I broke down 1000kms from my home, she took me the vehicle to the dealership and grant a loan vehicle to return to my home
")</f>
        <v>Nothing to say negative for the moment. The assistance works perfectly because I broke down 1000kms from my home, she took me the vehicle to the dealership and grant a loan vehicle to return to my home
</v>
      </c>
    </row>
    <row r="234" ht="15.75" customHeight="1">
      <c r="A234" s="2">
        <v>1.0</v>
      </c>
      <c r="B234" s="2" t="s">
        <v>771</v>
      </c>
      <c r="C234" s="2" t="s">
        <v>772</v>
      </c>
      <c r="D234" s="2" t="s">
        <v>25</v>
      </c>
      <c r="E234" s="2" t="s">
        <v>90</v>
      </c>
      <c r="F234" s="2" t="s">
        <v>15</v>
      </c>
      <c r="G234" s="2" t="s">
        <v>773</v>
      </c>
      <c r="H234" s="2" t="s">
        <v>298</v>
      </c>
      <c r="I234" s="2" t="str">
        <f>IFERROR(__xludf.DUMMYFUNCTION("GOOGLETRANSLATE(C234,""fr"",""en"")"),"Just catastrophic ...... here I am by the RSI considered as disability following a infarction with sequelae but Axa does not respond, even to my advisor who does not understand their silence either ..... In addition, he Do not pay my compensation only fro"&amp;"m half following the advice of their expert doctor paid by AXA ........ without comment !!!")</f>
        <v>Just catastrophic ...... here I am by the RSI considered as disability following a infarction with sequelae but Axa does not respond, even to my advisor who does not understand their silence either ..... In addition, he Do not pay my compensation only from half following the advice of their expert doctor paid by AXA ........ without comment !!!</v>
      </c>
    </row>
    <row r="235" ht="15.75" customHeight="1">
      <c r="A235" s="2">
        <v>4.0</v>
      </c>
      <c r="B235" s="2" t="s">
        <v>774</v>
      </c>
      <c r="C235" s="2" t="s">
        <v>775</v>
      </c>
      <c r="D235" s="2" t="s">
        <v>30</v>
      </c>
      <c r="E235" s="2" t="s">
        <v>14</v>
      </c>
      <c r="F235" s="2" t="s">
        <v>15</v>
      </c>
      <c r="G235" s="2" t="s">
        <v>690</v>
      </c>
      <c r="H235" s="2" t="s">
        <v>64</v>
      </c>
      <c r="I235" s="2" t="str">
        <f>IFERROR(__xludf.DUMMYFUNCTION("GOOGLETRANSLATE(C235,""fr"",""en"")"),"I am satisfied but I had trouble seeing where to choose the monthly direct debit
The prices are correct to see Dinle Price really drops with the case according to our driving")</f>
        <v>I am satisfied but I had trouble seeing where to choose the monthly direct debit
The prices are correct to see Dinle Price really drops with the case according to our driving</v>
      </c>
    </row>
    <row r="236" ht="15.75" customHeight="1">
      <c r="A236" s="2">
        <v>1.0</v>
      </c>
      <c r="B236" s="2" t="s">
        <v>776</v>
      </c>
      <c r="C236" s="2" t="s">
        <v>777</v>
      </c>
      <c r="D236" s="2" t="s">
        <v>180</v>
      </c>
      <c r="E236" s="2" t="s">
        <v>14</v>
      </c>
      <c r="F236" s="2" t="s">
        <v>15</v>
      </c>
      <c r="G236" s="2" t="s">
        <v>778</v>
      </c>
      <c r="H236" s="2" t="s">
        <v>43</v>
      </c>
      <c r="I236" s="2" t="str">
        <f>IFERROR(__xludf.DUMMYFUNCTION("GOOGLETRANSLATE(C236,""fr"",""en"")"),"Insured for 15 years at Eurofil for five contracts. Three cars and two dwellings. Refusal to repay a door pressed in a parking lot. Cheer. You have just lost five contracts. Absurd to see such a zero sales service")</f>
        <v>Insured for 15 years at Eurofil for five contracts. Three cars and two dwellings. Refusal to repay a door pressed in a parking lot. Cheer. You have just lost five contracts. Absurd to see such a zero sales service</v>
      </c>
    </row>
    <row r="237" ht="15.75" customHeight="1">
      <c r="A237" s="2">
        <v>1.0</v>
      </c>
      <c r="B237" s="2" t="s">
        <v>779</v>
      </c>
      <c r="C237" s="2" t="s">
        <v>780</v>
      </c>
      <c r="D237" s="2" t="s">
        <v>718</v>
      </c>
      <c r="E237" s="2" t="s">
        <v>36</v>
      </c>
      <c r="F237" s="2" t="s">
        <v>15</v>
      </c>
      <c r="G237" s="2" t="s">
        <v>781</v>
      </c>
      <c r="H237" s="2" t="s">
        <v>91</v>
      </c>
      <c r="I237" s="2" t="str">
        <f>IFERROR(__xludf.DUMMYFUNCTION("GOOGLETRANSLATE(C237,""fr"",""en"")"),"To flee if you can. In bad faith, ready to do anything so as not to reimburse. Even allow themselves to demand confidential medical information that they have no right to ask. Does not pay without ever bothering to make the customer shameful")</f>
        <v>To flee if you can. In bad faith, ready to do anything so as not to reimburse. Even allow themselves to demand confidential medical information that they have no right to ask. Does not pay without ever bothering to make the customer shameful</v>
      </c>
    </row>
    <row r="238" ht="15.75" customHeight="1">
      <c r="A238" s="2">
        <v>1.0</v>
      </c>
      <c r="B238" s="2" t="s">
        <v>782</v>
      </c>
      <c r="C238" s="2" t="s">
        <v>783</v>
      </c>
      <c r="D238" s="2" t="s">
        <v>25</v>
      </c>
      <c r="E238" s="2" t="s">
        <v>68</v>
      </c>
      <c r="F238" s="2" t="s">
        <v>15</v>
      </c>
      <c r="G238" s="2" t="s">
        <v>784</v>
      </c>
      <c r="H238" s="2" t="s">
        <v>241</v>
      </c>
      <c r="I238" s="2" t="str">
        <f>IFERROR(__xludf.DUMMYFUNCTION("GOOGLETRANSLATE(C238,""fr"",""en"")"),"I made sure at Axa and I had a fire they did everything so as not to reimburse us.
Have been found homeless, it's been 2 years and we are in legal proceedings with AXA")</f>
        <v>I made sure at Axa and I had a fire they did everything so as not to reimburse us.
Have been found homeless, it's been 2 years and we are in legal proceedings with AXA</v>
      </c>
    </row>
    <row r="239" ht="15.75" customHeight="1">
      <c r="A239" s="2">
        <v>2.0</v>
      </c>
      <c r="B239" s="2" t="s">
        <v>785</v>
      </c>
      <c r="C239" s="2" t="s">
        <v>786</v>
      </c>
      <c r="D239" s="2" t="s">
        <v>145</v>
      </c>
      <c r="E239" s="2" t="s">
        <v>111</v>
      </c>
      <c r="F239" s="2" t="s">
        <v>15</v>
      </c>
      <c r="G239" s="2" t="s">
        <v>787</v>
      </c>
      <c r="H239" s="2" t="s">
        <v>43</v>
      </c>
      <c r="I239" s="2" t="str">
        <f>IFERROR(__xludf.DUMMYFUNCTION("GOOGLETRANSLATE(C239,""fr"",""en"")"),"Cheap but in case of a hassle no one will answer you. We will stroll from services to services by justifying that it is Europe Assistance which must compensate.")</f>
        <v>Cheap but in case of a hassle no one will answer you. We will stroll from services to services by justifying that it is Europe Assistance which must compensate.</v>
      </c>
    </row>
    <row r="240" ht="15.75" customHeight="1">
      <c r="A240" s="2">
        <v>2.0</v>
      </c>
      <c r="B240" s="2" t="s">
        <v>788</v>
      </c>
      <c r="C240" s="2" t="s">
        <v>789</v>
      </c>
      <c r="D240" s="2" t="s">
        <v>41</v>
      </c>
      <c r="E240" s="2" t="s">
        <v>36</v>
      </c>
      <c r="F240" s="2" t="s">
        <v>15</v>
      </c>
      <c r="G240" s="2" t="s">
        <v>790</v>
      </c>
      <c r="H240" s="2" t="s">
        <v>241</v>
      </c>
      <c r="I240" s="2" t="str">
        <f>IFERROR(__xludf.DUMMYFUNCTION("GOOGLETRANSLATE(C240,""fr"",""en"")"),"All simply impossible to have them at such we send them a dental quote 15 days still no answer I regret having come to this insurance September I am looking elsewhere if it is not a shame I am not the type to change without stop problem")</f>
        <v>All simply impossible to have them at such we send them a dental quote 15 days still no answer I regret having come to this insurance September I am looking elsewhere if it is not a shame I am not the type to change without stop problem</v>
      </c>
    </row>
    <row r="241" ht="15.75" customHeight="1">
      <c r="A241" s="2">
        <v>4.0</v>
      </c>
      <c r="B241" s="2" t="s">
        <v>791</v>
      </c>
      <c r="C241" s="2" t="s">
        <v>792</v>
      </c>
      <c r="D241" s="2" t="s">
        <v>30</v>
      </c>
      <c r="E241" s="2" t="s">
        <v>14</v>
      </c>
      <c r="F241" s="2" t="s">
        <v>15</v>
      </c>
      <c r="G241" s="2" t="s">
        <v>793</v>
      </c>
      <c r="H241" s="2" t="s">
        <v>64</v>
      </c>
      <c r="I241" s="2" t="str">
        <f>IFERROR(__xludf.DUMMYFUNCTION("GOOGLETRANSLATE(C241,""fr"",""en"")"),"Prices suit me hoping that insurance guarantees cover well in the event of an accident or dispute. And that customer service can easily be reached")</f>
        <v>Prices suit me hoping that insurance guarantees cover well in the event of an accident or dispute. And that customer service can easily be reached</v>
      </c>
    </row>
    <row r="242" ht="15.75" customHeight="1">
      <c r="A242" s="2">
        <v>2.0</v>
      </c>
      <c r="B242" s="2" t="s">
        <v>794</v>
      </c>
      <c r="C242" s="2" t="s">
        <v>795</v>
      </c>
      <c r="D242" s="2" t="s">
        <v>50</v>
      </c>
      <c r="E242" s="2" t="s">
        <v>14</v>
      </c>
      <c r="F242" s="2" t="s">
        <v>15</v>
      </c>
      <c r="G242" s="2" t="s">
        <v>378</v>
      </c>
      <c r="H242" s="2" t="s">
        <v>378</v>
      </c>
      <c r="I242" s="2" t="str">
        <f>IFERROR(__xludf.DUMMYFUNCTION("GOOGLETRANSLATE(C242,""fr"",""en"")"),"25% increase in one year without any claim. 880 euros of annual premium versus 550 if new customer. The olive tree, insurance that heals its customers.")</f>
        <v>25% increase in one year without any claim. 880 euros of annual premium versus 550 if new customer. The olive tree, insurance that heals its customers.</v>
      </c>
    </row>
    <row r="243" ht="15.75" customHeight="1">
      <c r="A243" s="2">
        <v>4.0</v>
      </c>
      <c r="B243" s="2" t="s">
        <v>796</v>
      </c>
      <c r="C243" s="2" t="s">
        <v>797</v>
      </c>
      <c r="D243" s="2" t="s">
        <v>571</v>
      </c>
      <c r="E243" s="2" t="s">
        <v>80</v>
      </c>
      <c r="F243" s="2" t="s">
        <v>15</v>
      </c>
      <c r="G243" s="2" t="s">
        <v>798</v>
      </c>
      <c r="H243" s="2" t="s">
        <v>32</v>
      </c>
      <c r="I243" s="2" t="str">
        <f>IFERROR(__xludf.DUMMYFUNCTION("GOOGLETRANSLATE(C243,""fr"",""en"")"),"Very responsive and attentive advisor
It adapts to professional schedules and constraints
Everything was done online and it's very
I highly recommend")</f>
        <v>Very responsive and attentive advisor
It adapts to professional schedules and constraints
Everything was done online and it's very
I highly recommend</v>
      </c>
    </row>
    <row r="244" ht="15.75" customHeight="1">
      <c r="A244" s="2">
        <v>2.0</v>
      </c>
      <c r="B244" s="2" t="s">
        <v>799</v>
      </c>
      <c r="C244" s="2" t="s">
        <v>800</v>
      </c>
      <c r="D244" s="2" t="s">
        <v>30</v>
      </c>
      <c r="E244" s="2" t="s">
        <v>14</v>
      </c>
      <c r="F244" s="2" t="s">
        <v>15</v>
      </c>
      <c r="G244" s="2" t="s">
        <v>801</v>
      </c>
      <c r="H244" s="2" t="s">
        <v>52</v>
      </c>
      <c r="I244" s="2" t="str">
        <f>IFERROR(__xludf.DUMMYFUNCTION("GOOGLETRANSLATE(C244,""fr"",""en"")"),"It is during a technical damage on a car insured at home that I found that legal assistance at home is a ""deception"" I could not benefit from assistance with an expert.
It should not be said that there is legal assistance when it only serves to deal wi"&amp;"th a payment dispute with yourself! So I terminated my audi")</f>
        <v>It is during a technical damage on a car insured at home that I found that legal assistance at home is a "deception" I could not benefit from assistance with an expert.
It should not be said that there is legal assistance when it only serves to deal with a payment dispute with yourself! So I terminated my audi</v>
      </c>
    </row>
    <row r="245" ht="15.75" customHeight="1">
      <c r="A245" s="2">
        <v>1.0</v>
      </c>
      <c r="B245" s="2" t="s">
        <v>802</v>
      </c>
      <c r="C245" s="2" t="s">
        <v>803</v>
      </c>
      <c r="D245" s="2" t="s">
        <v>718</v>
      </c>
      <c r="E245" s="2" t="s">
        <v>36</v>
      </c>
      <c r="F245" s="2" t="s">
        <v>15</v>
      </c>
      <c r="G245" s="2" t="s">
        <v>804</v>
      </c>
      <c r="H245" s="2" t="s">
        <v>319</v>
      </c>
      <c r="I245" s="2" t="str">
        <f>IFERROR(__xludf.DUMMYFUNCTION("GOOGLETRANSLATE(C245,""fr"",""en"")"),"Exorbitant rates. Lack of communication on the implementation of cases and the impact on reimbursements.")</f>
        <v>Exorbitant rates. Lack of communication on the implementation of cases and the impact on reimbursements.</v>
      </c>
    </row>
    <row r="246" ht="15.75" customHeight="1">
      <c r="A246" s="2">
        <v>3.0</v>
      </c>
      <c r="B246" s="2" t="s">
        <v>805</v>
      </c>
      <c r="C246" s="2" t="s">
        <v>806</v>
      </c>
      <c r="D246" s="2" t="s">
        <v>30</v>
      </c>
      <c r="E246" s="2" t="s">
        <v>14</v>
      </c>
      <c r="F246" s="2" t="s">
        <v>15</v>
      </c>
      <c r="G246" s="2" t="s">
        <v>440</v>
      </c>
      <c r="H246" s="2" t="s">
        <v>52</v>
      </c>
      <c r="I246" s="2" t="str">
        <f>IFERROR(__xludf.DUMMYFUNCTION("GOOGLETRANSLATE(C246,""fr"",""en"")"),"I was shocked that my C5 Tourer's assurance is increased by a huge percentage, by subscribing for its replacement a Jaguar XF, while these 2 vehicles are both, large roads, and what is more, The Jaguar now being 13 years old, double the Citroën. I will th"&amp;"erefore consult the competition, for comparison, for the next deadline")</f>
        <v>I was shocked that my C5 Tourer's assurance is increased by a huge percentage, by subscribing for its replacement a Jaguar XF, while these 2 vehicles are both, large roads, and what is more, The Jaguar now being 13 years old, double the Citroën. I will therefore consult the competition, for comparison, for the next deadline</v>
      </c>
    </row>
    <row r="247" ht="15.75" customHeight="1">
      <c r="A247" s="2">
        <v>2.0</v>
      </c>
      <c r="B247" s="2" t="s">
        <v>807</v>
      </c>
      <c r="C247" s="2" t="s">
        <v>808</v>
      </c>
      <c r="D247" s="2" t="s">
        <v>718</v>
      </c>
      <c r="E247" s="2" t="s">
        <v>36</v>
      </c>
      <c r="F247" s="2" t="s">
        <v>15</v>
      </c>
      <c r="G247" s="2" t="s">
        <v>330</v>
      </c>
      <c r="H247" s="2" t="s">
        <v>192</v>
      </c>
      <c r="I247" s="2" t="str">
        <f>IFERROR(__xludf.DUMMYFUNCTION("GOOGLETRANSLATE(C247,""fr"",""en"")"),"Mutual company Deplurable ... Contract ill -established at the start by the salesperson who really listened to what was asked for him. Result: spouse having entitled to account as an employee, an effective date of non -compliant, costs for non -payment wi"&amp;"thin the deadlines for contributions while the contract was not established on the right date, no response from their by via their email address contact, assumption of hospitalization accepted and then denounced because the contract number has changed in "&amp;"the meantime because of their errors, not to mention reimbursement times ... since they had to be given all of the slips Social security, since these brave people could not find them! In short, really a disaster and a company to avoid if as an employer yo"&amp;"u have little time to waste with their services")</f>
        <v>Mutual company Deplurable ... Contract ill -established at the start by the salesperson who really listened to what was asked for him. Result: spouse having entitled to account as an employee, an effective date of non -compliant, costs for non -payment within the deadlines for contributions while the contract was not established on the right date, no response from their by via their email address contact, assumption of hospitalization accepted and then denounced because the contract number has changed in the meantime because of their errors, not to mention reimbursement times ... since they had to be given all of the slips Social security, since these brave people could not find them! In short, really a disaster and a company to avoid if as an employer you have little time to waste with their services</v>
      </c>
    </row>
    <row r="248" ht="15.75" customHeight="1">
      <c r="A248" s="2">
        <v>1.0</v>
      </c>
      <c r="B248" s="2" t="s">
        <v>809</v>
      </c>
      <c r="C248" s="2" t="s">
        <v>810</v>
      </c>
      <c r="D248" s="2" t="s">
        <v>20</v>
      </c>
      <c r="E248" s="2" t="s">
        <v>14</v>
      </c>
      <c r="F248" s="2" t="s">
        <v>15</v>
      </c>
      <c r="G248" s="2" t="s">
        <v>811</v>
      </c>
      <c r="H248" s="2" t="s">
        <v>233</v>
      </c>
      <c r="I248" s="2" t="str">
        <f>IFERROR(__xludf.DUMMYFUNCTION("GOOGLETRANSLATE(C248,""fr"",""en"")"),"Avoid it for a week that I ask for a certificate stipulating that I am the main driver of my vehicle, I call I send radio email knowing that I need the document for the work.
By email the person does not even understand what I ask and does not answer.")</f>
        <v>Avoid it for a week that I ask for a certificate stipulating that I am the main driver of my vehicle, I call I send radio email knowing that I need the document for the work.
By email the person does not even understand what I ask and does not answer.</v>
      </c>
    </row>
    <row r="249" ht="15.75" customHeight="1">
      <c r="A249" s="2">
        <v>1.0</v>
      </c>
      <c r="B249" s="2" t="s">
        <v>812</v>
      </c>
      <c r="C249" s="2" t="s">
        <v>813</v>
      </c>
      <c r="D249" s="2" t="s">
        <v>814</v>
      </c>
      <c r="E249" s="2" t="s">
        <v>80</v>
      </c>
      <c r="F249" s="2" t="s">
        <v>15</v>
      </c>
      <c r="G249" s="2" t="s">
        <v>221</v>
      </c>
      <c r="H249" s="2" t="s">
        <v>221</v>
      </c>
      <c r="I249" s="2" t="str">
        <f>IFERROR(__xludf.DUMMYFUNCTION("GOOGLETRANSLATE(C249,""fr"",""en"")"),"Hello,
 My dad had a company he contracts SOGECAP Donations for 2 loans. My dad unfortunately had a serious health problem he had to be operated on an emergency. Unable to work anymore, he closed his business ... SOGECAP does not reimburse my dad's loans"&amp;" because he being 63 years old he did not even move it into disability they put him directly retired for incapacity for work. So no refund because it is neither in disability nor in work stopping .... pay attention to the contracts signed. But if someone "&amp;"can help me thank you in advance")</f>
        <v>Hello,
 My dad had a company he contracts SOGECAP Donations for 2 loans. My dad unfortunately had a serious health problem he had to be operated on an emergency. Unable to work anymore, he closed his business ... SOGECAP does not reimburse my dad's loans because he being 63 years old he did not even move it into disability they put him directly retired for incapacity for work. So no refund because it is neither in disability nor in work stopping .... pay attention to the contracts signed. But if someone can help me thank you in advance</v>
      </c>
    </row>
    <row r="250" ht="15.75" customHeight="1">
      <c r="A250" s="2">
        <v>4.0</v>
      </c>
      <c r="B250" s="2" t="s">
        <v>815</v>
      </c>
      <c r="C250" s="2" t="s">
        <v>816</v>
      </c>
      <c r="D250" s="2" t="s">
        <v>30</v>
      </c>
      <c r="E250" s="2" t="s">
        <v>14</v>
      </c>
      <c r="F250" s="2" t="s">
        <v>15</v>
      </c>
      <c r="G250" s="2" t="s">
        <v>522</v>
      </c>
      <c r="H250" s="2" t="s">
        <v>107</v>
      </c>
      <c r="I250" s="2" t="str">
        <f>IFERROR(__xludf.DUMMYFUNCTION("GOOGLETRANSLATE(C250,""fr"",""en"")"),"I am satisfied with the service and the price. The auto contract suits me perfectly, good value for money, price. Quick contract taken online with any satisfaction")</f>
        <v>I am satisfied with the service and the price. The auto contract suits me perfectly, good value for money, price. Quick contract taken online with any satisfaction</v>
      </c>
    </row>
    <row r="251" ht="15.75" customHeight="1">
      <c r="A251" s="2">
        <v>5.0</v>
      </c>
      <c r="B251" s="2" t="s">
        <v>817</v>
      </c>
      <c r="C251" s="2" t="s">
        <v>818</v>
      </c>
      <c r="D251" s="2" t="s">
        <v>50</v>
      </c>
      <c r="E251" s="2" t="s">
        <v>14</v>
      </c>
      <c r="F251" s="2" t="s">
        <v>15</v>
      </c>
      <c r="G251" s="2" t="s">
        <v>690</v>
      </c>
      <c r="H251" s="2" t="s">
        <v>64</v>
      </c>
      <c r="I251" s="2" t="str">
        <f>IFERROR(__xludf.DUMMYFUNCTION("GOOGLETRANSLATE(C251,""fr"",""en"")"),"For the moment satisfied
Very satisfactory price
Good relationship with our advisor
contract done with great professionalism and benevolence.")</f>
        <v>For the moment satisfied
Very satisfactory price
Good relationship with our advisor
contract done with great professionalism and benevolence.</v>
      </c>
    </row>
    <row r="252" ht="15.75" customHeight="1">
      <c r="A252" s="2">
        <v>1.0</v>
      </c>
      <c r="B252" s="2" t="s">
        <v>819</v>
      </c>
      <c r="C252" s="2" t="s">
        <v>820</v>
      </c>
      <c r="D252" s="2" t="s">
        <v>134</v>
      </c>
      <c r="E252" s="2" t="s">
        <v>36</v>
      </c>
      <c r="F252" s="2" t="s">
        <v>15</v>
      </c>
      <c r="G252" s="2" t="s">
        <v>821</v>
      </c>
      <c r="H252" s="2" t="s">
        <v>177</v>
      </c>
      <c r="I252" s="2" t="str">
        <f>IFERROR(__xludf.DUMMYFUNCTION("GOOGLETRANSLATE(C252,""fr"",""en"")"),"TO FLEE!!!! A mutual that is worth less than a star! An absent customer service: we send requests for reimbursement that drag, drag and drag before being reimbursed ... we phone, wait and when we think that someone will take the call, the line is cut to u"&amp;"s at nose without having spoken to anyone. When you send a message, you receive no answer, never! I had sent a message in early May and I always expect an answer ... Another aberration, we must send our request to reimburse via the Santiane site to obtain"&amp;" a refund from Neoliane. Luckily that we are moving and that we have soon finished with them ...")</f>
        <v>TO FLEE!!!! A mutual that is worth less than a star! An absent customer service: we send requests for reimbursement that drag, drag and drag before being reimbursed ... we phone, wait and when we think that someone will take the call, the line is cut to us at nose without having spoken to anyone. When you send a message, you receive no answer, never! I had sent a message in early May and I always expect an answer ... Another aberration, we must send our request to reimburse via the Santiane site to obtain a refund from Neoliane. Luckily that we are moving and that we have soon finished with them ...</v>
      </c>
    </row>
    <row r="253" ht="15.75" customHeight="1">
      <c r="A253" s="2">
        <v>2.0</v>
      </c>
      <c r="B253" s="2" t="s">
        <v>822</v>
      </c>
      <c r="C253" s="2" t="s">
        <v>823</v>
      </c>
      <c r="D253" s="2" t="s">
        <v>224</v>
      </c>
      <c r="E253" s="2" t="s">
        <v>68</v>
      </c>
      <c r="F253" s="2" t="s">
        <v>15</v>
      </c>
      <c r="G253" s="2" t="s">
        <v>318</v>
      </c>
      <c r="H253" s="2" t="s">
        <v>319</v>
      </c>
      <c r="I253" s="2" t="str">
        <f>IFERROR(__xludf.DUMMYFUNCTION("GOOGLETRANSLATE(C253,""fr"",""en"")"),"Very bad consideration of the customer! it is shameful !")</f>
        <v>Very bad consideration of the customer! it is shameful !</v>
      </c>
    </row>
    <row r="254" ht="15.75" customHeight="1">
      <c r="A254" s="2">
        <v>5.0</v>
      </c>
      <c r="B254" s="2" t="s">
        <v>824</v>
      </c>
      <c r="C254" s="2" t="s">
        <v>825</v>
      </c>
      <c r="D254" s="2" t="s">
        <v>35</v>
      </c>
      <c r="E254" s="2" t="s">
        <v>36</v>
      </c>
      <c r="F254" s="2" t="s">
        <v>15</v>
      </c>
      <c r="G254" s="2" t="s">
        <v>208</v>
      </c>
      <c r="H254" s="2" t="s">
        <v>47</v>
      </c>
      <c r="I254" s="2" t="str">
        <f>IFERROR(__xludf.DUMMYFUNCTION("GOOGLETRANSLATE(C254,""fr"",""en"")"),"Khadija was very effective, kind and gave me all the expected answers. This was not the case the last time.
have my thanks
Madame HADEFI")</f>
        <v>Khadija was very effective, kind and gave me all the expected answers. This was not the case the last time.
have my thanks
Madame HADEFI</v>
      </c>
    </row>
    <row r="255" ht="15.75" customHeight="1">
      <c r="A255" s="2">
        <v>4.0</v>
      </c>
      <c r="B255" s="2" t="s">
        <v>826</v>
      </c>
      <c r="C255" s="2" t="s">
        <v>827</v>
      </c>
      <c r="D255" s="2" t="s">
        <v>30</v>
      </c>
      <c r="E255" s="2" t="s">
        <v>14</v>
      </c>
      <c r="F255" s="2" t="s">
        <v>15</v>
      </c>
      <c r="G255" s="2" t="s">
        <v>498</v>
      </c>
      <c r="H255" s="2" t="s">
        <v>52</v>
      </c>
      <c r="I255" s="2" t="str">
        <f>IFERROR(__xludf.DUMMYFUNCTION("GOOGLETRANSLATE(C255,""fr"",""en"")"),"At the start, I subscribed in 2019 my home insurance at € 300 which was very competitive. 2 years later, I pay 336.2 so 12% increase in 2 years while inflation is almost zero. During this period at this rate, I will have to change insurer again, too bad !"&amp;"!!")</f>
        <v>At the start, I subscribed in 2019 my home insurance at € 300 which was very competitive. 2 years later, I pay 336.2 so 12% increase in 2 years while inflation is almost zero. During this period at this rate, I will have to change insurer again, too bad !!!</v>
      </c>
    </row>
    <row r="256" ht="15.75" customHeight="1">
      <c r="A256" s="2">
        <v>1.0</v>
      </c>
      <c r="B256" s="2" t="s">
        <v>828</v>
      </c>
      <c r="C256" s="2" t="s">
        <v>829</v>
      </c>
      <c r="D256" s="2" t="s">
        <v>35</v>
      </c>
      <c r="E256" s="2" t="s">
        <v>36</v>
      </c>
      <c r="F256" s="2" t="s">
        <v>15</v>
      </c>
      <c r="G256" s="2" t="s">
        <v>830</v>
      </c>
      <c r="H256" s="2" t="s">
        <v>241</v>
      </c>
      <c r="I256" s="2" t="str">
        <f>IFERROR(__xludf.DUMMYFUNCTION("GOOGLETRANSLATE(C256,""fr"",""en"")"),"A shame. Do not comply with the conditions of termination taken into account by all other insurers.
Write off -provident contracts without any explanation and do feet and hands so as not to let yourself go.
TO FLEE")</f>
        <v>A shame. Do not comply with the conditions of termination taken into account by all other insurers.
Write off -provident contracts without any explanation and do feet and hands so as not to let yourself go.
TO FLEE</v>
      </c>
    </row>
    <row r="257" ht="15.75" customHeight="1">
      <c r="A257" s="2">
        <v>5.0</v>
      </c>
      <c r="B257" s="2" t="s">
        <v>831</v>
      </c>
      <c r="C257" s="2" t="s">
        <v>832</v>
      </c>
      <c r="D257" s="2" t="s">
        <v>145</v>
      </c>
      <c r="E257" s="2" t="s">
        <v>111</v>
      </c>
      <c r="F257" s="2" t="s">
        <v>15</v>
      </c>
      <c r="G257" s="2" t="s">
        <v>833</v>
      </c>
      <c r="H257" s="2" t="s">
        <v>834</v>
      </c>
      <c r="I257" s="2" t="str">
        <f>IFERROR(__xludf.DUMMYFUNCTION("GOOGLETRANSLATE(C257,""fr"",""en"")"),"Fast, efficient, internet subscription is a real plus. I have known this insurer since 1992. And I am still so satisfied")</f>
        <v>Fast, efficient, internet subscription is a real plus. I have known this insurer since 1992. And I am still so satisfied</v>
      </c>
    </row>
    <row r="258" ht="15.75" customHeight="1">
      <c r="A258" s="2">
        <v>4.0</v>
      </c>
      <c r="B258" s="2" t="s">
        <v>835</v>
      </c>
      <c r="C258" s="2" t="s">
        <v>836</v>
      </c>
      <c r="D258" s="2" t="s">
        <v>30</v>
      </c>
      <c r="E258" s="2" t="s">
        <v>14</v>
      </c>
      <c r="F258" s="2" t="s">
        <v>15</v>
      </c>
      <c r="G258" s="2" t="s">
        <v>381</v>
      </c>
      <c r="H258" s="2" t="s">
        <v>64</v>
      </c>
      <c r="I258" s="2" t="str">
        <f>IFERROR(__xludf.DUMMYFUNCTION("GOOGLETRANSLATE(C258,""fr"",""en"")"),"Too bad it is necessary to ""be canceled"" to join again in the event of a more favorable online quote from direct assistance.
Why not line up the new tariff conditions if the member makes the process?")</f>
        <v>Too bad it is necessary to "be canceled" to join again in the event of a more favorable online quote from direct assistance.
Why not line up the new tariff conditions if the member makes the process?</v>
      </c>
    </row>
    <row r="259" ht="15.75" customHeight="1">
      <c r="A259" s="2">
        <v>5.0</v>
      </c>
      <c r="B259" s="2" t="s">
        <v>837</v>
      </c>
      <c r="C259" s="2" t="s">
        <v>838</v>
      </c>
      <c r="D259" s="2" t="s">
        <v>30</v>
      </c>
      <c r="E259" s="2" t="s">
        <v>14</v>
      </c>
      <c r="F259" s="2" t="s">
        <v>15</v>
      </c>
      <c r="G259" s="2" t="s">
        <v>31</v>
      </c>
      <c r="H259" s="2" t="s">
        <v>32</v>
      </c>
      <c r="I259" s="2" t="str">
        <f>IFERROR(__xludf.DUMMYFUNCTION("GOOGLETRANSLATE(C259,""fr"",""en"")"),"I am satisfied prices attractive and interesting formulas? Small with all garage owners do not take the car with option vehicle option")</f>
        <v>I am satisfied prices attractive and interesting formulas? Small with all garage owners do not take the car with option vehicle option</v>
      </c>
    </row>
    <row r="260" ht="15.75" customHeight="1">
      <c r="A260" s="2">
        <v>3.0</v>
      </c>
      <c r="B260" s="2" t="s">
        <v>839</v>
      </c>
      <c r="C260" s="2" t="s">
        <v>840</v>
      </c>
      <c r="D260" s="2" t="s">
        <v>292</v>
      </c>
      <c r="E260" s="2" t="s">
        <v>14</v>
      </c>
      <c r="F260" s="2" t="s">
        <v>15</v>
      </c>
      <c r="G260" s="2" t="s">
        <v>841</v>
      </c>
      <c r="H260" s="2" t="s">
        <v>124</v>
      </c>
      <c r="I260" s="2" t="str">
        <f>IFERROR(__xludf.DUMMYFUNCTION("GOOGLETRANSLATE(C260,""fr"",""en"")"),"Very good assurance despite the fact that it terminates the contracts if you have a 4th accident (not responsible).
Otherwise the dependents in the event of an accident is always well unrolled.")</f>
        <v>Very good assurance despite the fact that it terminates the contracts if you have a 4th accident (not responsible).
Otherwise the dependents in the event of an accident is always well unrolled.</v>
      </c>
    </row>
    <row r="261" ht="15.75" customHeight="1">
      <c r="A261" s="2">
        <v>1.0</v>
      </c>
      <c r="B261" s="2" t="s">
        <v>842</v>
      </c>
      <c r="C261" s="2" t="s">
        <v>843</v>
      </c>
      <c r="D261" s="2" t="s">
        <v>224</v>
      </c>
      <c r="E261" s="2" t="s">
        <v>68</v>
      </c>
      <c r="F261" s="2" t="s">
        <v>15</v>
      </c>
      <c r="G261" s="2" t="s">
        <v>844</v>
      </c>
      <c r="H261" s="2" t="s">
        <v>32</v>
      </c>
      <c r="I261" s="2" t="str">
        <f>IFERROR(__xludf.DUMMYFUNCTION("GOOGLETRANSLATE(C261,""fr"",""en"")"),"PNO insurance with Immo+option.
Waiting for the management of the mortgage still not resolved.
Waiting for the costing of the water damage occurred for more than 18 months (incomprehensible)
Under estimates from the expert despite a quote in my possess"&amp;"ion (around 10,000 euros)
(Work 53,000 euros estimate 39,000 euros)
But on its one decoration of 5000 euros because I should have act before.
How to do knowing that I did not access the Tribunal Paper House.
But to finish their bad time to pay for the"&amp;"ir duty as insurers
To unlock the rest of the IL asks me the detailed invoices
Knowing that I send them the papers by email as soon as the company is deposit invoices which does the work of even quotes.
And to finish impossible to contact them you ha"&amp;"ve to harassed to have someone (send a more phone email)
So in the end change of insurance later.
To avoid
")</f>
        <v>PNO insurance with Immo+option.
Waiting for the management of the mortgage still not resolved.
Waiting for the costing of the water damage occurred for more than 18 months (incomprehensible)
Under estimates from the expert despite a quote in my possession (around 10,000 euros)
(Work 53,000 euros estimate 39,000 euros)
But on its one decoration of 5000 euros because I should have act before.
How to do knowing that I did not access the Tribunal Paper House.
But to finish their bad time to pay for their duty as insurers
To unlock the rest of the IL asks me the detailed invoices
Knowing that I send them the papers by email as soon as the company is deposit invoices which does the work of even quotes.
And to finish impossible to contact them you have to harassed to have someone (send a more phone email)
So in the end change of insurance later.
To avoid
</v>
      </c>
    </row>
    <row r="262" ht="15.75" customHeight="1">
      <c r="A262" s="2">
        <v>4.0</v>
      </c>
      <c r="B262" s="2" t="s">
        <v>845</v>
      </c>
      <c r="C262" s="2" t="s">
        <v>846</v>
      </c>
      <c r="D262" s="2" t="s">
        <v>50</v>
      </c>
      <c r="E262" s="2" t="s">
        <v>14</v>
      </c>
      <c r="F262" s="2" t="s">
        <v>15</v>
      </c>
      <c r="G262" s="2" t="s">
        <v>682</v>
      </c>
      <c r="H262" s="2" t="s">
        <v>64</v>
      </c>
      <c r="I262" s="2" t="str">
        <f>IFERROR(__xludf.DUMMYFUNCTION("GOOGLETRANSLATE(C262,""fr"",""en"")"),"My interlocutor on the phone was very friendly, a clear and pleasant voice.
I hope to be satisfied with your services in use or rather not to have to involve you ...!")</f>
        <v>My interlocutor on the phone was very friendly, a clear and pleasant voice.
I hope to be satisfied with your services in use or rather not to have to involve you ...!</v>
      </c>
    </row>
    <row r="263" ht="15.75" customHeight="1">
      <c r="A263" s="2">
        <v>3.0</v>
      </c>
      <c r="B263" s="2" t="s">
        <v>847</v>
      </c>
      <c r="C263" s="2" t="s">
        <v>848</v>
      </c>
      <c r="D263" s="2" t="s">
        <v>30</v>
      </c>
      <c r="E263" s="2" t="s">
        <v>14</v>
      </c>
      <c r="F263" s="2" t="s">
        <v>15</v>
      </c>
      <c r="G263" s="2" t="s">
        <v>433</v>
      </c>
      <c r="H263" s="2" t="s">
        <v>199</v>
      </c>
      <c r="I263" s="2" t="str">
        <f>IFERROR(__xludf.DUMMYFUNCTION("GOOGLETRANSLATE(C263,""fr"",""en"")"),"Very easy to use this point will allow me to finalize my choice. My approach requires checking competitive offers so your price positioning will be confirmed")</f>
        <v>Very easy to use this point will allow me to finalize my choice. My approach requires checking competitive offers so your price positioning will be confirmed</v>
      </c>
    </row>
    <row r="264" ht="15.75" customHeight="1">
      <c r="A264" s="2">
        <v>1.0</v>
      </c>
      <c r="B264" s="2" t="s">
        <v>849</v>
      </c>
      <c r="C264" s="2" t="s">
        <v>850</v>
      </c>
      <c r="D264" s="2" t="s">
        <v>145</v>
      </c>
      <c r="E264" s="2" t="s">
        <v>111</v>
      </c>
      <c r="F264" s="2" t="s">
        <v>15</v>
      </c>
      <c r="G264" s="2" t="s">
        <v>851</v>
      </c>
      <c r="H264" s="2" t="s">
        <v>834</v>
      </c>
      <c r="I264" s="2" t="str">
        <f>IFERROR(__xludf.DUMMYFUNCTION("GOOGLETRANSLATE(C264,""fr"",""en"")"),"Very bad service, total absence of customer service concept No concept of quality service. Unable to terminate in a simple and amicable manner even by renouncing the partial reimbursement of the premium.
Very random telephone reception
Methodology of th"&amp;"e 80s insurer, which consists in continuing the tacit renewal contract.
What the law says: Article L 113-12 of the Insurance Code
The insured has the right to terminate the contract at the end of a period of one year, by sending a registered letter to"&amp;" the insurer at least two months before the maturity date. The right to terminate the contract every year must be recalled in each police. The termination period runs from the date on the postmark.
 that we explain to me what I did not understand in this"&amp;" text and that we put an end to this novel")</f>
        <v>Very bad service, total absence of customer service concept No concept of quality service. Unable to terminate in a simple and amicable manner even by renouncing the partial reimbursement of the premium.
Very random telephone reception
Methodology of the 80s insurer, which consists in continuing the tacit renewal contract.
What the law says: Article L 113-12 of the Insurance Code
The insured has the right to terminate the contract at the end of a period of one year, by sending a registered letter to the insurer at least two months before the maturity date. The right to terminate the contract every year must be recalled in each police. The termination period runs from the date on the postmark.
 that we explain to me what I did not understand in this text and that we put an end to this novel</v>
      </c>
    </row>
    <row r="265" ht="15.75" customHeight="1">
      <c r="A265" s="2">
        <v>5.0</v>
      </c>
      <c r="B265" s="2" t="s">
        <v>852</v>
      </c>
      <c r="C265" s="2" t="s">
        <v>853</v>
      </c>
      <c r="D265" s="2" t="s">
        <v>30</v>
      </c>
      <c r="E265" s="2" t="s">
        <v>14</v>
      </c>
      <c r="F265" s="2" t="s">
        <v>15</v>
      </c>
      <c r="G265" s="2" t="s">
        <v>492</v>
      </c>
      <c r="H265" s="2" t="s">
        <v>64</v>
      </c>
      <c r="I265" s="2" t="str">
        <f>IFERROR(__xludf.DUMMYFUNCTION("GOOGLETRANSLATE(C265,""fr"",""en"")"),"The prices suit me ... I have realized several quotes online and it is with you that I decidz to contract this contract. I would like to be able to take the mias box, I don't sias if my car has a catch")</f>
        <v>The prices suit me ... I have realized several quotes online and it is with you that I decidz to contract this contract. I would like to be able to take the mias box, I don't sias if my car has a catch</v>
      </c>
    </row>
    <row r="266" ht="15.75" customHeight="1">
      <c r="A266" s="2">
        <v>1.0</v>
      </c>
      <c r="B266" s="2" t="s">
        <v>854</v>
      </c>
      <c r="C266" s="2" t="s">
        <v>855</v>
      </c>
      <c r="D266" s="2" t="s">
        <v>134</v>
      </c>
      <c r="E266" s="2" t="s">
        <v>36</v>
      </c>
      <c r="F266" s="2" t="s">
        <v>15</v>
      </c>
      <c r="G266" s="2" t="s">
        <v>787</v>
      </c>
      <c r="H266" s="2" t="s">
        <v>43</v>
      </c>
      <c r="I266" s="2" t="str">
        <f>IFERROR(__xludf.DUMMYFUNCTION("GOOGLETRANSLATE(C266,""fr"",""en"")")," Forced sale by phone. A person calls you to pretend to be the intermediary of your mutual insurance company, and makes you signed an electronically contract without you realizing it. Obviously, nor knowing nothing, I exceeded the withdrawal period. How c"&amp;"an I terminate this contract? If I understood correctly, I have it for a year of sample! For the moment I have opposed my bank")</f>
        <v> Forced sale by phone. A person calls you to pretend to be the intermediary of your mutual insurance company, and makes you signed an electronically contract without you realizing it. Obviously, nor knowing nothing, I exceeded the withdrawal period. How can I terminate this contract? If I understood correctly, I have it for a year of sample! For the moment I have opposed my bank</v>
      </c>
    </row>
    <row r="267" ht="15.75" customHeight="1">
      <c r="A267" s="2">
        <v>1.0</v>
      </c>
      <c r="B267" s="2" t="s">
        <v>856</v>
      </c>
      <c r="C267" s="2" t="s">
        <v>857</v>
      </c>
      <c r="D267" s="2" t="s">
        <v>50</v>
      </c>
      <c r="E267" s="2" t="s">
        <v>14</v>
      </c>
      <c r="F267" s="2" t="s">
        <v>15</v>
      </c>
      <c r="G267" s="2" t="s">
        <v>95</v>
      </c>
      <c r="H267" s="2" t="s">
        <v>96</v>
      </c>
      <c r="I267" s="2" t="str">
        <f>IFERROR(__xludf.DUMMYFUNCTION("GOOGLETRANSLATE(C267,""fr"",""en"")"),"Flee quickly !!!! : I terminate my contract in December 2017 (Chatel law) and well on January 05 My account is debited for 659 euros ??? I am told that it is completely normal and especially not to worry I will be reimbursed. When ? I am answered: maybe n"&amp;"ext weekend !!!! absolutely scandalous. Would the olive tree take care of bank agios ??? I'd be surprised")</f>
        <v>Flee quickly !!!! : I terminate my contract in December 2017 (Chatel law) and well on January 05 My account is debited for 659 euros ??? I am told that it is completely normal and especially not to worry I will be reimbursed. When ? I am answered: maybe next weekend !!!! absolutely scandalous. Would the olive tree take care of bank agios ??? I'd be surprised</v>
      </c>
    </row>
    <row r="268" ht="15.75" customHeight="1">
      <c r="A268" s="2">
        <v>1.0</v>
      </c>
      <c r="B268" s="2" t="s">
        <v>858</v>
      </c>
      <c r="C268" s="2" t="s">
        <v>859</v>
      </c>
      <c r="D268" s="2" t="s">
        <v>292</v>
      </c>
      <c r="E268" s="2" t="s">
        <v>14</v>
      </c>
      <c r="F268" s="2" t="s">
        <v>15</v>
      </c>
      <c r="G268" s="2" t="s">
        <v>860</v>
      </c>
      <c r="H268" s="2" t="s">
        <v>566</v>
      </c>
      <c r="I268" s="2" t="str">
        <f>IFERROR(__xludf.DUMMYFUNCTION("GOOGLETRANSLATE(C268,""fr"",""en"")"),"No professional, contract terminated for non -payment after only two months, impossible to negotiate, obligation to pay for the half of the year where you are terminated your contract ... anything.")</f>
        <v>No professional, contract terminated for non -payment after only two months, impossible to negotiate, obligation to pay for the half of the year where you are terminated your contract ... anything.</v>
      </c>
    </row>
    <row r="269" ht="15.75" customHeight="1">
      <c r="A269" s="2">
        <v>3.0</v>
      </c>
      <c r="B269" s="2" t="s">
        <v>861</v>
      </c>
      <c r="C269" s="2" t="s">
        <v>862</v>
      </c>
      <c r="D269" s="2" t="s">
        <v>30</v>
      </c>
      <c r="E269" s="2" t="s">
        <v>14</v>
      </c>
      <c r="F269" s="2" t="s">
        <v>15</v>
      </c>
      <c r="G269" s="2" t="s">
        <v>863</v>
      </c>
      <c r="H269" s="2" t="s">
        <v>107</v>
      </c>
      <c r="I269" s="2" t="str">
        <f>IFERROR(__xludf.DUMMYFUNCTION("GOOGLETRANSLATE(C269,""fr"",""en"")"),"Rather satisfied with prices and speed of execution. To see in terms of long -term guarantees. Impossible to judge for the moment without having to use the insurance")</f>
        <v>Rather satisfied with prices and speed of execution. To see in terms of long -term guarantees. Impossible to judge for the moment without having to use the insurance</v>
      </c>
    </row>
    <row r="270" ht="15.75" customHeight="1">
      <c r="A270" s="2">
        <v>4.0</v>
      </c>
      <c r="B270" s="2" t="s">
        <v>864</v>
      </c>
      <c r="C270" s="2" t="s">
        <v>865</v>
      </c>
      <c r="D270" s="2" t="s">
        <v>50</v>
      </c>
      <c r="E270" s="2" t="s">
        <v>14</v>
      </c>
      <c r="F270" s="2" t="s">
        <v>15</v>
      </c>
      <c r="G270" s="2" t="s">
        <v>866</v>
      </c>
      <c r="H270" s="2" t="s">
        <v>38</v>
      </c>
      <c r="I270" s="2" t="str">
        <f>IFERROR(__xludf.DUMMYFUNCTION("GOOGLETRANSLATE(C270,""fr"",""en"")"),"OK for prices
I'm very happy
Customer service is exceptional
Thank you again for your customer listening and your professionalism
Do not change anything thank you")</f>
        <v>OK for prices
I'm very happy
Customer service is exceptional
Thank you again for your customer listening and your professionalism
Do not change anything thank you</v>
      </c>
    </row>
    <row r="271" ht="15.75" customHeight="1">
      <c r="A271" s="2">
        <v>4.0</v>
      </c>
      <c r="B271" s="2" t="s">
        <v>867</v>
      </c>
      <c r="C271" s="2" t="s">
        <v>868</v>
      </c>
      <c r="D271" s="2" t="s">
        <v>30</v>
      </c>
      <c r="E271" s="2" t="s">
        <v>14</v>
      </c>
      <c r="F271" s="2" t="s">
        <v>15</v>
      </c>
      <c r="G271" s="2" t="s">
        <v>869</v>
      </c>
      <c r="H271" s="2" t="s">
        <v>107</v>
      </c>
      <c r="I271" s="2" t="str">
        <f>IFERROR(__xludf.DUMMYFUNCTION("GOOGLETRANSLATE(C271,""fr"",""en"")"),"Simplicity of operation. Easy information to fill. The prices are more than correct and it is the same for the options. Fast service. To see with time ...")</f>
        <v>Simplicity of operation. Easy information to fill. The prices are more than correct and it is the same for the options. Fast service. To see with time ...</v>
      </c>
    </row>
    <row r="272" ht="15.75" customHeight="1">
      <c r="A272" s="2">
        <v>4.0</v>
      </c>
      <c r="B272" s="2" t="s">
        <v>870</v>
      </c>
      <c r="C272" s="2" t="s">
        <v>871</v>
      </c>
      <c r="D272" s="2" t="s">
        <v>35</v>
      </c>
      <c r="E272" s="2" t="s">
        <v>36</v>
      </c>
      <c r="F272" s="2" t="s">
        <v>15</v>
      </c>
      <c r="G272" s="2" t="s">
        <v>872</v>
      </c>
      <c r="H272" s="2" t="s">
        <v>38</v>
      </c>
      <c r="I272" s="2" t="str">
        <f>IFERROR(__xludf.DUMMYFUNCTION("GOOGLETRANSLATE(C272,""fr"",""en"")"),"Very warm welcome from Lissa on the phone. She advised me well and oriented on my Lissa questions is a listening person and explains the steps one by one. Thank you.")</f>
        <v>Very warm welcome from Lissa on the phone. She advised me well and oriented on my Lissa questions is a listening person and explains the steps one by one. Thank you.</v>
      </c>
    </row>
    <row r="273" ht="15.75" customHeight="1">
      <c r="A273" s="2">
        <v>3.0</v>
      </c>
      <c r="B273" s="2" t="s">
        <v>873</v>
      </c>
      <c r="C273" s="2" t="s">
        <v>874</v>
      </c>
      <c r="D273" s="2" t="s">
        <v>329</v>
      </c>
      <c r="E273" s="2" t="s">
        <v>111</v>
      </c>
      <c r="F273" s="2" t="s">
        <v>15</v>
      </c>
      <c r="G273" s="2" t="s">
        <v>875</v>
      </c>
      <c r="H273" s="2" t="s">
        <v>305</v>
      </c>
      <c r="I273" s="2" t="str">
        <f>IFERROR(__xludf.DUMMYFUNCTION("GOOGLETRANSLATE(C273,""fr"",""en"")"),"Coming for a quote, but unfortunately the Macif is not at all competitive. 2 times more expensive than competition ...........................................")</f>
        <v>Coming for a quote, but unfortunately the Macif is not at all competitive. 2 times more expensive than competition ...........................................</v>
      </c>
    </row>
    <row r="274" ht="15.75" customHeight="1">
      <c r="A274" s="2">
        <v>3.0</v>
      </c>
      <c r="B274" s="2" t="s">
        <v>876</v>
      </c>
      <c r="C274" s="2" t="s">
        <v>877</v>
      </c>
      <c r="D274" s="2" t="s">
        <v>416</v>
      </c>
      <c r="E274" s="2" t="s">
        <v>116</v>
      </c>
      <c r="F274" s="2" t="s">
        <v>15</v>
      </c>
      <c r="G274" s="2" t="s">
        <v>878</v>
      </c>
      <c r="H274" s="2" t="s">
        <v>468</v>
      </c>
      <c r="I274" s="2" t="str">
        <f>IFERROR(__xludf.DUMMYFUNCTION("GOOGLETRANSLATE(C274,""fr"",""en"")"),"Having received life insurance within the framework of an inheritance, I applied for buyout. The first time it was not treated (forgetting or computer concern), but when I relaunched them I finally received the funds in just over 2 weeks. I was very worri"&amp;"ed when I saw the comments on this site, but despite everything I think we can trust them. They just don't have very good customer service.")</f>
        <v>Having received life insurance within the framework of an inheritance, I applied for buyout. The first time it was not treated (forgetting or computer concern), but when I relaunched them I finally received the funds in just over 2 weeks. I was very worried when I saw the comments on this site, but despite everything I think we can trust them. They just don't have very good customer service.</v>
      </c>
    </row>
    <row r="275" ht="15.75" customHeight="1">
      <c r="A275" s="2">
        <v>2.0</v>
      </c>
      <c r="B275" s="2" t="s">
        <v>879</v>
      </c>
      <c r="C275" s="2" t="s">
        <v>880</v>
      </c>
      <c r="D275" s="2" t="s">
        <v>141</v>
      </c>
      <c r="E275" s="2" t="s">
        <v>68</v>
      </c>
      <c r="F275" s="2" t="s">
        <v>15</v>
      </c>
      <c r="G275" s="2" t="s">
        <v>881</v>
      </c>
      <c r="H275" s="2" t="s">
        <v>150</v>
      </c>
      <c r="I275" s="2" t="str">
        <f>IFERROR(__xludf.DUMMYFUNCTION("GOOGLETRANSLATE(C275,""fr"",""en"")"),"Totally agree with other negative opinions.
I will change insurance.
It has been 45 years since I was a member.
Here are 2 claims where I pay reparations without a sub -compensation.
Example: a storm raises and breaks tiles on the roof of the house.
"&amp;"Dechus 400 E. 350 e franchise
Therefore compensation provided for 50 th
I send photos and copy of the weather bulletin. Answer: Designation of an expert who claims 2 quotes and a certificate from the mayor that there was a storm.
Refusal of the mayor w"&amp;"ho sends me back to the France Météo Bulletin ...
Given the emergency, the replacement of the tiles is done and paid without quotes.
We turn arround.
Conclusion: I made a cross on the 50th
So no actual risk coverage!")</f>
        <v>Totally agree with other negative opinions.
I will change insurance.
It has been 45 years since I was a member.
Here are 2 claims where I pay reparations without a sub -compensation.
Example: a storm raises and breaks tiles on the roof of the house.
Dechus 400 E. 350 e franchise
Therefore compensation provided for 50 th
I send photos and copy of the weather bulletin. Answer: Designation of an expert who claims 2 quotes and a certificate from the mayor that there was a storm.
Refusal of the mayor who sends me back to the France Météo Bulletin ...
Given the emergency, the replacement of the tiles is done and paid without quotes.
We turn arround.
Conclusion: I made a cross on the 50th
So no actual risk coverage!</v>
      </c>
    </row>
    <row r="276" ht="15.75" customHeight="1">
      <c r="A276" s="2">
        <v>2.0</v>
      </c>
      <c r="B276" s="2" t="s">
        <v>882</v>
      </c>
      <c r="C276" s="2" t="s">
        <v>883</v>
      </c>
      <c r="D276" s="2" t="s">
        <v>50</v>
      </c>
      <c r="E276" s="2" t="s">
        <v>14</v>
      </c>
      <c r="F276" s="2" t="s">
        <v>15</v>
      </c>
      <c r="G276" s="2" t="s">
        <v>884</v>
      </c>
      <c r="H276" s="2" t="s">
        <v>107</v>
      </c>
      <c r="I276" s="2" t="str">
        <f>IFERROR(__xludf.DUMMYFUNCTION("GOOGLETRANSLATE(C276,""fr"",""en"")"),"Insurance at fuiiiiiiiir !!!!
Price level It stands out quite well from other insurances. But on the other hand reflect at 10 times before you start with the olive tree !!!
You have a sinister = you are dead !!! = no refund or anything at all (even bein"&amp;"g assured of all risks)!
Attention !!
Worst insurance that I had in 30 years of permit.")</f>
        <v>Insurance at fuiiiiiiiir !!!!
Price level It stands out quite well from other insurances. But on the other hand reflect at 10 times before you start with the olive tree !!!
You have a sinister = you are dead !!! = no refund or anything at all (even being assured of all risks)!
Attention !!
Worst insurance that I had in 30 years of permit.</v>
      </c>
    </row>
    <row r="277" ht="15.75" customHeight="1">
      <c r="A277" s="2">
        <v>1.0</v>
      </c>
      <c r="B277" s="2" t="s">
        <v>885</v>
      </c>
      <c r="C277" s="2" t="s">
        <v>886</v>
      </c>
      <c r="D277" s="2" t="s">
        <v>219</v>
      </c>
      <c r="E277" s="2" t="s">
        <v>14</v>
      </c>
      <c r="F277" s="2" t="s">
        <v>15</v>
      </c>
      <c r="G277" s="2" t="s">
        <v>778</v>
      </c>
      <c r="H277" s="2" t="s">
        <v>43</v>
      </c>
      <c r="I277" s="2" t="str">
        <f>IFERROR(__xludf.DUMMYFUNCTION("GOOGLETRANSLATE(C277,""fr"",""en"")"),"My father assured his car at E Allianz. He had a claim in November. The expert said he had made a false statement by putting that it was a third party who had damaged his car. But I know he didn't lie. In addition, it is in any risk. As my father is in in"&amp;"tensive care, I took up the file. The customer service that I contacted 4 times, could only tell me during the first phone call that a manager was studying the so -called anomaly file. At each call, customer service takes my number and tells me that I wil"&amp;"l be contacted by the manager to explain the situation. But the manager never contacts me. During the latest calls, customer service was below everything by hanging up on the nose.
I really have the impression that this insurance uses the poor health of "&amp;"my father so as not to answer me and not pay.
I tell you:
Flee this insurance, customer service below everything: Zero Pointe
This insurance has no consideration for its customers.
")</f>
        <v>My father assured his car at E Allianz. He had a claim in November. The expert said he had made a false statement by putting that it was a third party who had damaged his car. But I know he didn't lie. In addition, it is in any risk. As my father is in intensive care, I took up the file. The customer service that I contacted 4 times, could only tell me during the first phone call that a manager was studying the so -called anomaly file. At each call, customer service takes my number and tells me that I will be contacted by the manager to explain the situation. But the manager never contacts me. During the latest calls, customer service was below everything by hanging up on the nose.
I really have the impression that this insurance uses the poor health of my father so as not to answer me and not pay.
I tell you:
Flee this insurance, customer service below everything: Zero Pointe
This insurance has no consideration for its customers.
</v>
      </c>
    </row>
    <row r="278" ht="15.75" customHeight="1">
      <c r="A278" s="2">
        <v>3.0</v>
      </c>
      <c r="B278" s="2" t="s">
        <v>887</v>
      </c>
      <c r="C278" s="2" t="s">
        <v>888</v>
      </c>
      <c r="D278" s="2" t="s">
        <v>296</v>
      </c>
      <c r="E278" s="2" t="s">
        <v>14</v>
      </c>
      <c r="F278" s="2" t="s">
        <v>15</v>
      </c>
      <c r="G278" s="2" t="s">
        <v>730</v>
      </c>
      <c r="H278" s="2" t="s">
        <v>159</v>
      </c>
      <c r="I278" s="2" t="str">
        <f>IFERROR(__xludf.DUMMYFUNCTION("GOOGLETRANSLATE(C278,""fr"",""en"")"),"I am satisfied at the moment because I pay less. I don't have a problem with you. You are a pleasant service. Stay as you are right now thank you.")</f>
        <v>I am satisfied at the moment because I pay less. I don't have a problem with you. You are a pleasant service. Stay as you are right now thank you.</v>
      </c>
    </row>
    <row r="279" ht="15.75" customHeight="1">
      <c r="A279" s="2">
        <v>1.0</v>
      </c>
      <c r="B279" s="2" t="s">
        <v>889</v>
      </c>
      <c r="C279" s="2" t="s">
        <v>890</v>
      </c>
      <c r="D279" s="2" t="s">
        <v>145</v>
      </c>
      <c r="E279" s="2" t="s">
        <v>111</v>
      </c>
      <c r="F279" s="2" t="s">
        <v>15</v>
      </c>
      <c r="G279" s="2" t="s">
        <v>891</v>
      </c>
      <c r="H279" s="2" t="s">
        <v>237</v>
      </c>
      <c r="I279" s="2" t="str">
        <f>IFERROR(__xludf.DUMMYFUNCTION("GOOGLETRANSLATE(C279,""fr"",""en"")"),"In dispute since the flight of my scooter in November 2016 This insurer is really to be avoided. Attractive price certainly but big hassle in the event of a dispute. Deception on estimates and above all take care of the particularities which are obviously"&amp;" not indicated during the first contact with the operators ....")</f>
        <v>In dispute since the flight of my scooter in November 2016 This insurer is really to be avoided. Attractive price certainly but big hassle in the event of a dispute. Deception on estimates and above all take care of the particularities which are obviously not indicated during the first contact with the operators ....</v>
      </c>
    </row>
    <row r="280" ht="15.75" customHeight="1">
      <c r="A280" s="2">
        <v>5.0</v>
      </c>
      <c r="B280" s="2" t="s">
        <v>892</v>
      </c>
      <c r="C280" s="2" t="s">
        <v>893</v>
      </c>
      <c r="D280" s="2" t="s">
        <v>50</v>
      </c>
      <c r="E280" s="2" t="s">
        <v>14</v>
      </c>
      <c r="F280" s="2" t="s">
        <v>15</v>
      </c>
      <c r="G280" s="2" t="s">
        <v>894</v>
      </c>
      <c r="H280" s="2" t="s">
        <v>159</v>
      </c>
      <c r="I280" s="2" t="str">
        <f>IFERROR(__xludf.DUMMYFUNCTION("GOOGLETRANSLATE(C280,""fr"",""en"")"),"I very satisfied with the price which is very good and with a very high speed of the processing of the very real file and a very good customer relations thank you")</f>
        <v>I very satisfied with the price which is very good and with a very high speed of the processing of the very real file and a very good customer relations thank you</v>
      </c>
    </row>
    <row r="281" ht="15.75" customHeight="1">
      <c r="A281" s="2">
        <v>5.0</v>
      </c>
      <c r="B281" s="2" t="s">
        <v>895</v>
      </c>
      <c r="C281" s="2" t="s">
        <v>896</v>
      </c>
      <c r="D281" s="2" t="s">
        <v>50</v>
      </c>
      <c r="E281" s="2" t="s">
        <v>14</v>
      </c>
      <c r="F281" s="2" t="s">
        <v>15</v>
      </c>
      <c r="G281" s="2" t="s">
        <v>745</v>
      </c>
      <c r="H281" s="2" t="s">
        <v>159</v>
      </c>
      <c r="I281" s="2" t="str">
        <f>IFERROR(__xludf.DUMMYFUNCTION("GOOGLETRANSLATE(C281,""fr"",""en"")"),"Sympathetic and clear person on the phone (Samantha) nothing to complain about, correct price. Makeover of facilities to connect to their personal account.")</f>
        <v>Sympathetic and clear person on the phone (Samantha) nothing to complain about, correct price. Makeover of facilities to connect to their personal account.</v>
      </c>
    </row>
    <row r="282" ht="15.75" customHeight="1">
      <c r="A282" s="2">
        <v>2.0</v>
      </c>
      <c r="B282" s="2" t="s">
        <v>897</v>
      </c>
      <c r="C282" s="2" t="s">
        <v>898</v>
      </c>
      <c r="D282" s="2" t="s">
        <v>25</v>
      </c>
      <c r="E282" s="2" t="s">
        <v>68</v>
      </c>
      <c r="F282" s="2" t="s">
        <v>15</v>
      </c>
      <c r="G282" s="2" t="s">
        <v>899</v>
      </c>
      <c r="H282" s="2" t="s">
        <v>298</v>
      </c>
      <c r="I282" s="2" t="str">
        <f>IFERROR(__xludf.DUMMYFUNCTION("GOOGLETRANSLATE(C282,""fr"",""en"")"),"Sinister of May 16, 2014 following the fire of my car the buildings have been affected since that day no expert reports or reimbursement of buildings and stocks of burned rooms")</f>
        <v>Sinister of May 16, 2014 following the fire of my car the buildings have been affected since that day no expert reports or reimbursement of buildings and stocks of burned rooms</v>
      </c>
    </row>
    <row r="283" ht="15.75" customHeight="1">
      <c r="A283" s="2">
        <v>4.0</v>
      </c>
      <c r="B283" s="2" t="s">
        <v>900</v>
      </c>
      <c r="C283" s="2" t="s">
        <v>901</v>
      </c>
      <c r="D283" s="2" t="s">
        <v>50</v>
      </c>
      <c r="E283" s="2" t="s">
        <v>14</v>
      </c>
      <c r="F283" s="2" t="s">
        <v>15</v>
      </c>
      <c r="G283" s="2" t="s">
        <v>31</v>
      </c>
      <c r="H283" s="2" t="s">
        <v>32</v>
      </c>
      <c r="I283" s="2" t="str">
        <f>IFERROR(__xludf.DUMMYFUNCTION("GOOGLETRANSLATE(C283,""fr"",""en"")"),"Satisfied good communication and fast reasonable rates
I recommend Olivier Assurances Top Level Budget and its very clear in communication")</f>
        <v>Satisfied good communication and fast reasonable rates
I recommend Olivier Assurances Top Level Budget and its very clear in communication</v>
      </c>
    </row>
    <row r="284" ht="15.75" customHeight="1">
      <c r="A284" s="2">
        <v>4.0</v>
      </c>
      <c r="B284" s="2" t="s">
        <v>902</v>
      </c>
      <c r="C284" s="2" t="s">
        <v>903</v>
      </c>
      <c r="D284" s="2" t="s">
        <v>30</v>
      </c>
      <c r="E284" s="2" t="s">
        <v>14</v>
      </c>
      <c r="F284" s="2" t="s">
        <v>15</v>
      </c>
      <c r="G284" s="2" t="s">
        <v>904</v>
      </c>
      <c r="H284" s="2" t="s">
        <v>107</v>
      </c>
      <c r="I284" s="2" t="str">
        <f>IFERROR(__xludf.DUMMYFUNCTION("GOOGLETRANSLATE(C284,""fr"",""en"")"),"I am satisfied with the proposed price.
simple and fast
This is my third contract with Satifction
The telephone service is also satisfactory.")</f>
        <v>I am satisfied with the proposed price.
simple and fast
This is my third contract with Satifction
The telephone service is also satisfactory.</v>
      </c>
    </row>
    <row r="285" ht="15.75" customHeight="1">
      <c r="A285" s="2">
        <v>2.0</v>
      </c>
      <c r="B285" s="2" t="s">
        <v>905</v>
      </c>
      <c r="C285" s="2" t="s">
        <v>906</v>
      </c>
      <c r="D285" s="2" t="s">
        <v>20</v>
      </c>
      <c r="E285" s="2" t="s">
        <v>14</v>
      </c>
      <c r="F285" s="2" t="s">
        <v>15</v>
      </c>
      <c r="G285" s="2" t="s">
        <v>907</v>
      </c>
      <c r="H285" s="2" t="s">
        <v>70</v>
      </c>
      <c r="I285" s="2" t="str">
        <f>IFERROR(__xludf.DUMMYFUNCTION("GOOGLETRANSLATE(C285,""fr"",""en"")"),"run away,!!!!
Despite my reimbursement complaints for an unlikely contract they make the ostriches!
They owe me 250 euros")</f>
        <v>run away,!!!!
Despite my reimbursement complaints for an unlikely contract they make the ostriches!
They owe me 250 euros</v>
      </c>
    </row>
    <row r="286" ht="15.75" customHeight="1">
      <c r="A286" s="2">
        <v>2.0</v>
      </c>
      <c r="B286" s="2" t="s">
        <v>908</v>
      </c>
      <c r="C286" s="2" t="s">
        <v>909</v>
      </c>
      <c r="D286" s="2" t="s">
        <v>67</v>
      </c>
      <c r="E286" s="2" t="s">
        <v>68</v>
      </c>
      <c r="F286" s="2" t="s">
        <v>15</v>
      </c>
      <c r="G286" s="2" t="s">
        <v>910</v>
      </c>
      <c r="H286" s="2" t="s">
        <v>911</v>
      </c>
      <c r="I286" s="2" t="str">
        <f>IFERROR(__xludf.DUMMYFUNCTION("GOOGLETRANSLATE(C286,""fr"",""en"")"),"Hello
After 21 minutes of waiting on the phone for the sinister service still no one at the end of the son for a declaration of a claim. Knowing that it
Photo in support of the phone is open until 3 p.m.")</f>
        <v>Hello
After 21 minutes of waiting on the phone for the sinister service still no one at the end of the son for a declaration of a claim. Knowing that it
Photo in support of the phone is open until 3 p.m.</v>
      </c>
    </row>
    <row r="287" ht="15.75" customHeight="1">
      <c r="A287" s="2">
        <v>5.0</v>
      </c>
      <c r="B287" s="2" t="s">
        <v>912</v>
      </c>
      <c r="C287" s="2" t="s">
        <v>913</v>
      </c>
      <c r="D287" s="2" t="s">
        <v>481</v>
      </c>
      <c r="E287" s="2" t="s">
        <v>111</v>
      </c>
      <c r="F287" s="2" t="s">
        <v>15</v>
      </c>
      <c r="G287" s="2" t="s">
        <v>264</v>
      </c>
      <c r="H287" s="2" t="s">
        <v>38</v>
      </c>
      <c r="I287" s="2" t="str">
        <f>IFERROR(__xludf.DUMMYFUNCTION("GOOGLETRANSLATE(C287,""fr"",""en"")"),"Very satisfied with the service and the recommended very practical and simple fast online the price and inexpensive and suitable I recommend it thank you")</f>
        <v>Very satisfied with the service and the recommended very practical and simple fast online the price and inexpensive and suitable I recommend it thank you</v>
      </c>
    </row>
    <row r="288" ht="15.75" customHeight="1">
      <c r="A288" s="2">
        <v>4.0</v>
      </c>
      <c r="B288" s="2" t="s">
        <v>914</v>
      </c>
      <c r="C288" s="2" t="s">
        <v>915</v>
      </c>
      <c r="D288" s="2" t="s">
        <v>50</v>
      </c>
      <c r="E288" s="2" t="s">
        <v>14</v>
      </c>
      <c r="F288" s="2" t="s">
        <v>15</v>
      </c>
      <c r="G288" s="2" t="s">
        <v>55</v>
      </c>
      <c r="H288" s="2" t="s">
        <v>38</v>
      </c>
      <c r="I288" s="2" t="str">
        <f>IFERROR(__xludf.DUMMYFUNCTION("GOOGLETRANSLATE(C288,""fr"",""en"")"),"Reactive service and reasonable price. I recommend for a young driver. The guarantees are well suited to my STAUMMENT and the price is really interesting.
")</f>
        <v>Reactive service and reasonable price. I recommend for a young driver. The guarantees are well suited to my STAUMMENT and the price is really interesting.
</v>
      </c>
    </row>
    <row r="289" ht="15.75" customHeight="1">
      <c r="A289" s="2">
        <v>1.0</v>
      </c>
      <c r="B289" s="2" t="s">
        <v>916</v>
      </c>
      <c r="C289" s="2" t="s">
        <v>917</v>
      </c>
      <c r="D289" s="2" t="s">
        <v>219</v>
      </c>
      <c r="E289" s="2" t="s">
        <v>14</v>
      </c>
      <c r="F289" s="2" t="s">
        <v>15</v>
      </c>
      <c r="G289" s="2" t="s">
        <v>918</v>
      </c>
      <c r="H289" s="2" t="s">
        <v>424</v>
      </c>
      <c r="I289" s="2" t="str">
        <f>IFERROR(__xludf.DUMMYFUNCTION("GOOGLETRANSLATE(C289,""fr"",""en"")"),"Ensure for almost 2 years by paying more than 100 € per month for a whole risk with my car. I had a sinister with someone who threatened me to kill myself and who obviously refused to fill out an observation. Result, complaint in support with condemnation"&amp;" of the magistrate and accident recognized not in wrong. But being given that the third of this person does not answer this accident he recognizes me 100% responsible and if I want to have my car repaired they ask me for the franchise. So at the quality s"&amp;"ervice level I regret having passed home, I call very often and my file does not follow. He does not advance and that is 6 months MTN ....
Basically this is the kind of assurance to flee if something happens to you because they do not fill the thermal ba"&amp;"ths with their own contract, that is to say protect you in the event of an accident")</f>
        <v>Ensure for almost 2 years by paying more than 100 € per month for a whole risk with my car. I had a sinister with someone who threatened me to kill myself and who obviously refused to fill out an observation. Result, complaint in support with condemnation of the magistrate and accident recognized not in wrong. But being given that the third of this person does not answer this accident he recognizes me 100% responsible and if I want to have my car repaired they ask me for the franchise. So at the quality service level I regret having passed home, I call very often and my file does not follow. He does not advance and that is 6 months MTN ....
Basically this is the kind of assurance to flee if something happens to you because they do not fill the thermal baths with their own contract, that is to say protect you in the event of an accident</v>
      </c>
    </row>
    <row r="290" ht="15.75" customHeight="1">
      <c r="A290" s="2">
        <v>5.0</v>
      </c>
      <c r="B290" s="2" t="s">
        <v>919</v>
      </c>
      <c r="C290" s="2" t="s">
        <v>920</v>
      </c>
      <c r="D290" s="2" t="s">
        <v>30</v>
      </c>
      <c r="E290" s="2" t="s">
        <v>14</v>
      </c>
      <c r="F290" s="2" t="s">
        <v>15</v>
      </c>
      <c r="G290" s="2" t="s">
        <v>921</v>
      </c>
      <c r="H290" s="2" t="s">
        <v>199</v>
      </c>
      <c r="I290" s="2" t="str">
        <f>IFERROR(__xludf.DUMMYFUNCTION("GOOGLETRANSLATE(C290,""fr"",""en"")"),"Simple and effective, attractive, tailor -made price. The application is functional, adapted to needs. I hope to be satisfied with the services and to be able to recommend")</f>
        <v>Simple and effective, attractive, tailor -made price. The application is functional, adapted to needs. I hope to be satisfied with the services and to be able to recommend</v>
      </c>
    </row>
    <row r="291" ht="15.75" customHeight="1">
      <c r="A291" s="2">
        <v>5.0</v>
      </c>
      <c r="B291" s="2" t="s">
        <v>922</v>
      </c>
      <c r="C291" s="2" t="s">
        <v>923</v>
      </c>
      <c r="D291" s="2" t="s">
        <v>35</v>
      </c>
      <c r="E291" s="2" t="s">
        <v>36</v>
      </c>
      <c r="F291" s="2" t="s">
        <v>15</v>
      </c>
      <c r="G291" s="2" t="s">
        <v>924</v>
      </c>
      <c r="H291" s="2" t="s">
        <v>150</v>
      </c>
      <c r="I291" s="2" t="str">
        <f>IFERROR(__xludf.DUMMYFUNCTION("GOOGLETRANSLATE(C291,""fr"",""en"")"),"hello I allow myself to say that the lady I had today at tel is iris was very kind and very processional to manage my request thank you and good evening")</f>
        <v>hello I allow myself to say that the lady I had today at tel is iris was very kind and very processional to manage my request thank you and good evening</v>
      </c>
    </row>
    <row r="292" ht="15.75" customHeight="1">
      <c r="A292" s="2">
        <v>2.0</v>
      </c>
      <c r="B292" s="2" t="s">
        <v>925</v>
      </c>
      <c r="C292" s="2" t="s">
        <v>926</v>
      </c>
      <c r="D292" s="2" t="s">
        <v>30</v>
      </c>
      <c r="E292" s="2" t="s">
        <v>14</v>
      </c>
      <c r="F292" s="2" t="s">
        <v>15</v>
      </c>
      <c r="G292" s="2" t="s">
        <v>927</v>
      </c>
      <c r="H292" s="2" t="s">
        <v>82</v>
      </c>
      <c r="I292" s="2" t="str">
        <f>IFERROR(__xludf.DUMMYFUNCTION("GOOGLETRANSLATE(C292,""fr"",""en"")"),"I have 3 vehicles to insure them, ... Finally I!
 I had 2 non -responsible claims .... he terminated me 1 contract on the grounds: that when there are 2 claims (responsible or not!) ... Resil! .... a shame. .. and the other contract impossible to send th"&amp;"em the requested documents .... their bug site !! ... I ask by email a postal address or I can send them the documents and instead of that .... there is also this contract !! .... to today I have 1 contract on the 3. ... I am looking for an insurer for th"&amp;"is car and I break this contract, a advice: run away from this low cost insurer !!!!
 ")</f>
        <v>I have 3 vehicles to insure them, ... Finally I!
 I had 2 non -responsible claims .... he terminated me 1 contract on the grounds: that when there are 2 claims (responsible or not!) ... Resil! .... a shame. .. and the other contract impossible to send them the requested documents .... their bug site !! ... I ask by email a postal address or I can send them the documents and instead of that .... there is also this contract !! .... to today I have 1 contract on the 3. ... I am looking for an insurer for this car and I break this contract, a advice: run away from this low cost insurer !!!!
 </v>
      </c>
    </row>
    <row r="293" ht="15.75" customHeight="1">
      <c r="A293" s="2">
        <v>5.0</v>
      </c>
      <c r="B293" s="2" t="s">
        <v>928</v>
      </c>
      <c r="C293" s="2" t="s">
        <v>929</v>
      </c>
      <c r="D293" s="2" t="s">
        <v>30</v>
      </c>
      <c r="E293" s="2" t="s">
        <v>14</v>
      </c>
      <c r="F293" s="2" t="s">
        <v>15</v>
      </c>
      <c r="G293" s="2" t="s">
        <v>930</v>
      </c>
      <c r="H293" s="2" t="s">
        <v>38</v>
      </c>
      <c r="I293" s="2" t="str">
        <f>IFERROR(__xludf.DUMMYFUNCTION("GOOGLETRANSLATE(C293,""fr"",""en"")"),"I am satisfied with the service
Interesting price, attractive, clear, precise, very satisfied, interesting, easy to use, I highly recommend")</f>
        <v>I am satisfied with the service
Interesting price, attractive, clear, precise, very satisfied, interesting, easy to use, I highly recommend</v>
      </c>
    </row>
    <row r="294" ht="15.75" customHeight="1">
      <c r="A294" s="2">
        <v>5.0</v>
      </c>
      <c r="B294" s="2" t="s">
        <v>931</v>
      </c>
      <c r="C294" s="2" t="s">
        <v>932</v>
      </c>
      <c r="D294" s="2" t="s">
        <v>30</v>
      </c>
      <c r="E294" s="2" t="s">
        <v>14</v>
      </c>
      <c r="F294" s="2" t="s">
        <v>15</v>
      </c>
      <c r="G294" s="2" t="s">
        <v>252</v>
      </c>
      <c r="H294" s="2" t="s">
        <v>64</v>
      </c>
      <c r="I294" s="2" t="str">
        <f>IFERROR(__xludf.DUMMYFUNCTION("GOOGLETRANSLATE(C294,""fr"",""en"")"),"Good service but the compulsory payment of the first 2 months is not necessary if it is offered by commercial gesture. Wait in seeing the service before recommending you")</f>
        <v>Good service but the compulsory payment of the first 2 months is not necessary if it is offered by commercial gesture. Wait in seeing the service before recommending you</v>
      </c>
    </row>
    <row r="295" ht="15.75" customHeight="1">
      <c r="A295" s="2">
        <v>2.0</v>
      </c>
      <c r="B295" s="2" t="s">
        <v>933</v>
      </c>
      <c r="C295" s="2" t="s">
        <v>934</v>
      </c>
      <c r="D295" s="2" t="s">
        <v>85</v>
      </c>
      <c r="E295" s="2" t="s">
        <v>36</v>
      </c>
      <c r="F295" s="2" t="s">
        <v>15</v>
      </c>
      <c r="G295" s="2" t="s">
        <v>935</v>
      </c>
      <c r="H295" s="2" t="s">
        <v>155</v>
      </c>
      <c r="I295" s="2" t="str">
        <f>IFERROR(__xludf.DUMMYFUNCTION("GOOGLETRANSLATE(C295,""fr"",""en"")"),"My mother has been in this mutual insurance company since 2016 and her employer informs her in 2020 what is at AG2R she never received a card. Hardly she was forced to pay medical costs, the doctor, the radio etc ... of her pocket
By dint of spending she"&amp;" had to join a mutual, currently she finds herself with 2 mutuals including an imaginary which is AG2R since she has no trace, and was not aware of her existence and in addition they claims her Sous.
Frankly I do not recommend this mutual")</f>
        <v>My mother has been in this mutual insurance company since 2016 and her employer informs her in 2020 what is at AG2R she never received a card. Hardly she was forced to pay medical costs, the doctor, the radio etc ... of her pocket
By dint of spending she had to join a mutual, currently she finds herself with 2 mutuals including an imaginary which is AG2R since she has no trace, and was not aware of her existence and in addition they claims her Sous.
Frankly I do not recommend this mutual</v>
      </c>
    </row>
    <row r="296" ht="15.75" customHeight="1">
      <c r="A296" s="2">
        <v>4.0</v>
      </c>
      <c r="B296" s="2" t="s">
        <v>936</v>
      </c>
      <c r="C296" s="2" t="s">
        <v>937</v>
      </c>
      <c r="D296" s="2" t="s">
        <v>30</v>
      </c>
      <c r="E296" s="2" t="s">
        <v>14</v>
      </c>
      <c r="F296" s="2" t="s">
        <v>15</v>
      </c>
      <c r="G296" s="2" t="s">
        <v>938</v>
      </c>
      <c r="H296" s="2" t="s">
        <v>199</v>
      </c>
      <c r="I296" s="2" t="str">
        <f>IFERROR(__xludf.DUMMYFUNCTION("GOOGLETRANSLATE(C296,""fr"",""en"")"),"Top ! The site is very easy to use and the prices offered are the most competitive on the market! Congratulations! Look forward to ensuring my new car at Direct Insurance!")</f>
        <v>Top ! The site is very easy to use and the prices offered are the most competitive on the market! Congratulations! Look forward to ensuring my new car at Direct Insurance!</v>
      </c>
    </row>
    <row r="297" ht="15.75" customHeight="1">
      <c r="A297" s="2">
        <v>1.0</v>
      </c>
      <c r="B297" s="2" t="s">
        <v>939</v>
      </c>
      <c r="C297" s="2" t="s">
        <v>940</v>
      </c>
      <c r="D297" s="2" t="s">
        <v>141</v>
      </c>
      <c r="E297" s="2" t="s">
        <v>68</v>
      </c>
      <c r="F297" s="2" t="s">
        <v>15</v>
      </c>
      <c r="G297" s="2" t="s">
        <v>941</v>
      </c>
      <c r="H297" s="2" t="s">
        <v>241</v>
      </c>
      <c r="I297" s="2" t="str">
        <f>IFERROR(__xludf.DUMMYFUNCTION("GOOGLETRANSLATE(C297,""fr"",""en"")"),"Hello,
Increasingly complicated to declare a disaster and consider being reimbursed with the MAIF.
Optimistic information with first contact with a phone interlocutor.
Then a more than disappointing reality with advertising documents that prove to be m"&amp;"isleading.
More and more advise against ...
")</f>
        <v>Hello,
Increasingly complicated to declare a disaster and consider being reimbursed with the MAIF.
Optimistic information with first contact with a phone interlocutor.
Then a more than disappointing reality with advertising documents that prove to be misleading.
More and more advise against ...
</v>
      </c>
    </row>
    <row r="298" ht="15.75" customHeight="1">
      <c r="A298" s="2">
        <v>1.0</v>
      </c>
      <c r="B298" s="2" t="s">
        <v>942</v>
      </c>
      <c r="C298" s="2" t="s">
        <v>943</v>
      </c>
      <c r="D298" s="2" t="s">
        <v>25</v>
      </c>
      <c r="E298" s="2" t="s">
        <v>116</v>
      </c>
      <c r="F298" s="2" t="s">
        <v>15</v>
      </c>
      <c r="G298" s="2" t="s">
        <v>944</v>
      </c>
      <c r="H298" s="2" t="s">
        <v>945</v>
      </c>
      <c r="I298" s="2" t="str">
        <f>IFERROR(__xludf.DUMMYFUNCTION("GOOGLETRANSLATE(C298,""fr"",""en"")"),"I opened a life insurance contract appointed PRISM in 1991 in Paris and then transferred to another city.
I wish to have information on my contract directly out of network (without going through my advisor who has not recently had it at my request). For "&amp;"more than a good week, I have been trying to contact the competent service ""in Paris"" to give me information on this life insurance contract and its management.
Last Friday, a person had to call me to give me information on my contract and on the chang"&amp;"e of AP2 network, network managing my contract. I'm still waiting. For 3 days, I have sent emails to reclamation.vie@axa.fr to be contacted. To date, Axa has still not contacted me. How long will I have to wait?")</f>
        <v>I opened a life insurance contract appointed PRISM in 1991 in Paris and then transferred to another city.
I wish to have information on my contract directly out of network (without going through my advisor who has not recently had it at my request). For more than a good week, I have been trying to contact the competent service "in Paris" to give me information on this life insurance contract and its management.
Last Friday, a person had to call me to give me information on my contract and on the change of AP2 network, network managing my contract. I'm still waiting. For 3 days, I have sent emails to reclamation.vie@axa.fr to be contacted. To date, Axa has still not contacted me. How long will I have to wait?</v>
      </c>
    </row>
    <row r="299" ht="15.75" customHeight="1">
      <c r="A299" s="2">
        <v>1.0</v>
      </c>
      <c r="B299" s="2" t="s">
        <v>946</v>
      </c>
      <c r="C299" s="2" t="s">
        <v>947</v>
      </c>
      <c r="D299" s="2" t="s">
        <v>171</v>
      </c>
      <c r="E299" s="2" t="s">
        <v>100</v>
      </c>
      <c r="F299" s="2" t="s">
        <v>15</v>
      </c>
      <c r="G299" s="2" t="s">
        <v>948</v>
      </c>
      <c r="H299" s="2" t="s">
        <v>113</v>
      </c>
      <c r="I299" s="2" t="str">
        <f>IFERROR(__xludf.DUMMYFUNCTION("GOOGLETRANSLATE(C299,""fr"",""en"")"),"Hello,
I have been a Customer Santévet since June 2017 for my cat and my dog ​​so far no big concerns encountered (bobology).
My dog ​​accidentally injured in early December he must be operated on. And the anger !!
Poor of him because according to cust"&amp;"omer service he is too small, too hug, too chihuahua to be taken care of. I would say something but I will stay polite.
While accidents should be covered at 70% according to my formula, Santévet refuses to take care of the operation. Worse, they require "&amp;"a radio to verify that it has no other problems (while waiting to raft me you should know that we are far from the annual ceiling even with the operation) !! I find it shameful what are you used for?
People on the phone are insulting, even calling into q"&amp;"uestion the good liver of my veterinarian who is likely to promote them for a long time.
I would not allow such an injustice to pass I would fight for my loulou in principle because yes it will be operated whatever happens but a contract must be held an "&amp;"accident remains an accident! And I pay you every month")</f>
        <v>Hello,
I have been a Customer Santévet since June 2017 for my cat and my dog ​​so far no big concerns encountered (bobology).
My dog ​​accidentally injured in early December he must be operated on. And the anger !!
Poor of him because according to customer service he is too small, too hug, too chihuahua to be taken care of. I would say something but I will stay polite.
While accidents should be covered at 70% according to my formula, Santévet refuses to take care of the operation. Worse, they require a radio to verify that it has no other problems (while waiting to raft me you should know that we are far from the annual ceiling even with the operation) !! I find it shameful what are you used for?
People on the phone are insulting, even calling into question the good liver of my veterinarian who is likely to promote them for a long time.
I would not allow such an injustice to pass I would fight for my loulou in principle because yes it will be operated whatever happens but a contract must be held an accident remains an accident! And I pay you every month</v>
      </c>
    </row>
    <row r="300" ht="15.75" customHeight="1">
      <c r="A300" s="2">
        <v>3.0</v>
      </c>
      <c r="B300" s="2" t="s">
        <v>949</v>
      </c>
      <c r="C300" s="2" t="s">
        <v>950</v>
      </c>
      <c r="D300" s="2" t="s">
        <v>481</v>
      </c>
      <c r="E300" s="2" t="s">
        <v>111</v>
      </c>
      <c r="F300" s="2" t="s">
        <v>15</v>
      </c>
      <c r="G300" s="2" t="s">
        <v>951</v>
      </c>
      <c r="H300" s="2" t="s">
        <v>192</v>
      </c>
      <c r="I300" s="2" t="str">
        <f>IFERROR(__xludf.DUMMYFUNCTION("GOOGLETRANSLATE(C300,""fr"",""en"")"),"Hello,
According to a saying Bug Informatique you asked me to pay € 131 and a few. The problem was solved but I don't understand this bug well.")</f>
        <v>Hello,
According to a saying Bug Informatique you asked me to pay € 131 and a few. The problem was solved but I don't understand this bug well.</v>
      </c>
    </row>
    <row r="301" ht="15.75" customHeight="1">
      <c r="A301" s="2">
        <v>2.0</v>
      </c>
      <c r="B301" s="2" t="s">
        <v>952</v>
      </c>
      <c r="C301" s="2" t="s">
        <v>953</v>
      </c>
      <c r="D301" s="2" t="s">
        <v>30</v>
      </c>
      <c r="E301" s="2" t="s">
        <v>14</v>
      </c>
      <c r="F301" s="2" t="s">
        <v>15</v>
      </c>
      <c r="G301" s="2" t="s">
        <v>536</v>
      </c>
      <c r="H301" s="2" t="s">
        <v>124</v>
      </c>
      <c r="I301" s="2" t="str">
        <f>IFERROR(__xludf.DUMMYFUNCTION("GOOGLETRANSLATE(C301,""fr"",""en"")"),"Increase in the contribution of 15 euros knowing that I have had no claim over the past 10 years not even a break in ice!
And no possibility of receiving a commercial gesture on the contrary increase!
During my phone call he clearly tells me yes go you "&amp;"assure elsewhere, I understand….
")</f>
        <v>Increase in the contribution of 15 euros knowing that I have had no claim over the past 10 years not even a break in ice!
And no possibility of receiving a commercial gesture on the contrary increase!
During my phone call he clearly tells me yes go you assure elsewhere, I understand….
</v>
      </c>
    </row>
    <row r="302" ht="15.75" customHeight="1">
      <c r="A302" s="2">
        <v>5.0</v>
      </c>
      <c r="B302" s="2" t="s">
        <v>954</v>
      </c>
      <c r="C302" s="2" t="s">
        <v>955</v>
      </c>
      <c r="D302" s="2" t="s">
        <v>30</v>
      </c>
      <c r="E302" s="2" t="s">
        <v>14</v>
      </c>
      <c r="F302" s="2" t="s">
        <v>15</v>
      </c>
      <c r="G302" s="2" t="s">
        <v>700</v>
      </c>
      <c r="H302" s="2" t="s">
        <v>38</v>
      </c>
      <c r="I302" s="2" t="str">
        <f>IFERROR(__xludf.DUMMYFUNCTION("GOOGLETRANSLATE(C302,""fr"",""en"")"),"Thank you for sending me the contract on my mailbox ct a good insurance that I recommend for loved ones and my friends thank you for this experience that I retain in good lesson")</f>
        <v>Thank you for sending me the contract on my mailbox ct a good insurance that I recommend for loved ones and my friends thank you for this experience that I retain in good lesson</v>
      </c>
    </row>
    <row r="303" ht="15.75" customHeight="1">
      <c r="A303" s="2">
        <v>5.0</v>
      </c>
      <c r="B303" s="2" t="s">
        <v>956</v>
      </c>
      <c r="C303" s="2" t="s">
        <v>957</v>
      </c>
      <c r="D303" s="2" t="s">
        <v>30</v>
      </c>
      <c r="E303" s="2" t="s">
        <v>14</v>
      </c>
      <c r="F303" s="2" t="s">
        <v>15</v>
      </c>
      <c r="G303" s="2" t="s">
        <v>168</v>
      </c>
      <c r="H303" s="2" t="s">
        <v>52</v>
      </c>
      <c r="I303" s="2" t="str">
        <f>IFERROR(__xludf.DUMMYFUNCTION("GOOGLETRANSLATE(C303,""fr"",""en"")"),"The prices are very attractive and competitive, and the service is very correct; I advise it in particular to young drivers. Trust")</f>
        <v>The prices are very attractive and competitive, and the service is very correct; I advise it in particular to young drivers. Trust</v>
      </c>
    </row>
    <row r="304" ht="15.75" customHeight="1">
      <c r="A304" s="2">
        <v>1.0</v>
      </c>
      <c r="B304" s="2" t="s">
        <v>958</v>
      </c>
      <c r="C304" s="2" t="s">
        <v>959</v>
      </c>
      <c r="D304" s="2" t="s">
        <v>184</v>
      </c>
      <c r="E304" s="2" t="s">
        <v>36</v>
      </c>
      <c r="F304" s="2" t="s">
        <v>15</v>
      </c>
      <c r="G304" s="2" t="s">
        <v>165</v>
      </c>
      <c r="H304" s="2" t="s">
        <v>52</v>
      </c>
      <c r="I304" s="2" t="str">
        <f>IFERROR(__xludf.DUMMYFUNCTION("GOOGLETRANSLATE(C304,""fr"",""en"")"),"Catastrophic. A member for over 30 years, I had so far used their services very little. Some passages from the attending physician, pharmacy ... etc.
Everything was fine
I fell seriously ill (cancer) and there hell started. Obviously my number of re"&amp;"imbursement requests suddenly increased ... and there all the pretexts were good to refuse, including with the worst bad faith ... I ended up having systematically paragraph of their general conditions for each reimbursement . Despite this, I was refused "&amp;"I repeat the reimbursements almost systematically.
Each time, I made a complaint and I was reimbursed then systematically, proof that the costs were borne in my contract.
On the one hand we could say that ultimately, the MGEN reimburses ... But in r"&amp;"eality when you are already in a very difficult situation, finding the strength to fight against MGEN at the same time as against the disease is very difficult.
My feeling is that each member is scrutinized. If the amount of your refund is lower than y"&amp;"our contributions everything is fine. If it is the opposite, we push you to ""let go of the case"" to speak clearly. They probably count on the weariness and exhaustion of people ...
I add that when you are in this kind of illness, it is not possible f"&amp;"or you to change your mutual since no other will accept to welcome you with a heavy pathology. The MGEN very aware of this fact -(I was pointed out during a telephone conversation) does not hesitate to abuse its position.
For information, I managed to "&amp;"defeat the disease at the end of 2020. Changing mutual was not the first of my priority, I first resumed normal life, and enjoyed my family. Nevertheless this trimester I found the time to change my mutual.
Without regrets...
Not all mutuals are as "&amp;"bad, far from it. Simply MGEN benefits from a pool: teachers. First of all, they have no choice, they have the MGEN in social security and this society plays this ambiguity to push them to choose it in mutual. She also uses more questionable methods. Sudd"&amp;"enly, she has no reason to question herself since she is ""guaranteed"" to have a recruitment of new members in an almost automatic manner.
Really to avoid ...")</f>
        <v>Catastrophic. A member for over 30 years, I had so far used their services very little. Some passages from the attending physician, pharmacy ... etc.
Everything was fine
I fell seriously ill (cancer) and there hell started. Obviously my number of reimbursement requests suddenly increased ... and there all the pretexts were good to refuse, including with the worst bad faith ... I ended up having systematically paragraph of their general conditions for each reimbursement . Despite this, I was refused I repeat the reimbursements almost systematically.
Each time, I made a complaint and I was reimbursed then systematically, proof that the costs were borne in my contract.
On the one hand we could say that ultimately, the MGEN reimburses ... But in reality when you are already in a very difficult situation, finding the strength to fight against MGEN at the same time as against the disease is very difficult.
My feeling is that each member is scrutinized. If the amount of your refund is lower than your contributions everything is fine. If it is the opposite, we push you to "let go of the case" to speak clearly. They probably count on the weariness and exhaustion of people ...
I add that when you are in this kind of illness, it is not possible for you to change your mutual since no other will accept to welcome you with a heavy pathology. The MGEN very aware of this fact -(I was pointed out during a telephone conversation) does not hesitate to abuse its position.
For information, I managed to defeat the disease at the end of 2020. Changing mutual was not the first of my priority, I first resumed normal life, and enjoyed my family. Nevertheless this trimester I found the time to change my mutual.
Without regrets...
Not all mutuals are as bad, far from it. Simply MGEN benefits from a pool: teachers. First of all, they have no choice, they have the MGEN in social security and this society plays this ambiguity to push them to choose it in mutual. She also uses more questionable methods. Suddenly, she has no reason to question herself since she is "guaranteed" to have a recruitment of new members in an almost automatic manner.
Really to avoid ...</v>
      </c>
    </row>
    <row r="305" ht="15.75" customHeight="1">
      <c r="A305" s="2">
        <v>4.0</v>
      </c>
      <c r="B305" s="2" t="s">
        <v>960</v>
      </c>
      <c r="C305" s="2" t="s">
        <v>961</v>
      </c>
      <c r="D305" s="2" t="s">
        <v>35</v>
      </c>
      <c r="E305" s="2" t="s">
        <v>36</v>
      </c>
      <c r="F305" s="2" t="s">
        <v>15</v>
      </c>
      <c r="G305" s="2" t="s">
        <v>381</v>
      </c>
      <c r="H305" s="2" t="s">
        <v>64</v>
      </c>
      <c r="I305" s="2" t="str">
        <f>IFERROR(__xludf.DUMMYFUNCTION("GOOGLETRANSLATE(C305,""fr"",""en"")"),"Contact Telephone with Aminata: Perfect !!! I quickly obtained the answers to my questions. Clear, precise answers and answering my questions.")</f>
        <v>Contact Telephone with Aminata: Perfect !!! I quickly obtained the answers to my questions. Clear, precise answers and answering my questions.</v>
      </c>
    </row>
    <row r="306" ht="15.75" customHeight="1">
      <c r="A306" s="2">
        <v>2.0</v>
      </c>
      <c r="B306" s="2" t="s">
        <v>962</v>
      </c>
      <c r="C306" s="2" t="s">
        <v>963</v>
      </c>
      <c r="D306" s="2" t="s">
        <v>141</v>
      </c>
      <c r="E306" s="2" t="s">
        <v>68</v>
      </c>
      <c r="F306" s="2" t="s">
        <v>15</v>
      </c>
      <c r="G306" s="2" t="s">
        <v>964</v>
      </c>
      <c r="H306" s="2" t="s">
        <v>241</v>
      </c>
      <c r="I306" s="2" t="str">
        <f>IFERROR(__xludf.DUMMYFUNCTION("GOOGLETRANSLATE(C306,""fr"",""en"")"),"This mutual that wanted to be different in 1960 lost its soul by wanting to develop, when it has relocated the management of claims in platforms located hundreds of kilometers from your city. No more way to chat face to face with the person in charge of t"&amp;"he file who knows that he is not at risk because covered by his hierarchy.
Indeed after three contradictory opinions in one week I asked in August 2020 to change my manager to take over the file with zero in all serenity. (Which is also the name of my co"&amp;"ntract) I have never had a response from said hierarchy unreachable of all the facts. As soon as we type the disaster number, we come across the manager of your file when he answers or on a colleague who notes a message but who does not answer.
At MAIF s"&amp;"ocial distancing they know well and before the covid! But we are not viruses but members. ""Insurers and assures"". (Supposedly) but when we have the role of the insured we no longer have any rights!
You might as well go and make sure in a bank or a hy"&amp;"per market! The people you may meet in delegation are reduced to the role of salespeople.
FYI I have been a member since 1973 and I came across a manager who kept telling me ""we are no longer children"" until exasperated I pointed out to him that I wa"&amp;"s 67 years old!
Disappointed, very disappointed, extremely disappointed.
")</f>
        <v>This mutual that wanted to be different in 1960 lost its soul by wanting to develop, when it has relocated the management of claims in platforms located hundreds of kilometers from your city. No more way to chat face to face with the person in charge of the file who knows that he is not at risk because covered by his hierarchy.
Indeed after three contradictory opinions in one week I asked in August 2020 to change my manager to take over the file with zero in all serenity. (Which is also the name of my contract) I have never had a response from said hierarchy unreachable of all the facts. As soon as we type the disaster number, we come across the manager of your file when he answers or on a colleague who notes a message but who does not answer.
At MAIF social distancing they know well and before the covid! But we are not viruses but members. "Insurers and assures". (Supposedly) but when we have the role of the insured we no longer have any rights!
You might as well go and make sure in a bank or a hyper market! The people you may meet in delegation are reduced to the role of salespeople.
FYI I have been a member since 1973 and I came across a manager who kept telling me "we are no longer children" until exasperated I pointed out to him that I was 67 years old!
Disappointed, very disappointed, extremely disappointed.
</v>
      </c>
    </row>
    <row r="307" ht="15.75" customHeight="1">
      <c r="A307" s="2">
        <v>4.0</v>
      </c>
      <c r="B307" s="2" t="s">
        <v>965</v>
      </c>
      <c r="C307" s="2" t="s">
        <v>966</v>
      </c>
      <c r="D307" s="2" t="s">
        <v>35</v>
      </c>
      <c r="E307" s="2" t="s">
        <v>36</v>
      </c>
      <c r="F307" s="2" t="s">
        <v>15</v>
      </c>
      <c r="G307" s="2" t="s">
        <v>967</v>
      </c>
      <c r="H307" s="2" t="s">
        <v>387</v>
      </c>
      <c r="I307" s="2" t="str">
        <f>IFERROR(__xludf.DUMMYFUNCTION("GOOGLETRANSLATE(C307,""fr"",""en"")"),"At Santiane since 2014, I was contacted by customer service today. The customer advisor was very kind and patient and the advice provided, judicious. I am very satisfied. Cantissimo.")</f>
        <v>At Santiane since 2014, I was contacted by customer service today. The customer advisor was very kind and patient and the advice provided, judicious. I am very satisfied. Cantissimo.</v>
      </c>
    </row>
    <row r="308" ht="15.75" customHeight="1">
      <c r="A308" s="2">
        <v>1.0</v>
      </c>
      <c r="B308" s="2" t="s">
        <v>968</v>
      </c>
      <c r="C308" s="2" t="s">
        <v>969</v>
      </c>
      <c r="D308" s="2" t="s">
        <v>449</v>
      </c>
      <c r="E308" s="2" t="s">
        <v>36</v>
      </c>
      <c r="F308" s="2" t="s">
        <v>15</v>
      </c>
      <c r="G308" s="2" t="s">
        <v>970</v>
      </c>
      <c r="H308" s="2" t="s">
        <v>270</v>
      </c>
      <c r="I308" s="2" t="str">
        <f>IFERROR(__xludf.DUMMYFUNCTION("GOOGLETRANSLATE(C308,""fr"",""en"")"),"Attention customer service without compensation
Imposes an electronic signature without having received the contract
Do not tell you that your contract has a mandatory 1 year duration
Was a corporate mutual customer
(attention as private)")</f>
        <v>Attention customer service without compensation
Imposes an electronic signature without having received the contract
Do not tell you that your contract has a mandatory 1 year duration
Was a corporate mutual customer
(attention as private)</v>
      </c>
    </row>
    <row r="309" ht="15.75" customHeight="1">
      <c r="A309" s="2">
        <v>4.0</v>
      </c>
      <c r="B309" s="2" t="s">
        <v>971</v>
      </c>
      <c r="C309" s="2" t="s">
        <v>972</v>
      </c>
      <c r="D309" s="2" t="s">
        <v>30</v>
      </c>
      <c r="E309" s="2" t="s">
        <v>14</v>
      </c>
      <c r="F309" s="2" t="s">
        <v>15</v>
      </c>
      <c r="G309" s="2" t="s">
        <v>205</v>
      </c>
      <c r="H309" s="2" t="s">
        <v>159</v>
      </c>
      <c r="I309" s="2" t="str">
        <f>IFERROR(__xludf.DUMMYFUNCTION("GOOGLETRANSLATE(C309,""fr"",""en"")"),"I am satisfied with the services, but never had any accident since always, my bonus is only increasing .. !!!
Certainly you will tell me that elsewhere is more expensive, but the exemplary customer that I am is very little rewarded !!
Sincerely, Etien"&amp;"ne")</f>
        <v>I am satisfied with the services, but never had any accident since always, my bonus is only increasing .. !!!
Certainly you will tell me that elsewhere is more expensive, but the exemplary customer that I am is very little rewarded !!
Sincerely, Etienne</v>
      </c>
    </row>
    <row r="310" ht="15.75" customHeight="1">
      <c r="A310" s="2">
        <v>2.0</v>
      </c>
      <c r="B310" s="2" t="s">
        <v>973</v>
      </c>
      <c r="C310" s="2" t="s">
        <v>974</v>
      </c>
      <c r="D310" s="2" t="s">
        <v>30</v>
      </c>
      <c r="E310" s="2" t="s">
        <v>14</v>
      </c>
      <c r="F310" s="2" t="s">
        <v>15</v>
      </c>
      <c r="G310" s="2" t="s">
        <v>975</v>
      </c>
      <c r="H310" s="2" t="s">
        <v>43</v>
      </c>
      <c r="I310" s="2" t="str">
        <f>IFERROR(__xludf.DUMMYFUNCTION("GOOGLETRANSLATE(C310,""fr"",""en"")"),"Insured all risks for over 12 years, without claim, 50% bonus. With 2 vehicles insured at home, in all risks. In September, a vehicle dislistening without watching reduced my car to the wreckage state. The expert at their orders offered a ridiculous price"&amp;" for my vehicle, when I was not in wrong and I had provided all the evidence of regular maintenance and the perfect condition of my car. It will be 6 months and he only sent me a check which does not even correspond to the expert's proposal. It is a band "&amp;"of ... (I was told not to say what I thought), it is only in the pubs on TV that they are at the service of the customer. I will terminate everything I have at home. Insurance to flee absolutely.")</f>
        <v>Insured all risks for over 12 years, without claim, 50% bonus. With 2 vehicles insured at home, in all risks. In September, a vehicle dislistening without watching reduced my car to the wreckage state. The expert at their orders offered a ridiculous price for my vehicle, when I was not in wrong and I had provided all the evidence of regular maintenance and the perfect condition of my car. It will be 6 months and he only sent me a check which does not even correspond to the expert's proposal. It is a band of ... (I was told not to say what I thought), it is only in the pubs on TV that they are at the service of the customer. I will terminate everything I have at home. Insurance to flee absolutely.</v>
      </c>
    </row>
    <row r="311" ht="15.75" customHeight="1">
      <c r="A311" s="2">
        <v>2.0</v>
      </c>
      <c r="B311" s="2" t="s">
        <v>976</v>
      </c>
      <c r="C311" s="2" t="s">
        <v>977</v>
      </c>
      <c r="D311" s="2" t="s">
        <v>436</v>
      </c>
      <c r="E311" s="2" t="s">
        <v>36</v>
      </c>
      <c r="F311" s="2" t="s">
        <v>15</v>
      </c>
      <c r="G311" s="2" t="s">
        <v>446</v>
      </c>
      <c r="H311" s="2" t="s">
        <v>155</v>
      </c>
      <c r="I311" s="2" t="str">
        <f>IFERROR(__xludf.DUMMYFUNCTION("GOOGLETRANSLATE(C311,""fr"",""en"")"),"Insured for 22 years at home, I have seen the management of files worsen over the years and especially for 1 year and a half. We have decided to no longer contribute to a health mutual health so we were disgusted with excessive increase and their behavior"&amp;" when we asked to change the levy mode, etc ... We no longer want to endorse this unhealthy environment especially that We operate rather in natural mode so almost never with the doctor ... I can only admit, this mutual health is to be flee, despite price"&amp;"s, know it, well placed in relation to other companies. Do not forget one thing: bait of gain above all because since integration into the VYV group, their priority is to raise money !!! Suddenly, communication and benevolence that have become nonexistent"&amp;". What pity! I just hope that she is shot a ball in the foot ....")</f>
        <v>Insured for 22 years at home, I have seen the management of files worsen over the years and especially for 1 year and a half. We have decided to no longer contribute to a health mutual health so we were disgusted with excessive increase and their behavior when we asked to change the levy mode, etc ... We no longer want to endorse this unhealthy environment especially that We operate rather in natural mode so almost never with the doctor ... I can only admit, this mutual health is to be flee, despite prices, know it, well placed in relation to other companies. Do not forget one thing: bait of gain above all because since integration into the VYV group, their priority is to raise money !!! Suddenly, communication and benevolence that have become nonexistent. What pity! I just hope that she is shot a ball in the foot ....</v>
      </c>
    </row>
    <row r="312" ht="15.75" customHeight="1">
      <c r="A312" s="2">
        <v>5.0</v>
      </c>
      <c r="B312" s="2" t="s">
        <v>978</v>
      </c>
      <c r="C312" s="2" t="s">
        <v>979</v>
      </c>
      <c r="D312" s="2" t="s">
        <v>145</v>
      </c>
      <c r="E312" s="2" t="s">
        <v>111</v>
      </c>
      <c r="F312" s="2" t="s">
        <v>15</v>
      </c>
      <c r="G312" s="2" t="s">
        <v>980</v>
      </c>
      <c r="H312" s="2" t="s">
        <v>981</v>
      </c>
      <c r="I312" s="2" t="str">
        <f>IFERROR(__xludf.DUMMYFUNCTION("GOOGLETRANSLATE(C312,""fr"",""en"")"),"Nothing to blame, the team is always listening and does everything to find quick solutions. Bravo and good luck. I have been faithful to AMV for over 10 years.")</f>
        <v>Nothing to blame, the team is always listening and does everything to find quick solutions. Bravo and good luck. I have been faithful to AMV for over 10 years.</v>
      </c>
    </row>
    <row r="313" ht="15.75" customHeight="1">
      <c r="A313" s="2">
        <v>4.0</v>
      </c>
      <c r="B313" s="2" t="s">
        <v>982</v>
      </c>
      <c r="C313" s="2" t="s">
        <v>983</v>
      </c>
      <c r="D313" s="2" t="s">
        <v>718</v>
      </c>
      <c r="E313" s="2" t="s">
        <v>36</v>
      </c>
      <c r="F313" s="2" t="s">
        <v>15</v>
      </c>
      <c r="G313" s="2" t="s">
        <v>984</v>
      </c>
      <c r="H313" s="2" t="s">
        <v>192</v>
      </c>
      <c r="I313" s="2" t="str">
        <f>IFERROR(__xludf.DUMMYFUNCTION("GOOGLETRANSLATE(C313,""fr"",""en"")"),"I am satisfied with the speed of the adhesion and the guarantees offered as well as the price of services. The simplicity of registration is really great.")</f>
        <v>I am satisfied with the speed of the adhesion and the guarantees offered as well as the price of services. The simplicity of registration is really great.</v>
      </c>
    </row>
    <row r="314" ht="15.75" customHeight="1">
      <c r="A314" s="2">
        <v>1.0</v>
      </c>
      <c r="B314" s="2" t="s">
        <v>985</v>
      </c>
      <c r="C314" s="2" t="s">
        <v>986</v>
      </c>
      <c r="D314" s="2" t="s">
        <v>180</v>
      </c>
      <c r="E314" s="2" t="s">
        <v>14</v>
      </c>
      <c r="F314" s="2" t="s">
        <v>15</v>
      </c>
      <c r="G314" s="2" t="s">
        <v>987</v>
      </c>
      <c r="H314" s="2" t="s">
        <v>687</v>
      </c>
      <c r="I314" s="2" t="str">
        <f>IFERROR(__xludf.DUMMYFUNCTION("GOOGLETRANSLATE(C314,""fr"",""en"")"),"Eurofil to flee !!!!!
I am in the same situation as the others, I ask if I can add my daughter young driver as a secondary driver on my car and hop I have my contract !!! The worst I call customer service I am told that they can do nothing is good termin"&amp;"ated and they also want to make me believe that I have said that even if you do not accept a young driver I will leave still my daughter driving! Besides, she tells me that happens to us to terminate contracts at once like that! Given your comments I tell"&amp;" myself that I am not the only one.")</f>
        <v>Eurofil to flee !!!!!
I am in the same situation as the others, I ask if I can add my daughter young driver as a secondary driver on my car and hop I have my contract !!! The worst I call customer service I am told that they can do nothing is good terminated and they also want to make me believe that I have said that even if you do not accept a young driver I will leave still my daughter driving! Besides, she tells me that happens to us to terminate contracts at once like that! Given your comments I tell myself that I am not the only one.</v>
      </c>
    </row>
    <row r="315" ht="15.75" customHeight="1">
      <c r="A315" s="2">
        <v>2.0</v>
      </c>
      <c r="B315" s="2" t="s">
        <v>988</v>
      </c>
      <c r="C315" s="2" t="s">
        <v>989</v>
      </c>
      <c r="D315" s="2" t="s">
        <v>329</v>
      </c>
      <c r="E315" s="2" t="s">
        <v>68</v>
      </c>
      <c r="F315" s="2" t="s">
        <v>15</v>
      </c>
      <c r="G315" s="2" t="s">
        <v>990</v>
      </c>
      <c r="H315" s="2" t="s">
        <v>312</v>
      </c>
      <c r="I315" s="2" t="str">
        <f>IFERROR(__xludf.DUMMYFUNCTION("GOOGLETRANSLATE(C315,""fr"",""en"")"),"Let's talk about it for over 15 years Macif member. Everything is fine if you don't have a claim. In February 2018, big stripping of waters, in principle are covered. Expert passes everything is fine, it transmits its relation to the Macif then there noth"&amp;"ing is going well (+10,000 € of work) The expert report is incompeantable, With dates errors, the name mentioned on the report is not even ours. Finally, in short, they sent us standard letters full of faults all that to tell us that we will not be compen"&amp;"sated. And we hallucinate, why make sure, that I am explained to me. Despite all my mail in LRAR always the same answer. The decision is made we will not compensate you. We are told to contact the Macif mediator once again by mail. We think we dream. We w"&amp;"ill go to the end we will not let go. We will go before the courts if necessary.
It's just lamentable.")</f>
        <v>Let's talk about it for over 15 years Macif member. Everything is fine if you don't have a claim. In February 2018, big stripping of waters, in principle are covered. Expert passes everything is fine, it transmits its relation to the Macif then there nothing is going well (+10,000 € of work) The expert report is incompeantable, With dates errors, the name mentioned on the report is not even ours. Finally, in short, they sent us standard letters full of faults all that to tell us that we will not be compensated. And we hallucinate, why make sure, that I am explained to me. Despite all my mail in LRAR always the same answer. The decision is made we will not compensate you. We are told to contact the Macif mediator once again by mail. We think we dream. We will go to the end we will not let go. We will go before the courts if necessary.
It's just lamentable.</v>
      </c>
    </row>
    <row r="316" ht="15.75" customHeight="1">
      <c r="A316" s="2">
        <v>5.0</v>
      </c>
      <c r="B316" s="2" t="s">
        <v>991</v>
      </c>
      <c r="C316" s="2" t="s">
        <v>992</v>
      </c>
      <c r="D316" s="2" t="s">
        <v>50</v>
      </c>
      <c r="E316" s="2" t="s">
        <v>14</v>
      </c>
      <c r="F316" s="2" t="s">
        <v>15</v>
      </c>
      <c r="G316" s="2" t="s">
        <v>993</v>
      </c>
      <c r="H316" s="2" t="s">
        <v>47</v>
      </c>
      <c r="I316" s="2" t="str">
        <f>IFERROR(__xludf.DUMMYFUNCTION("GOOGLETRANSLATE(C316,""fr"",""en"")"),"Very satisfied, listening, and very satisfactory options. I recommend the olive assurance, low price and a lot of options to choose from. No regrets.")</f>
        <v>Very satisfied, listening, and very satisfactory options. I recommend the olive assurance, low price and a lot of options to choose from. No regrets.</v>
      </c>
    </row>
    <row r="317" ht="15.75" customHeight="1">
      <c r="A317" s="2">
        <v>3.0</v>
      </c>
      <c r="B317" s="2" t="s">
        <v>994</v>
      </c>
      <c r="C317" s="2" t="s">
        <v>995</v>
      </c>
      <c r="D317" s="2" t="s">
        <v>50</v>
      </c>
      <c r="E317" s="2" t="s">
        <v>14</v>
      </c>
      <c r="F317" s="2" t="s">
        <v>15</v>
      </c>
      <c r="G317" s="2" t="s">
        <v>996</v>
      </c>
      <c r="H317" s="2" t="s">
        <v>38</v>
      </c>
      <c r="I317" s="2" t="str">
        <f>IFERROR(__xludf.DUMMYFUNCTION("GOOGLETRANSLATE(C317,""fr"",""en"")"),"Overall satisfied, so far knowing that I just subscribed, it is when I have a problem that I can give an opinion on the service.")</f>
        <v>Overall satisfied, so far knowing that I just subscribed, it is when I have a problem that I can give an opinion on the service.</v>
      </c>
    </row>
    <row r="318" ht="15.75" customHeight="1">
      <c r="A318" s="2">
        <v>5.0</v>
      </c>
      <c r="B318" s="2" t="s">
        <v>997</v>
      </c>
      <c r="C318" s="2" t="s">
        <v>998</v>
      </c>
      <c r="D318" s="2" t="s">
        <v>30</v>
      </c>
      <c r="E318" s="2" t="s">
        <v>14</v>
      </c>
      <c r="F318" s="2" t="s">
        <v>15</v>
      </c>
      <c r="G318" s="2" t="s">
        <v>894</v>
      </c>
      <c r="H318" s="2" t="s">
        <v>159</v>
      </c>
      <c r="I318" s="2" t="str">
        <f>IFERROR(__xludf.DUMMYFUNCTION("GOOGLETRANSLATE(C318,""fr"",""en"")"),"I am very satisfied with the service and I recommend. Service very recaptive to the problems and very listening to its customers and the prices are very affordable to young drivers")</f>
        <v>I am very satisfied with the service and I recommend. Service very recaptive to the problems and very listening to its customers and the prices are very affordable to young drivers</v>
      </c>
    </row>
    <row r="319" ht="15.75" customHeight="1">
      <c r="A319" s="2">
        <v>1.0</v>
      </c>
      <c r="B319" s="2" t="s">
        <v>999</v>
      </c>
      <c r="C319" s="2" t="s">
        <v>1000</v>
      </c>
      <c r="D319" s="2" t="s">
        <v>30</v>
      </c>
      <c r="E319" s="2" t="s">
        <v>14</v>
      </c>
      <c r="F319" s="2" t="s">
        <v>15</v>
      </c>
      <c r="G319" s="2" t="s">
        <v>1001</v>
      </c>
      <c r="H319" s="2" t="s">
        <v>369</v>
      </c>
      <c r="I319" s="2" t="str">
        <f>IFERROR(__xludf.DUMMYFUNCTION("GOOGLETRANSLATE(C319,""fr"",""en"")"),"Insurance that is useless, no responsiveness, very bad care, no follow -up, in short to avoid !!! I had an accident (not responsible) and I had to wait 3 weeks to have a loan vehicle !!! Unacceptable")</f>
        <v>Insurance that is useless, no responsiveness, very bad care, no follow -up, in short to avoid !!! I had an accident (not responsible) and I had to wait 3 weeks to have a loan vehicle !!! Unacceptable</v>
      </c>
    </row>
    <row r="320" ht="15.75" customHeight="1">
      <c r="A320" s="2">
        <v>4.0</v>
      </c>
      <c r="B320" s="2" t="s">
        <v>1002</v>
      </c>
      <c r="C320" s="2" t="s">
        <v>1003</v>
      </c>
      <c r="D320" s="2" t="s">
        <v>416</v>
      </c>
      <c r="E320" s="2" t="s">
        <v>116</v>
      </c>
      <c r="F320" s="2" t="s">
        <v>15</v>
      </c>
      <c r="G320" s="2" t="s">
        <v>503</v>
      </c>
      <c r="H320" s="2" t="s">
        <v>70</v>
      </c>
      <c r="I320" s="2" t="str">
        <f>IFERROR(__xludf.DUMMYFUNCTION("GOOGLETRANSLATE(C320,""fr"",""en"")"),"Following the deceased of my grandmother on 05/30/2018. AFER sent us the file in the month to adjust the sums. We took 4 months to obtain the notorious act of the notary and we sent it immediately because we already had the file.
AFER settled the sum in "&amp;"3 weeks.
Nothing to say unlike Cardif.")</f>
        <v>Following the deceased of my grandmother on 05/30/2018. AFER sent us the file in the month to adjust the sums. We took 4 months to obtain the notorious act of the notary and we sent it immediately because we already had the file.
AFER settled the sum in 3 weeks.
Nothing to say unlike Cardif.</v>
      </c>
    </row>
    <row r="321" ht="15.75" customHeight="1">
      <c r="A321" s="2">
        <v>1.0</v>
      </c>
      <c r="B321" s="2" t="s">
        <v>1004</v>
      </c>
      <c r="C321" s="2" t="s">
        <v>1005</v>
      </c>
      <c r="D321" s="2" t="s">
        <v>141</v>
      </c>
      <c r="E321" s="2" t="s">
        <v>68</v>
      </c>
      <c r="F321" s="2" t="s">
        <v>15</v>
      </c>
      <c r="G321" s="2" t="s">
        <v>1006</v>
      </c>
      <c r="H321" s="2" t="s">
        <v>1007</v>
      </c>
      <c r="I321" s="2" t="str">
        <f>IFERROR(__xludf.DUMMYFUNCTION("GOOGLETRANSLATE(C321,""fr"",""en"")"),"Maif to avoid absolutely !!! To solve the contributions no problem ... but in the event of a disaster must be really patient no listening of any advisor, erroneous information slowness of the teeth of the file directed to a so-called expert: Union of expe"&amp;"rts who only has an expert than the Name not the slightest respect on the phone almost they shout at us is content to receive quotes or invoices by giving its opinion on compensation no contact by phone requires minimum 3 week to process a file no custome"&amp;"r relations insured to the maif !!! In my claim for a laptop purchased new € 700 in 2014 compensation listen well € 125 and out of the € 125 must count a deductible of € 125 so no refund")</f>
        <v>Maif to avoid absolutely !!! To solve the contributions no problem ... but in the event of a disaster must be really patient no listening of any advisor, erroneous information slowness of the teeth of the file directed to a so-called expert: Union of experts who only has an expert than the Name not the slightest respect on the phone almost they shout at us is content to receive quotes or invoices by giving its opinion on compensation no contact by phone requires minimum 3 week to process a file no customer relations insured to the maif !!! In my claim for a laptop purchased new € 700 in 2014 compensation listen well € 125 and out of the € 125 must count a deductible of € 125 so no refund</v>
      </c>
    </row>
    <row r="322" ht="15.75" customHeight="1">
      <c r="A322" s="2">
        <v>3.0</v>
      </c>
      <c r="B322" s="2" t="s">
        <v>1008</v>
      </c>
      <c r="C322" s="2" t="s">
        <v>1009</v>
      </c>
      <c r="D322" s="2" t="s">
        <v>30</v>
      </c>
      <c r="E322" s="2" t="s">
        <v>14</v>
      </c>
      <c r="F322" s="2" t="s">
        <v>15</v>
      </c>
      <c r="G322" s="2" t="s">
        <v>1010</v>
      </c>
      <c r="H322" s="2" t="s">
        <v>199</v>
      </c>
      <c r="I322" s="2" t="str">
        <f>IFERROR(__xludf.DUMMYFUNCTION("GOOGLETRANSLATE(C322,""fr"",""en"")"),"Impeccable I asked for a quote all these well and I was offered a good price very affordable as a young driver and I highly recommend this insurance")</f>
        <v>Impeccable I asked for a quote all these well and I was offered a good price very affordable as a young driver and I highly recommend this insurance</v>
      </c>
    </row>
    <row r="323" ht="15.75" customHeight="1">
      <c r="A323" s="2">
        <v>2.0</v>
      </c>
      <c r="B323" s="2" t="s">
        <v>1011</v>
      </c>
      <c r="C323" s="2" t="s">
        <v>1012</v>
      </c>
      <c r="D323" s="2" t="s">
        <v>50</v>
      </c>
      <c r="E323" s="2" t="s">
        <v>14</v>
      </c>
      <c r="F323" s="2" t="s">
        <v>15</v>
      </c>
      <c r="G323" s="2" t="s">
        <v>1013</v>
      </c>
      <c r="H323" s="2" t="s">
        <v>687</v>
      </c>
      <c r="I323" s="2" t="str">
        <f>IFERROR(__xludf.DUMMYFUNCTION("GOOGLETRANSLATE(C323,""fr"",""en"")"),"The olive assurance in clear a price certainly but nothing but then nothing else after 2 clear observations they are there not to defend your interests but to make you carry responsibilities even if for any insurer this is obvious one advice never subscri"&amp;"be to them since in the end in the slightest hitch they defend the interests of the opposing party")</f>
        <v>The olive assurance in clear a price certainly but nothing but then nothing else after 2 clear observations they are there not to defend your interests but to make you carry responsibilities even if for any insurer this is obvious one advice never subscribe to them since in the end in the slightest hitch they defend the interests of the opposing party</v>
      </c>
    </row>
    <row r="324" ht="15.75" customHeight="1">
      <c r="A324" s="2">
        <v>2.0</v>
      </c>
      <c r="B324" s="2" t="s">
        <v>1014</v>
      </c>
      <c r="C324" s="2" t="s">
        <v>1015</v>
      </c>
      <c r="D324" s="2" t="s">
        <v>30</v>
      </c>
      <c r="E324" s="2" t="s">
        <v>14</v>
      </c>
      <c r="F324" s="2" t="s">
        <v>15</v>
      </c>
      <c r="G324" s="2" t="s">
        <v>1016</v>
      </c>
      <c r="H324" s="2" t="s">
        <v>298</v>
      </c>
      <c r="I324" s="2" t="str">
        <f>IFERROR(__xludf.DUMMYFUNCTION("GOOGLETRANSLATE(C324,""fr"",""en"")"),"Go running !!!! The price is attractive but as soon as you have subscribed it is horror! Seeking price is good but not at the expense of quality. So I prefer to pay a little more expensive but have competent people who do not try to have you. I had to loo"&amp;"k at the opinions before subscribing because when I read the comments I was not surprised.")</f>
        <v>Go running !!!! The price is attractive but as soon as you have subscribed it is horror! Seeking price is good but not at the expense of quality. So I prefer to pay a little more expensive but have competent people who do not try to have you. I had to look at the opinions before subscribing because when I read the comments I was not surprised.</v>
      </c>
    </row>
    <row r="325" ht="15.75" customHeight="1">
      <c r="A325" s="2">
        <v>2.0</v>
      </c>
      <c r="B325" s="2" t="s">
        <v>1017</v>
      </c>
      <c r="C325" s="2" t="s">
        <v>1018</v>
      </c>
      <c r="D325" s="2" t="s">
        <v>41</v>
      </c>
      <c r="E325" s="2" t="s">
        <v>36</v>
      </c>
      <c r="F325" s="2" t="s">
        <v>15</v>
      </c>
      <c r="G325" s="2" t="s">
        <v>1019</v>
      </c>
      <c r="H325" s="2" t="s">
        <v>155</v>
      </c>
      <c r="I325" s="2" t="str">
        <f>IFERROR(__xludf.DUMMYFUNCTION("GOOGLETRANSLATE(C325,""fr"",""en"")"),"Cegema gave me satisfaction concerning the services but finding the high contribution, I went to another mutual. I am not sure I made the right choice ....
")</f>
        <v>Cegema gave me satisfaction concerning the services but finding the high contribution, I went to another mutual. I am not sure I made the right choice ....
</v>
      </c>
    </row>
    <row r="326" ht="15.75" customHeight="1">
      <c r="A326" s="2">
        <v>1.0</v>
      </c>
      <c r="B326" s="2" t="s">
        <v>1020</v>
      </c>
      <c r="C326" s="2" t="s">
        <v>1021</v>
      </c>
      <c r="D326" s="2" t="s">
        <v>13</v>
      </c>
      <c r="E326" s="2" t="s">
        <v>14</v>
      </c>
      <c r="F326" s="2" t="s">
        <v>15</v>
      </c>
      <c r="G326" s="2" t="s">
        <v>1022</v>
      </c>
      <c r="H326" s="2" t="s">
        <v>91</v>
      </c>
      <c r="I326" s="2" t="str">
        <f>IFERROR(__xludf.DUMMYFUNCTION("GOOGLETRANSLATE(C326,""fr"",""en"")"),"The MAAF which is a mutual insurance company whose objectives are not supposed to be the same as for profit insurance, does not offer truly lower prices, but above all and unfortunately use the same methods as private insurers to penalize or oust its cust"&amp;"omers At the slightest claim, even after several years see decades without a claim.")</f>
        <v>The MAAF which is a mutual insurance company whose objectives are not supposed to be the same as for profit insurance, does not offer truly lower prices, but above all and unfortunately use the same methods as private insurers to penalize or oust its customers At the slightest claim, even after several years see decades without a claim.</v>
      </c>
    </row>
    <row r="327" ht="15.75" customHeight="1">
      <c r="A327" s="2">
        <v>3.0</v>
      </c>
      <c r="B327" s="2" t="s">
        <v>1023</v>
      </c>
      <c r="C327" s="2" t="s">
        <v>1024</v>
      </c>
      <c r="D327" s="2" t="s">
        <v>30</v>
      </c>
      <c r="E327" s="2" t="s">
        <v>14</v>
      </c>
      <c r="F327" s="2" t="s">
        <v>15</v>
      </c>
      <c r="G327" s="2" t="s">
        <v>1025</v>
      </c>
      <c r="H327" s="2" t="s">
        <v>32</v>
      </c>
      <c r="I327" s="2" t="str">
        <f>IFERROR(__xludf.DUMMYFUNCTION("GOOGLETRANSLATE(C327,""fr"",""en"")"),"The prices are suitable, but I only have home insurance for the moment so my opinion is not necessarily on the scale of reality. I think that for a T1 bis on the outskirts of a small town, for a student, € 119 is expensive ... but I do not complain becaus"&amp;"e there is certainly more expensive")</f>
        <v>The prices are suitable, but I only have home insurance for the moment so my opinion is not necessarily on the scale of reality. I think that for a T1 bis on the outskirts of a small town, for a student, € 119 is expensive ... but I do not complain because there is certainly more expensive</v>
      </c>
    </row>
    <row r="328" ht="15.75" customHeight="1">
      <c r="A328" s="2">
        <v>2.0</v>
      </c>
      <c r="B328" s="2" t="s">
        <v>1026</v>
      </c>
      <c r="C328" s="2" t="s">
        <v>1027</v>
      </c>
      <c r="D328" s="2" t="s">
        <v>30</v>
      </c>
      <c r="E328" s="2" t="s">
        <v>14</v>
      </c>
      <c r="F328" s="2" t="s">
        <v>15</v>
      </c>
      <c r="G328" s="2" t="s">
        <v>1028</v>
      </c>
      <c r="H328" s="2" t="s">
        <v>96</v>
      </c>
      <c r="I328" s="2" t="str">
        <f>IFERROR(__xludf.DUMMYFUNCTION("GOOGLETRANSLATE(C328,""fr"",""en"")"),"After two spent at Direct Assurance, I left!
The reasons: 23% increase in 2 years! find the mistake. And that without any accidents!
They can attract you with beautiful prices but it's a lure ...")</f>
        <v>After two spent at Direct Assurance, I left!
The reasons: 23% increase in 2 years! find the mistake. And that without any accidents!
They can attract you with beautiful prices but it's a lure ...</v>
      </c>
    </row>
    <row r="329" ht="15.75" customHeight="1">
      <c r="A329" s="2">
        <v>5.0</v>
      </c>
      <c r="B329" s="2" t="s">
        <v>1029</v>
      </c>
      <c r="C329" s="2" t="s">
        <v>1030</v>
      </c>
      <c r="D329" s="2" t="s">
        <v>50</v>
      </c>
      <c r="E329" s="2" t="s">
        <v>14</v>
      </c>
      <c r="F329" s="2" t="s">
        <v>15</v>
      </c>
      <c r="G329" s="2" t="s">
        <v>1031</v>
      </c>
      <c r="H329" s="2" t="s">
        <v>159</v>
      </c>
      <c r="I329" s="2" t="str">
        <f>IFERROR(__xludf.DUMMYFUNCTION("GOOGLETRANSLATE(C329,""fr"",""en"")"),"The best price with the ferret while waiting for the rest of your services. I hope not to be deceived. With thanks. Philippe Perraudin, Annecy.")</f>
        <v>The best price with the ferret while waiting for the rest of your services. I hope not to be deceived. With thanks. Philippe Perraudin, Annecy.</v>
      </c>
    </row>
    <row r="330" ht="15.75" customHeight="1">
      <c r="A330" s="2">
        <v>1.0</v>
      </c>
      <c r="B330" s="2" t="s">
        <v>1032</v>
      </c>
      <c r="C330" s="2" t="s">
        <v>1033</v>
      </c>
      <c r="D330" s="2" t="s">
        <v>25</v>
      </c>
      <c r="E330" s="2" t="s">
        <v>111</v>
      </c>
      <c r="F330" s="2" t="s">
        <v>15</v>
      </c>
      <c r="G330" s="2" t="s">
        <v>1034</v>
      </c>
      <c r="H330" s="2" t="s">
        <v>270</v>
      </c>
      <c r="I330" s="2" t="str">
        <f>IFERROR(__xludf.DUMMYFUNCTION("GOOGLETRANSLATE(C330,""fr"",""en"")"),"Impossible to reach someone. Registered mail returned because no one came to get it. Impossible to change insurance because absence of bonus/penalty information. To flee...")</f>
        <v>Impossible to reach someone. Registered mail returned because no one came to get it. Impossible to change insurance because absence of bonus/penalty information. To flee...</v>
      </c>
    </row>
    <row r="331" ht="15.75" customHeight="1">
      <c r="A331" s="2">
        <v>1.0</v>
      </c>
      <c r="B331" s="2" t="s">
        <v>1035</v>
      </c>
      <c r="C331" s="2" t="s">
        <v>1036</v>
      </c>
      <c r="D331" s="2" t="s">
        <v>99</v>
      </c>
      <c r="E331" s="2" t="s">
        <v>100</v>
      </c>
      <c r="F331" s="2" t="s">
        <v>15</v>
      </c>
      <c r="G331" s="2" t="s">
        <v>1037</v>
      </c>
      <c r="H331" s="2" t="s">
        <v>356</v>
      </c>
      <c r="I331" s="2" t="str">
        <f>IFERROR(__xludf.DUMMYFUNCTION("GOOGLETRANSLATE(C331,""fr"",""en"")"),"To flee, this insurer constantly asks you for veterinary certificates or other documents in addition to the care sheet and invoices. My veterinarian only makes them certificates but it's never going. Everything is done to never repay the insured. Above al"&amp;"l, do not come to Assur'o Hoise !!! You will not be covered because they never reimburse you. I stayed for a year and I understood that I will never be reimbursed. When we call an advisor, I am explained to me that under the general conditions it is indic"&amp;"ated that the insurer can request all the supporting documents that he deems useful before reimbursement !!! So this insurer also requires supporting documents .... and it never reimburses.")</f>
        <v>To flee, this insurer constantly asks you for veterinary certificates or other documents in addition to the care sheet and invoices. My veterinarian only makes them certificates but it's never going. Everything is done to never repay the insured. Above all, do not come to Assur'o Hoise !!! You will not be covered because they never reimburse you. I stayed for a year and I understood that I will never be reimbursed. When we call an advisor, I am explained to me that under the general conditions it is indicated that the insurer can request all the supporting documents that he deems useful before reimbursement !!! So this insurer also requires supporting documents .... and it never reimburses.</v>
      </c>
    </row>
    <row r="332" ht="15.75" customHeight="1">
      <c r="A332" s="2">
        <v>2.0</v>
      </c>
      <c r="B332" s="2" t="s">
        <v>1038</v>
      </c>
      <c r="C332" s="2" t="s">
        <v>1039</v>
      </c>
      <c r="D332" s="2" t="s">
        <v>85</v>
      </c>
      <c r="E332" s="2" t="s">
        <v>90</v>
      </c>
      <c r="F332" s="2" t="s">
        <v>15</v>
      </c>
      <c r="G332" s="2" t="s">
        <v>1040</v>
      </c>
      <c r="H332" s="2" t="s">
        <v>378</v>
      </c>
      <c r="I332" s="2" t="str">
        <f>IFERROR(__xludf.DUMMYFUNCTION("GOOGLETRANSLATE(C332,""fr"",""en"")"),"Poorly tested site. It disconnects you after a moment of inactivity, which is good, but it prevents reconnecting, which is not good. So no way to send a message.")</f>
        <v>Poorly tested site. It disconnects you after a moment of inactivity, which is good, but it prevents reconnecting, which is not good. So no way to send a message.</v>
      </c>
    </row>
    <row r="333" ht="15.75" customHeight="1">
      <c r="A333" s="2">
        <v>4.0</v>
      </c>
      <c r="B333" s="2" t="s">
        <v>1041</v>
      </c>
      <c r="C333" s="2" t="s">
        <v>1042</v>
      </c>
      <c r="D333" s="2" t="s">
        <v>50</v>
      </c>
      <c r="E333" s="2" t="s">
        <v>14</v>
      </c>
      <c r="F333" s="2" t="s">
        <v>15</v>
      </c>
      <c r="G333" s="2" t="s">
        <v>1043</v>
      </c>
      <c r="H333" s="2" t="s">
        <v>32</v>
      </c>
      <c r="I333" s="2" t="str">
        <f>IFERROR(__xludf.DUMMYFUNCTION("GOOGLETRANSLATE(C333,""fr"",""en"")"),"Competetive price. PB of communication on the quote at the start and reference bp on the version of the car. But kind interlocutor. Well verified the info twice ;-)")</f>
        <v>Competetive price. PB of communication on the quote at the start and reference bp on the version of the car. But kind interlocutor. Well verified the info twice ;-)</v>
      </c>
    </row>
    <row r="334" ht="15.75" customHeight="1">
      <c r="A334" s="2">
        <v>2.0</v>
      </c>
      <c r="B334" s="2" t="s">
        <v>1044</v>
      </c>
      <c r="C334" s="2" t="s">
        <v>1045</v>
      </c>
      <c r="D334" s="2" t="s">
        <v>35</v>
      </c>
      <c r="E334" s="2" t="s">
        <v>36</v>
      </c>
      <c r="F334" s="2" t="s">
        <v>15</v>
      </c>
      <c r="G334" s="2" t="s">
        <v>1046</v>
      </c>
      <c r="H334" s="2" t="s">
        <v>82</v>
      </c>
      <c r="I334" s="2" t="str">
        <f>IFERROR(__xludf.DUMMYFUNCTION("GOOGLETRANSLATE(C334,""fr"",""en"")"),"Following a request on a comparison Santiane Ma Call the advisor MA Request the end date of my current mutual. /05 I contact Santiane send a copy of the mail to ask for it to take effect on 01/06/2017 and following several calls on my part I am no longer "&amp;"new, I advise to flee this mutual")</f>
        <v>Following a request on a comparison Santiane Ma Call the advisor MA Request the end date of my current mutual. /05 I contact Santiane send a copy of the mail to ask for it to take effect on 01/06/2017 and following several calls on my part I am no longer new, I advise to flee this mutual</v>
      </c>
    </row>
    <row r="335" ht="15.75" customHeight="1">
      <c r="A335" s="2">
        <v>4.0</v>
      </c>
      <c r="B335" s="2" t="s">
        <v>1047</v>
      </c>
      <c r="C335" s="2" t="s">
        <v>1048</v>
      </c>
      <c r="D335" s="2" t="s">
        <v>219</v>
      </c>
      <c r="E335" s="2" t="s">
        <v>14</v>
      </c>
      <c r="F335" s="2" t="s">
        <v>15</v>
      </c>
      <c r="G335" s="2" t="s">
        <v>1049</v>
      </c>
      <c r="H335" s="2" t="s">
        <v>424</v>
      </c>
      <c r="I335" s="2" t="str">
        <f>IFERROR(__xludf.DUMMYFUNCTION("GOOGLETRANSLATE(C335,""fr"",""en"")"),"Allianz client for over 10 years.")</f>
        <v>Allianz client for over 10 years.</v>
      </c>
    </row>
    <row r="336" ht="15.75" customHeight="1">
      <c r="A336" s="2">
        <v>1.0</v>
      </c>
      <c r="B336" s="2" t="s">
        <v>1050</v>
      </c>
      <c r="C336" s="2" t="s">
        <v>1051</v>
      </c>
      <c r="D336" s="2" t="s">
        <v>134</v>
      </c>
      <c r="E336" s="2" t="s">
        <v>36</v>
      </c>
      <c r="F336" s="2" t="s">
        <v>15</v>
      </c>
      <c r="G336" s="2" t="s">
        <v>1052</v>
      </c>
      <c r="H336" s="2" t="s">
        <v>834</v>
      </c>
      <c r="I336" s="2" t="str">
        <f>IFERROR(__xludf.DUMMYFUNCTION("GOOGLETRANSLATE(C336,""fr"",""en"")"),"I am totally dissatisfied with this mutual, fortunately for me that someone had advised me a cabinet that finds solutions to this kind of concern I called 01.82.83.70.31 They are very professional")</f>
        <v>I am totally dissatisfied with this mutual, fortunately for me that someone had advised me a cabinet that finds solutions to this kind of concern I called 01.82.83.70.31 They are very professional</v>
      </c>
    </row>
    <row r="337" ht="15.75" customHeight="1">
      <c r="A337" s="2">
        <v>4.0</v>
      </c>
      <c r="B337" s="2" t="s">
        <v>1053</v>
      </c>
      <c r="C337" s="2" t="s">
        <v>1054</v>
      </c>
      <c r="D337" s="2" t="s">
        <v>171</v>
      </c>
      <c r="E337" s="2" t="s">
        <v>100</v>
      </c>
      <c r="F337" s="2" t="s">
        <v>15</v>
      </c>
      <c r="G337" s="2" t="s">
        <v>1055</v>
      </c>
      <c r="H337" s="2" t="s">
        <v>159</v>
      </c>
      <c r="I337" s="2" t="str">
        <f>IFERROR(__xludf.DUMMYFUNCTION("GOOGLETRANSLATE(C337,""fr"",""en"")"),"I have been insured at Santévet for my cat for 6 years and do not have to complain. It is true that problems can arise but things are resolved by phone. I just had the case and the people I got into contact were very correct and an agreement was quickly r"&amp;"eached. As for the price practiced for my level of warranty I find it honest and in correlation with those practiced by other insurances.")</f>
        <v>I have been insured at Santévet for my cat for 6 years and do not have to complain. It is true that problems can arise but things are resolved by phone. I just had the case and the people I got into contact were very correct and an agreement was quickly reached. As for the price practiced for my level of warranty I find it honest and in correlation with those practiced by other insurances.</v>
      </c>
    </row>
    <row r="338" ht="15.75" customHeight="1">
      <c r="A338" s="2">
        <v>2.0</v>
      </c>
      <c r="B338" s="2" t="s">
        <v>1056</v>
      </c>
      <c r="C338" s="2" t="s">
        <v>1057</v>
      </c>
      <c r="D338" s="2" t="s">
        <v>13</v>
      </c>
      <c r="E338" s="2" t="s">
        <v>68</v>
      </c>
      <c r="F338" s="2" t="s">
        <v>15</v>
      </c>
      <c r="G338" s="2" t="s">
        <v>1058</v>
      </c>
      <c r="H338" s="2" t="s">
        <v>397</v>
      </c>
      <c r="I338" s="2" t="str">
        <f>IFERROR(__xludf.DUMMYFUNCTION("GOOGLETRANSLATE(C338,""fr"",""en"")"),"Having my vehicle insured at the MAAF, I also wanted to ensure my home (which I had subscribed to my bank during the contraction of the mortgage). A price was announced to me by phone and I received a cheaper contract by mail but with fewer guarantees. So"&amp;" I phoned in order to have the guarantees and the price announced at the start but this was not possible: the proposed price does not exist! Very serious the Maaf Toulouse Dupuy!")</f>
        <v>Having my vehicle insured at the MAAF, I also wanted to ensure my home (which I had subscribed to my bank during the contraction of the mortgage). A price was announced to me by phone and I received a cheaper contract by mail but with fewer guarantees. So I phoned in order to have the guarantees and the price announced at the start but this was not possible: the proposed price does not exist! Very serious the Maaf Toulouse Dupuy!</v>
      </c>
    </row>
    <row r="339" ht="15.75" customHeight="1">
      <c r="A339" s="2">
        <v>1.0</v>
      </c>
      <c r="B339" s="2" t="s">
        <v>1059</v>
      </c>
      <c r="C339" s="2" t="s">
        <v>1060</v>
      </c>
      <c r="D339" s="2" t="s">
        <v>329</v>
      </c>
      <c r="E339" s="2" t="s">
        <v>68</v>
      </c>
      <c r="F339" s="2" t="s">
        <v>15</v>
      </c>
      <c r="G339" s="2" t="s">
        <v>1061</v>
      </c>
      <c r="H339" s="2" t="s">
        <v>131</v>
      </c>
      <c r="I339" s="2" t="str">
        <f>IFERROR(__xludf.DUMMYFUNCTION("GOOGLETRANSLATE(C339,""fr"",""en"")"),"Macif to avoid
Following a water damage due to a neighbor (sinister of 30/04/2020) more than 6 months than it hard. We have a condemned room following the water damage. I have called several times, I am strolling from telephone platform in telephone plat"&amp;"form. It's not us it's the expert, the expert is not us it's the Macif. A beautiful part of Ping Pong. I have 5 50% bonus vehicles, a home, an accident warranty at the Macif. Never more, never a commercial discount. Just good has paid a non -existent serv"&amp;"ice. I will take a look at the ferrets. com
 ")</f>
        <v>Macif to avoid
Following a water damage due to a neighbor (sinister of 30/04/2020) more than 6 months than it hard. We have a condemned room following the water damage. I have called several times, I am strolling from telephone platform in telephone platform. It's not us it's the expert, the expert is not us it's the Macif. A beautiful part of Ping Pong. I have 5 50% bonus vehicles, a home, an accident warranty at the Macif. Never more, never a commercial discount. Just good has paid a non -existent service. I will take a look at the ferrets. com
 </v>
      </c>
    </row>
    <row r="340" ht="15.75" customHeight="1">
      <c r="A340" s="2">
        <v>2.0</v>
      </c>
      <c r="B340" s="2" t="s">
        <v>1062</v>
      </c>
      <c r="C340" s="2" t="s">
        <v>1063</v>
      </c>
      <c r="D340" s="2" t="s">
        <v>30</v>
      </c>
      <c r="E340" s="2" t="s">
        <v>68</v>
      </c>
      <c r="F340" s="2" t="s">
        <v>15</v>
      </c>
      <c r="G340" s="2" t="s">
        <v>583</v>
      </c>
      <c r="H340" s="2" t="s">
        <v>159</v>
      </c>
      <c r="I340" s="2" t="str">
        <f>IFERROR(__xludf.DUMMYFUNCTION("GOOGLETRANSLATE(C340,""fr"",""en"")"),"I put 1 star because I don't have the opportunity to put less. 5 Housing contracts for several years, 1 dispute of declared: on August 29, 2020 I hung a lady on the sidewalk, as she was on the phone, this one fell. Declaration of quotes all sent to Direct"&amp;" Insurance. Despite the reminders 8 months later I just knows no reimbursement because the shop is deceived on the quote on 20.08.2020. I tried to prove my good faith but nothing to do they want to pay anything. 300 euros. I will terminate my contracts be"&amp;"cause I tell myself if one day my house burns I will have to wait for years. In their answer, they are on them, I am the one wrong.")</f>
        <v>I put 1 star because I don't have the opportunity to put less. 5 Housing contracts for several years, 1 dispute of declared: on August 29, 2020 I hung a lady on the sidewalk, as she was on the phone, this one fell. Declaration of quotes all sent to Direct Insurance. Despite the reminders 8 months later I just knows no reimbursement because the shop is deceived on the quote on 20.08.2020. I tried to prove my good faith but nothing to do they want to pay anything. 300 euros. I will terminate my contracts because I tell myself if one day my house burns I will have to wait for years. In their answer, they are on them, I am the one wrong.</v>
      </c>
    </row>
    <row r="341" ht="15.75" customHeight="1">
      <c r="A341" s="2">
        <v>3.0</v>
      </c>
      <c r="B341" s="2" t="s">
        <v>1064</v>
      </c>
      <c r="C341" s="2" t="s">
        <v>1065</v>
      </c>
      <c r="D341" s="2" t="s">
        <v>99</v>
      </c>
      <c r="E341" s="2" t="s">
        <v>100</v>
      </c>
      <c r="F341" s="2" t="s">
        <v>15</v>
      </c>
      <c r="G341" s="2" t="s">
        <v>205</v>
      </c>
      <c r="H341" s="2" t="s">
        <v>159</v>
      </c>
      <c r="I341" s="2" t="str">
        <f>IFERROR(__xludf.DUMMYFUNCTION("GOOGLETRANSLATE(C341,""fr"",""en"")"),"Refunds of costs are very long, it takes more than 15 days, especially when the sums are important, too bad. But the contract is well respected.")</f>
        <v>Refunds of costs are very long, it takes more than 15 days, especially when the sums are important, too bad. But the contract is well respected.</v>
      </c>
    </row>
    <row r="342" ht="15.75" customHeight="1">
      <c r="A342" s="2">
        <v>1.0</v>
      </c>
      <c r="B342" s="2" t="s">
        <v>1066</v>
      </c>
      <c r="C342" s="2" t="s">
        <v>1067</v>
      </c>
      <c r="D342" s="2" t="s">
        <v>30</v>
      </c>
      <c r="E342" s="2" t="s">
        <v>14</v>
      </c>
      <c r="F342" s="2" t="s">
        <v>15</v>
      </c>
      <c r="G342" s="2" t="s">
        <v>205</v>
      </c>
      <c r="H342" s="2" t="s">
        <v>159</v>
      </c>
      <c r="I342" s="2" t="str">
        <f>IFERROR(__xludf.DUMMYFUNCTION("GOOGLETRANSLATE(C342,""fr"",""en"")"),"My car contract was terminated without request from me !!!!!!!! If tomorrow I have a sinister, how do we do it !!!!! ???? Impossible to have customer service !!!")</f>
        <v>My car contract was terminated without request from me !!!!!!!! If tomorrow I have a sinister, how do we do it !!!!! ???? Impossible to have customer service !!!</v>
      </c>
    </row>
    <row r="343" ht="15.75" customHeight="1">
      <c r="A343" s="2">
        <v>1.0</v>
      </c>
      <c r="B343" s="2" t="s">
        <v>1068</v>
      </c>
      <c r="C343" s="2" t="s">
        <v>1069</v>
      </c>
      <c r="D343" s="2" t="s">
        <v>13</v>
      </c>
      <c r="E343" s="2" t="s">
        <v>68</v>
      </c>
      <c r="F343" s="2" t="s">
        <v>15</v>
      </c>
      <c r="G343" s="2" t="s">
        <v>322</v>
      </c>
      <c r="H343" s="2" t="s">
        <v>107</v>
      </c>
      <c r="I343" s="2" t="str">
        <f>IFERROR(__xludf.DUMMYFUNCTION("GOOGLETRANSLATE(C343,""fr"",""en"")"),"Impossible to have your agency, an incompetent sinister service brief many beautiful advertising on TV but that promises.
Pay and hope not to have a sinister to flee!")</f>
        <v>Impossible to have your agency, an incompetent sinister service brief many beautiful advertising on TV but that promises.
Pay and hope not to have a sinister to flee!</v>
      </c>
    </row>
    <row r="344" ht="15.75" customHeight="1">
      <c r="A344" s="2">
        <v>4.0</v>
      </c>
      <c r="B344" s="2" t="s">
        <v>1070</v>
      </c>
      <c r="C344" s="2" t="s">
        <v>1071</v>
      </c>
      <c r="D344" s="2" t="s">
        <v>1072</v>
      </c>
      <c r="E344" s="2" t="s">
        <v>1073</v>
      </c>
      <c r="F344" s="2" t="s">
        <v>15</v>
      </c>
      <c r="G344" s="2" t="s">
        <v>522</v>
      </c>
      <c r="H344" s="2" t="s">
        <v>107</v>
      </c>
      <c r="I344" s="2" t="str">
        <f>IFERROR(__xludf.DUMMYFUNCTION("GOOGLETRANSLATE(C344,""fr"",""en"")"),"Very pro and responsive in the support for the creation of a bakery
Clear and precise explanation on the entire insurance contract.
No complaints")</f>
        <v>Very pro and responsive in the support for the creation of a bakery
Clear and precise explanation on the entire insurance contract.
No complaints</v>
      </c>
    </row>
    <row r="345" ht="15.75" customHeight="1">
      <c r="A345" s="2">
        <v>3.0</v>
      </c>
      <c r="B345" s="2" t="s">
        <v>1074</v>
      </c>
      <c r="C345" s="2" t="s">
        <v>1075</v>
      </c>
      <c r="D345" s="2" t="s">
        <v>184</v>
      </c>
      <c r="E345" s="2" t="s">
        <v>36</v>
      </c>
      <c r="F345" s="2" t="s">
        <v>15</v>
      </c>
      <c r="G345" s="2" t="s">
        <v>609</v>
      </c>
      <c r="H345" s="2" t="s">
        <v>159</v>
      </c>
      <c r="I345" s="2" t="str">
        <f>IFERROR(__xludf.DUMMYFUNCTION("GOOGLETRANSLATE(C345,""fr"",""en"")"),"Having had an MLD I had no information and no aid, no moral, neither material for the duration of the processing, nor any information on the care, the letters that I was not coming from ... .
Following an accident shortly after, the MAIF signed an agreem"&amp;"ent with. The MGEN, but it ignored it .... and the reimbursements dragged in length, the MAIF was forced to intervene.
When you are in ""good health"" you have no problem, the MGEN even offers itself to make sure you a great vacation, but if you are not "&amp;"going well, it will bother you as much as possible, that's what I remember After more than 60 years of adhesion. Who says better? We have a beautiful customer area, but the staff ignore the messages, or ignore computer science. When you have a problem sta"&amp;"rt with antidepressants ....")</f>
        <v>Having had an MLD I had no information and no aid, no moral, neither material for the duration of the processing, nor any information on the care, the letters that I was not coming from ... .
Following an accident shortly after, the MAIF signed an agreement with. The MGEN, but it ignored it .... and the reimbursements dragged in length, the MAIF was forced to intervene.
When you are in "good health" you have no problem, the MGEN even offers itself to make sure you a great vacation, but if you are not going well, it will bother you as much as possible, that's what I remember After more than 60 years of adhesion. Who says better? We have a beautiful customer area, but the staff ignore the messages, or ignore computer science. When you have a problem start with antidepressants ....</v>
      </c>
    </row>
    <row r="346" ht="15.75" customHeight="1">
      <c r="A346" s="2">
        <v>4.0</v>
      </c>
      <c r="B346" s="2" t="s">
        <v>1076</v>
      </c>
      <c r="C346" s="2" t="s">
        <v>1077</v>
      </c>
      <c r="D346" s="2" t="s">
        <v>30</v>
      </c>
      <c r="E346" s="2" t="s">
        <v>14</v>
      </c>
      <c r="F346" s="2" t="s">
        <v>15</v>
      </c>
      <c r="G346" s="2" t="s">
        <v>1078</v>
      </c>
      <c r="H346" s="2" t="s">
        <v>64</v>
      </c>
      <c r="I346" s="2" t="str">
        <f>IFERROR(__xludf.DUMMYFUNCTION("GOOGLETRANSLATE(C346,""fr"",""en"")"),"Simple and clear. The prices are attractive, the explanations clear, the graphics neat. Well documented options. To see in use but starts a lot.")</f>
        <v>Simple and clear. The prices are attractive, the explanations clear, the graphics neat. Well documented options. To see in use but starts a lot.</v>
      </c>
    </row>
    <row r="347" ht="15.75" customHeight="1">
      <c r="A347" s="2">
        <v>3.0</v>
      </c>
      <c r="B347" s="2" t="s">
        <v>1079</v>
      </c>
      <c r="C347" s="2" t="s">
        <v>1080</v>
      </c>
      <c r="D347" s="2" t="s">
        <v>30</v>
      </c>
      <c r="E347" s="2" t="s">
        <v>14</v>
      </c>
      <c r="F347" s="2" t="s">
        <v>15</v>
      </c>
      <c r="G347" s="2" t="s">
        <v>1081</v>
      </c>
      <c r="H347" s="2" t="s">
        <v>27</v>
      </c>
      <c r="I347" s="2" t="str">
        <f>IFERROR(__xludf.DUMMYFUNCTION("GOOGLETRANSLATE(C347,""fr"",""en"")"),"The price, only the price. Information error on the part of an advisor last month I took a rejection penalty from the bank when I was certified that I would be sent an email to pay online by CB before representing sampling. It was not the case. I call, I "&amp;"am swinging that it is my fault and that the adviser to evil express. No commercial gesture, even no apology, nothing. Ah yes and apparently I make a whole story for ""just 8 euros"" but that is the principle: if I had been informed that the levy would be"&amp;" represented, I would have put a little money on the account before closing it . Zero customer service.")</f>
        <v>The price, only the price. Information error on the part of an advisor last month I took a rejection penalty from the bank when I was certified that I would be sent an email to pay online by CB before representing sampling. It was not the case. I call, I am swinging that it is my fault and that the adviser to evil express. No commercial gesture, even no apology, nothing. Ah yes and apparently I make a whole story for "just 8 euros" but that is the principle: if I had been informed that the levy would be represented, I would have put a little money on the account before closing it . Zero customer service.</v>
      </c>
    </row>
    <row r="348" ht="15.75" customHeight="1">
      <c r="A348" s="2">
        <v>4.0</v>
      </c>
      <c r="B348" s="2" t="s">
        <v>1082</v>
      </c>
      <c r="C348" s="2" t="s">
        <v>1083</v>
      </c>
      <c r="D348" s="2" t="s">
        <v>30</v>
      </c>
      <c r="E348" s="2" t="s">
        <v>14</v>
      </c>
      <c r="F348" s="2" t="s">
        <v>15</v>
      </c>
      <c r="G348" s="2" t="s">
        <v>993</v>
      </c>
      <c r="H348" s="2" t="s">
        <v>47</v>
      </c>
      <c r="I348" s="2" t="str">
        <f>IFERROR(__xludf.DUMMYFUNCTION("GOOGLETRANSLATE(C348,""fr"",""en"")"),"It may be a slightly faster follow -up and response when you write to you by email in the application. By your service by SMS is at the top whether Hélène or the other person I had")</f>
        <v>It may be a slightly faster follow -up and response when you write to you by email in the application. By your service by SMS is at the top whether Hélène or the other person I had</v>
      </c>
    </row>
    <row r="349" ht="15.75" customHeight="1">
      <c r="A349" s="2">
        <v>5.0</v>
      </c>
      <c r="B349" s="2" t="s">
        <v>1084</v>
      </c>
      <c r="C349" s="2" t="s">
        <v>1085</v>
      </c>
      <c r="D349" s="2" t="s">
        <v>50</v>
      </c>
      <c r="E349" s="2" t="s">
        <v>14</v>
      </c>
      <c r="F349" s="2" t="s">
        <v>15</v>
      </c>
      <c r="G349" s="2" t="s">
        <v>162</v>
      </c>
      <c r="H349" s="2" t="s">
        <v>159</v>
      </c>
      <c r="I349" s="2" t="str">
        <f>IFERROR(__xludf.DUMMYFUNCTION("GOOGLETRANSLATE(C349,""fr"",""en"")"),"I am currently satisfied with my registration, I will then see management in the event of claims. thank you for your understanding
Cordially")</f>
        <v>I am currently satisfied with my registration, I will then see management in the event of claims. thank you for your understanding
Cordially</v>
      </c>
    </row>
    <row r="350" ht="15.75" customHeight="1">
      <c r="A350" s="2">
        <v>3.0</v>
      </c>
      <c r="B350" s="2" t="s">
        <v>1086</v>
      </c>
      <c r="C350" s="2" t="s">
        <v>1087</v>
      </c>
      <c r="D350" s="2" t="s">
        <v>30</v>
      </c>
      <c r="E350" s="2" t="s">
        <v>14</v>
      </c>
      <c r="F350" s="2" t="s">
        <v>15</v>
      </c>
      <c r="G350" s="2" t="s">
        <v>639</v>
      </c>
      <c r="H350" s="2" t="s">
        <v>47</v>
      </c>
      <c r="I350" s="2" t="str">
        <f>IFERROR(__xludf.DUMMYFUNCTION("GOOGLETRANSLATE(C350,""fr"",""en"")"),"I am satisfied with the service, simple and practical. Indeed, the site is understandable and clear. So I attribute three stars each for prices and my satisfaction.")</f>
        <v>I am satisfied with the service, simple and practical. Indeed, the site is understandable and clear. So I attribute three stars each for prices and my satisfaction.</v>
      </c>
    </row>
    <row r="351" ht="15.75" customHeight="1">
      <c r="A351" s="2">
        <v>2.0</v>
      </c>
      <c r="B351" s="2" t="s">
        <v>1088</v>
      </c>
      <c r="C351" s="2" t="s">
        <v>1089</v>
      </c>
      <c r="D351" s="2" t="s">
        <v>50</v>
      </c>
      <c r="E351" s="2" t="s">
        <v>14</v>
      </c>
      <c r="F351" s="2" t="s">
        <v>15</v>
      </c>
      <c r="G351" s="2" t="s">
        <v>1090</v>
      </c>
      <c r="H351" s="2" t="s">
        <v>91</v>
      </c>
      <c r="I351" s="2" t="str">
        <f>IFERROR(__xludf.DUMMYFUNCTION("GOOGLETRANSLATE(C351,""fr"",""en"")"),"Nestable but incompetent customer service: very bad follow -up of files between the various advisers. It is necessary to revive often to have answers. Big slowness of file processing.
With them for 2 years. A claim lately and I am terminated.")</f>
        <v>Nestable but incompetent customer service: very bad follow -up of files between the various advisers. It is necessary to revive often to have answers. Big slowness of file processing.
With them for 2 years. A claim lately and I am terminated.</v>
      </c>
    </row>
    <row r="352" ht="15.75" customHeight="1">
      <c r="A352" s="2">
        <v>5.0</v>
      </c>
      <c r="B352" s="2" t="s">
        <v>1091</v>
      </c>
      <c r="C352" s="2" t="s">
        <v>1092</v>
      </c>
      <c r="D352" s="2" t="s">
        <v>145</v>
      </c>
      <c r="E352" s="2" t="s">
        <v>111</v>
      </c>
      <c r="F352" s="2" t="s">
        <v>15</v>
      </c>
      <c r="G352" s="2" t="s">
        <v>264</v>
      </c>
      <c r="H352" s="2" t="s">
        <v>38</v>
      </c>
      <c r="I352" s="2" t="str">
        <f>IFERROR(__xludf.DUMMYFUNCTION("GOOGLETRANSLATE(C352,""fr"",""en"")"),"For x years at AMV, still as satisfied with both prices and service. I just changed my contract following a motorcycle replacement, a breeze. I recommend without reservation.")</f>
        <v>For x years at AMV, still as satisfied with both prices and service. I just changed my contract following a motorcycle replacement, a breeze. I recommend without reservation.</v>
      </c>
    </row>
    <row r="353" ht="15.75" customHeight="1">
      <c r="A353" s="2">
        <v>4.0</v>
      </c>
      <c r="B353" s="2" t="s">
        <v>1093</v>
      </c>
      <c r="C353" s="2" t="s">
        <v>1094</v>
      </c>
      <c r="D353" s="2" t="s">
        <v>30</v>
      </c>
      <c r="E353" s="2" t="s">
        <v>14</v>
      </c>
      <c r="F353" s="2" t="s">
        <v>15</v>
      </c>
      <c r="G353" s="2" t="s">
        <v>1095</v>
      </c>
      <c r="H353" s="2" t="s">
        <v>38</v>
      </c>
      <c r="I353" s="2" t="str">
        <f>IFERROR(__xludf.DUMMYFUNCTION("GOOGLETRANSLATE(C353,""fr"",""en"")"),"Fully satisfied with regard to the website. For the rest I have no opinion yet. I could decide once my effective insurance")</f>
        <v>Fully satisfied with regard to the website. For the rest I have no opinion yet. I could decide once my effective insurance</v>
      </c>
    </row>
    <row r="354" ht="15.75" customHeight="1">
      <c r="A354" s="2">
        <v>5.0</v>
      </c>
      <c r="B354" s="2" t="s">
        <v>1096</v>
      </c>
      <c r="C354" s="2" t="s">
        <v>1097</v>
      </c>
      <c r="D354" s="2" t="s">
        <v>30</v>
      </c>
      <c r="E354" s="2" t="s">
        <v>14</v>
      </c>
      <c r="F354" s="2" t="s">
        <v>15</v>
      </c>
      <c r="G354" s="2" t="s">
        <v>146</v>
      </c>
      <c r="H354" s="2" t="s">
        <v>38</v>
      </c>
      <c r="I354" s="2" t="str">
        <f>IFERROR(__xludf.DUMMYFUNCTION("GOOGLETRANSLATE(C354,""fr"",""en"")"),"Super quality insurance compared to prices no worries. I save money and its good
I am greatly satisfied
Thank you direct insurance
")</f>
        <v>Super quality insurance compared to prices no worries. I save money and its good
I am greatly satisfied
Thank you direct insurance
</v>
      </c>
    </row>
    <row r="355" ht="15.75" customHeight="1">
      <c r="A355" s="2">
        <v>5.0</v>
      </c>
      <c r="B355" s="2" t="s">
        <v>1098</v>
      </c>
      <c r="C355" s="2" t="s">
        <v>1099</v>
      </c>
      <c r="D355" s="2" t="s">
        <v>50</v>
      </c>
      <c r="E355" s="2" t="s">
        <v>14</v>
      </c>
      <c r="F355" s="2" t="s">
        <v>15</v>
      </c>
      <c r="G355" s="2" t="s">
        <v>1100</v>
      </c>
      <c r="H355" s="2" t="s">
        <v>159</v>
      </c>
      <c r="I355" s="2" t="str">
        <f>IFERROR(__xludf.DUMMYFUNCTION("GOOGLETRANSLATE(C355,""fr"",""en"")"),"The site is simple and practical.
Competetive price.
We will see over time.
I will recommend this insurance to my loved ones for simplicity and price.")</f>
        <v>The site is simple and practical.
Competetive price.
We will see over time.
I will recommend this insurance to my loved ones for simplicity and price.</v>
      </c>
    </row>
    <row r="356" ht="15.75" customHeight="1">
      <c r="A356" s="2">
        <v>3.0</v>
      </c>
      <c r="B356" s="2" t="s">
        <v>1101</v>
      </c>
      <c r="C356" s="2" t="s">
        <v>1102</v>
      </c>
      <c r="D356" s="2" t="s">
        <v>30</v>
      </c>
      <c r="E356" s="2" t="s">
        <v>14</v>
      </c>
      <c r="F356" s="2" t="s">
        <v>15</v>
      </c>
      <c r="G356" s="2" t="s">
        <v>793</v>
      </c>
      <c r="H356" s="2" t="s">
        <v>64</v>
      </c>
      <c r="I356" s="2" t="str">
        <f>IFERROR(__xludf.DUMMYFUNCTION("GOOGLETRANSLATE(C356,""fr"",""en"")"),"Attractive prices after seeing in case of claims
After having to put 150 character on my opinion when I do not yet know this insurance
It's medium")</f>
        <v>Attractive prices after seeing in case of claims
After having to put 150 character on my opinion when I do not yet know this insurance
It's medium</v>
      </c>
    </row>
    <row r="357" ht="15.75" customHeight="1">
      <c r="A357" s="2">
        <v>2.0</v>
      </c>
      <c r="B357" s="2" t="s">
        <v>1103</v>
      </c>
      <c r="C357" s="2" t="s">
        <v>1104</v>
      </c>
      <c r="D357" s="2" t="s">
        <v>85</v>
      </c>
      <c r="E357" s="2" t="s">
        <v>90</v>
      </c>
      <c r="F357" s="2" t="s">
        <v>15</v>
      </c>
      <c r="G357" s="2" t="s">
        <v>742</v>
      </c>
      <c r="H357" s="2" t="s">
        <v>177</v>
      </c>
      <c r="I357" s="2" t="str">
        <f>IFERROR(__xludf.DUMMYFUNCTION("GOOGLETRANSLATE(C357,""fr"",""en"")"),"Too long processing deadlines")</f>
        <v>Too long processing deadlines</v>
      </c>
    </row>
    <row r="358" ht="15.75" customHeight="1">
      <c r="A358" s="2">
        <v>3.0</v>
      </c>
      <c r="B358" s="2" t="s">
        <v>1105</v>
      </c>
      <c r="C358" s="2" t="s">
        <v>1106</v>
      </c>
      <c r="D358" s="2" t="s">
        <v>30</v>
      </c>
      <c r="E358" s="2" t="s">
        <v>14</v>
      </c>
      <c r="F358" s="2" t="s">
        <v>15</v>
      </c>
      <c r="G358" s="2" t="s">
        <v>1107</v>
      </c>
      <c r="H358" s="2" t="s">
        <v>159</v>
      </c>
      <c r="I358" s="2" t="str">
        <f>IFERROR(__xludf.DUMMYFUNCTION("GOOGLETRANSLATE(C358,""fr"",""en"")"),"The prices are in line with the deductibles requested in the event of damage.
To study with competition. In order to find the best possible offer")</f>
        <v>The prices are in line with the deductibles requested in the event of damage.
To study with competition. In order to find the best possible offer</v>
      </c>
    </row>
    <row r="359" ht="15.75" customHeight="1">
      <c r="A359" s="2">
        <v>1.0</v>
      </c>
      <c r="B359" s="2" t="s">
        <v>1108</v>
      </c>
      <c r="C359" s="2" t="s">
        <v>1109</v>
      </c>
      <c r="D359" s="2" t="s">
        <v>292</v>
      </c>
      <c r="E359" s="2" t="s">
        <v>14</v>
      </c>
      <c r="F359" s="2" t="s">
        <v>15</v>
      </c>
      <c r="G359" s="2" t="s">
        <v>602</v>
      </c>
      <c r="H359" s="2" t="s">
        <v>326</v>
      </c>
      <c r="I359" s="2" t="str">
        <f>IFERROR(__xludf.DUMMYFUNCTION("GOOGLETRANSLATE(C359,""fr"",""en"")"),"No follow -up of the files. No synchronization between services and the local agency.")</f>
        <v>No follow -up of the files. No synchronization between services and the local agency.</v>
      </c>
    </row>
    <row r="360" ht="15.75" customHeight="1">
      <c r="A360" s="2">
        <v>1.0</v>
      </c>
      <c r="B360" s="2" t="s">
        <v>1110</v>
      </c>
      <c r="C360" s="2" t="s">
        <v>1111</v>
      </c>
      <c r="D360" s="2" t="s">
        <v>292</v>
      </c>
      <c r="E360" s="2" t="s">
        <v>68</v>
      </c>
      <c r="F360" s="2" t="s">
        <v>15</v>
      </c>
      <c r="G360" s="2" t="s">
        <v>1112</v>
      </c>
      <c r="H360" s="2" t="s">
        <v>47</v>
      </c>
      <c r="I360" s="2" t="str">
        <f>IFERROR(__xludf.DUMMYFUNCTION("GOOGLETRANSLATE(C360,""fr"",""en"")"),"Avoid at all costs. Mother, 85, has a disaster that has not been resolved for 2 years!
No response to emails, it is impossible to reach them telephone, and when you go to an agency, you have agents who have good will but who are unable to move their own "&amp;"organization!
Never seen!")</f>
        <v>Avoid at all costs. Mother, 85, has a disaster that has not been resolved for 2 years!
No response to emails, it is impossible to reach them telephone, and when you go to an agency, you have agents who have good will but who are unable to move their own organization!
Never seen!</v>
      </c>
    </row>
    <row r="361" ht="15.75" customHeight="1">
      <c r="A361" s="2">
        <v>1.0</v>
      </c>
      <c r="B361" s="2" t="s">
        <v>1113</v>
      </c>
      <c r="C361" s="2" t="s">
        <v>1114</v>
      </c>
      <c r="D361" s="2" t="s">
        <v>30</v>
      </c>
      <c r="E361" s="2" t="s">
        <v>14</v>
      </c>
      <c r="F361" s="2" t="s">
        <v>15</v>
      </c>
      <c r="G361" s="2" t="s">
        <v>159</v>
      </c>
      <c r="H361" s="2" t="s">
        <v>159</v>
      </c>
      <c r="I361" s="2" t="str">
        <f>IFERROR(__xludf.DUMMYFUNCTION("GOOGLETRANSLATE(C361,""fr"",""en"")"),"I called the service for a car and housing quote
The advisor gave me the prices
I told her that I was talking about it with my wife to even the formulas that she offered me the one we subscribe
And she told me that she was going to me the next day
I w"&amp;"as waiting for her call she never reminded me
So I went to my space to see the quote and subscribe there is no quote
suddenly you still need to come across another to start everything again")</f>
        <v>I called the service for a car and housing quote
The advisor gave me the prices
I told her that I was talking about it with my wife to even the formulas that she offered me the one we subscribe
And she told me that she was going to me the next day
I was waiting for her call she never reminded me
So I went to my space to see the quote and subscribe there is no quote
suddenly you still need to come across another to start everything again</v>
      </c>
    </row>
    <row r="362" ht="15.75" customHeight="1">
      <c r="A362" s="2">
        <v>2.0</v>
      </c>
      <c r="B362" s="2" t="s">
        <v>1115</v>
      </c>
      <c r="C362" s="2" t="s">
        <v>1116</v>
      </c>
      <c r="D362" s="2" t="s">
        <v>436</v>
      </c>
      <c r="E362" s="2" t="s">
        <v>36</v>
      </c>
      <c r="F362" s="2" t="s">
        <v>15</v>
      </c>
      <c r="G362" s="2" t="s">
        <v>1117</v>
      </c>
      <c r="H362" s="2" t="s">
        <v>340</v>
      </c>
      <c r="I362" s="2" t="str">
        <f>IFERROR(__xludf.DUMMYFUNCTION("GOOGLETRANSLATE(C362,""fr"",""en"")"),"We are on February 20, 2019. I still haven't received my 2019 mutual card. And Harmonie has still not connected with the Social person despite my many phone calls.")</f>
        <v>We are on February 20, 2019. I still haven't received my 2019 mutual card. And Harmonie has still not connected with the Social person despite my many phone calls.</v>
      </c>
    </row>
    <row r="363" ht="15.75" customHeight="1">
      <c r="A363" s="2">
        <v>1.0</v>
      </c>
      <c r="B363" s="2" t="s">
        <v>1118</v>
      </c>
      <c r="C363" s="2" t="s">
        <v>1119</v>
      </c>
      <c r="D363" s="2" t="s">
        <v>436</v>
      </c>
      <c r="E363" s="2" t="s">
        <v>36</v>
      </c>
      <c r="F363" s="2" t="s">
        <v>15</v>
      </c>
      <c r="G363" s="2" t="s">
        <v>1120</v>
      </c>
      <c r="H363" s="2" t="s">
        <v>319</v>
      </c>
      <c r="I363" s="2" t="str">
        <f>IFERROR(__xludf.DUMMYFUNCTION("GOOGLETRANSLATE(C363,""fr"",""en"")"),"Very very bad mutual.
I have the maximum in optics and dental.
I pay € 830 per year when I am only 38 years old.
I got dental panoramic 2 plots two extractions and a descaling.
And bone filling.
On an invoice of € 1,200 the security reimbursed me 280"&amp;" and mutual harmony only € 120")</f>
        <v>Very very bad mutual.
I have the maximum in optics and dental.
I pay € 830 per year when I am only 38 years old.
I got dental panoramic 2 plots two extractions and a descaling.
And bone filling.
On an invoice of € 1,200 the security reimbursed me 280 and mutual harmony only € 120</v>
      </c>
    </row>
    <row r="364" ht="15.75" customHeight="1">
      <c r="A364" s="2">
        <v>5.0</v>
      </c>
      <c r="B364" s="2" t="s">
        <v>1121</v>
      </c>
      <c r="C364" s="2" t="s">
        <v>1122</v>
      </c>
      <c r="D364" s="2" t="s">
        <v>145</v>
      </c>
      <c r="E364" s="2" t="s">
        <v>111</v>
      </c>
      <c r="F364" s="2" t="s">
        <v>15</v>
      </c>
      <c r="G364" s="2" t="s">
        <v>55</v>
      </c>
      <c r="H364" s="2" t="s">
        <v>38</v>
      </c>
      <c r="I364" s="2" t="str">
        <f>IFERROR(__xludf.DUMMYFUNCTION("GOOGLETRANSLATE(C364,""fr"",""en"")"),"Re contacted quickly to answer my questions with a very kind and polished person who knew how to guide me and give clear reps to my questions ... and speed of the site which is easy to use")</f>
        <v>Re contacted quickly to answer my questions with a very kind and polished person who knew how to guide me and give clear reps to my questions ... and speed of the site which is easy to use</v>
      </c>
    </row>
    <row r="365" ht="15.75" customHeight="1">
      <c r="A365" s="2">
        <v>1.0</v>
      </c>
      <c r="B365" s="2" t="s">
        <v>1123</v>
      </c>
      <c r="C365" s="2" t="s">
        <v>1124</v>
      </c>
      <c r="D365" s="2" t="s">
        <v>30</v>
      </c>
      <c r="E365" s="2" t="s">
        <v>14</v>
      </c>
      <c r="F365" s="2" t="s">
        <v>15</v>
      </c>
      <c r="G365" s="2" t="s">
        <v>1125</v>
      </c>
      <c r="H365" s="2" t="s">
        <v>486</v>
      </c>
      <c r="I365" s="2" t="str">
        <f>IFERROR(__xludf.DUMMYFUNCTION("GOOGLETRANSLATE(C365,""fr"",""en"")"),"Deplorable. Their online quote service does not work. I subscribe to a quote and I find myself as a main and secondary driver. I get yelled at the phone when I point out to them. So I stop discussing and I ask to arrange the situation.
The operator tells"&amp;" me that the contract must be canceled and make a new one.
So I just paid 480 euros and I have to repay 480 euros for a faultless contract.
5min later the operator reminds me and tells me that I am still a main and secondary driver. She still does not a"&amp;"pologize and I have to redo a 3rd contract because this time is good it will work. I am still waiting for my refund checks, but they always find excuses so as not to send them to me ...
In short a disaster")</f>
        <v>Deplorable. Their online quote service does not work. I subscribe to a quote and I find myself as a main and secondary driver. I get yelled at the phone when I point out to them. So I stop discussing and I ask to arrange the situation.
The operator tells me that the contract must be canceled and make a new one.
So I just paid 480 euros and I have to repay 480 euros for a faultless contract.
5min later the operator reminds me and tells me that I am still a main and secondary driver. She still does not apologize and I have to redo a 3rd contract because this time is good it will work. I am still waiting for my refund checks, but they always find excuses so as not to send them to me ...
In short a disaster</v>
      </c>
    </row>
    <row r="366" ht="15.75" customHeight="1">
      <c r="A366" s="2">
        <v>1.0</v>
      </c>
      <c r="B366" s="2" t="s">
        <v>1126</v>
      </c>
      <c r="C366" s="2" t="s">
        <v>1127</v>
      </c>
      <c r="D366" s="2" t="s">
        <v>276</v>
      </c>
      <c r="E366" s="2" t="s">
        <v>90</v>
      </c>
      <c r="F366" s="2" t="s">
        <v>15</v>
      </c>
      <c r="G366" s="2" t="s">
        <v>1128</v>
      </c>
      <c r="H366" s="2" t="s">
        <v>387</v>
      </c>
      <c r="I366" s="2" t="str">
        <f>IFERROR(__xludf.DUMMYFUNCTION("GOOGLETRANSLATE(C366,""fr"",""en"")"),"Life insurance to be strongly notified, they find all the apologies not to pay, they systematically lose letters and even the recommended with acknowledgment of receipt, there is always a part of a piece on the file. Small something in their deaths and it"&amp;" is the obstacle course so that the CNP unlocks the small capital, it is a shame.")</f>
        <v>Life insurance to be strongly notified, they find all the apologies not to pay, they systematically lose letters and even the recommended with acknowledgment of receipt, there is always a part of a piece on the file. Small something in their deaths and it is the obstacle course so that the CNP unlocks the small capital, it is a shame.</v>
      </c>
    </row>
    <row r="367" ht="15.75" customHeight="1">
      <c r="A367" s="2">
        <v>1.0</v>
      </c>
      <c r="B367" s="2" t="s">
        <v>1129</v>
      </c>
      <c r="C367" s="2" t="s">
        <v>1130</v>
      </c>
      <c r="D367" s="2" t="s">
        <v>403</v>
      </c>
      <c r="E367" s="2" t="s">
        <v>68</v>
      </c>
      <c r="F367" s="2" t="s">
        <v>15</v>
      </c>
      <c r="G367" s="2" t="s">
        <v>1131</v>
      </c>
      <c r="H367" s="2" t="s">
        <v>221</v>
      </c>
      <c r="I367" s="2" t="str">
        <f>IFERROR(__xludf.DUMMYFUNCTION("GOOGLETRANSLATE(C367,""fr"",""en"")"),"Groupama home insurance to flee absolutely!
Look for apology not to compensate you!
Pay Experts Overview but refuses you 2 compensation for 2 claims!
I was robbed all my house and not even received 1 euro to buy TV or coffee maker ..... 7 months later!"&amp;" nothing!!!!!!!!!!!!!!!!!!
Save yourself! Avoid everyone!")</f>
        <v>Groupama home insurance to flee absolutely!
Look for apology not to compensate you!
Pay Experts Overview but refuses you 2 compensation for 2 claims!
I was robbed all my house and not even received 1 euro to buy TV or coffee maker ..... 7 months later! nothing!!!!!!!!!!!!!!!!!!
Save yourself! Avoid everyone!</v>
      </c>
    </row>
    <row r="368" ht="15.75" customHeight="1">
      <c r="A368" s="2">
        <v>1.0</v>
      </c>
      <c r="B368" s="2" t="s">
        <v>1132</v>
      </c>
      <c r="C368" s="2" t="s">
        <v>1133</v>
      </c>
      <c r="D368" s="2" t="s">
        <v>141</v>
      </c>
      <c r="E368" s="2" t="s">
        <v>68</v>
      </c>
      <c r="F368" s="2" t="s">
        <v>15</v>
      </c>
      <c r="G368" s="2" t="s">
        <v>1134</v>
      </c>
      <c r="H368" s="2" t="s">
        <v>378</v>
      </c>
      <c r="I368" s="2" t="str">
        <f>IFERROR(__xludf.DUMMYFUNCTION("GOOGLETRANSLATE(C368,""fr"",""en"")"),"MAIF members for fifty years, we fall from high given the unacceptable management of our drought catnate -type loss file. Following insufficient expertise, limited to taking photos of the cracks around and in the house and particularly expeditious, the MA"&amp;"IF informs us of its decision not to follow up on the file. No technical/foundation technical study supports the expert's ratio, (which also includes a big date of date on an important point, which shows the very superficial aspect of the said expertise),"&amp;" but the worst is the Nonvolving in the management of the file. Following a complaint, and request for counter-expertise, we learn some time from there that the conclusion of the expertise is validated by a ""regional expert"", who did not even move to co"&amp;"me and meet us! Over time, we realize that we are laid down by the Maif referent which is in charge of the file. No response is given to the specific arguments that we have argued, which probably were not read. Instead, we are assured that ""Maif is a lar"&amp;"ge family"" (sic) - but which apparently dodges the obligation of solidarity towards its members. Mutualists of always, we realize that the expression ""MAIF militant insurer"" is only an advertising marker. Consequently, we are preparing to go to court, "&amp;"with arguments and supporting documents in favor of our file. One of our grandfathers participated in the MAIF Foundation, a long time ago, what a heartbreak to be forced today to have to go against her in court ... (to note that several of our Neighbors,"&amp;" for an identical file, benefit from care by their insurance - not even mutuals!)")</f>
        <v>MAIF members for fifty years, we fall from high given the unacceptable management of our drought catnate -type loss file. Following insufficient expertise, limited to taking photos of the cracks around and in the house and particularly expeditious, the MAIF informs us of its decision not to follow up on the file. No technical/foundation technical study supports the expert's ratio, (which also includes a big date of date on an important point, which shows the very superficial aspect of the said expertise), but the worst is the Nonvolving in the management of the file. Following a complaint, and request for counter-expertise, we learn some time from there that the conclusion of the expertise is validated by a "regional expert", who did not even move to come and meet us! Over time, we realize that we are laid down by the Maif referent which is in charge of the file. No response is given to the specific arguments that we have argued, which probably were not read. Instead, we are assured that "Maif is a large family" (sic) - but which apparently dodges the obligation of solidarity towards its members. Mutualists of always, we realize that the expression "MAIF militant insurer" is only an advertising marker. Consequently, we are preparing to go to court, with arguments and supporting documents in favor of our file. One of our grandfathers participated in the MAIF Foundation, a long time ago, what a heartbreak to be forced today to have to go against her in court ... (to note that several of our Neighbors, for an identical file, benefit from care by their insurance - not even mutuals!)</v>
      </c>
    </row>
    <row r="369" ht="15.75" customHeight="1">
      <c r="A369" s="2">
        <v>5.0</v>
      </c>
      <c r="B369" s="2" t="s">
        <v>1135</v>
      </c>
      <c r="C369" s="2" t="s">
        <v>1136</v>
      </c>
      <c r="D369" s="2" t="s">
        <v>30</v>
      </c>
      <c r="E369" s="2" t="s">
        <v>14</v>
      </c>
      <c r="F369" s="2" t="s">
        <v>15</v>
      </c>
      <c r="G369" s="2" t="s">
        <v>322</v>
      </c>
      <c r="H369" s="2" t="s">
        <v>107</v>
      </c>
      <c r="I369" s="2" t="str">
        <f>IFERROR(__xludf.DUMMYFUNCTION("GOOGLETRANSLATE(C369,""fr"",""en"")"),"Satisfied perfect well ras top moumoutte I recommend this insurance to my loved one and I hope that I will not burst my new box which is dirty")</f>
        <v>Satisfied perfect well ras top moumoutte I recommend this insurance to my loved one and I hope that I will not burst my new box which is dirty</v>
      </c>
    </row>
    <row r="370" ht="15.75" customHeight="1">
      <c r="A370" s="2">
        <v>1.0</v>
      </c>
      <c r="B370" s="2" t="s">
        <v>1137</v>
      </c>
      <c r="C370" s="2" t="s">
        <v>1138</v>
      </c>
      <c r="D370" s="2" t="s">
        <v>50</v>
      </c>
      <c r="E370" s="2" t="s">
        <v>14</v>
      </c>
      <c r="F370" s="2" t="s">
        <v>15</v>
      </c>
      <c r="G370" s="2" t="s">
        <v>1139</v>
      </c>
      <c r="H370" s="2" t="s">
        <v>340</v>
      </c>
      <c r="I370" s="2" t="str">
        <f>IFERROR(__xludf.DUMMYFUNCTION("GOOGLETRANSLATE(C370,""fr"",""en"")"),"I subscribe at the rate of a 38th/month bonus, then I move 50m away, my vehicle benefiting from a more secure 10x garage. Surprise, my bonus goes to 47th/month for the same guarantees. With the multiple costs added for all the work done my annual bonus fi"&amp;"nished in style at 660th/year, or 55th/month .... Is it beautiful the business with the olive tree eh?")</f>
        <v>I subscribe at the rate of a 38th/month bonus, then I move 50m away, my vehicle benefiting from a more secure 10x garage. Surprise, my bonus goes to 47th/month for the same guarantees. With the multiple costs added for all the work done my annual bonus finished in style at 660th/year, or 55th/month .... Is it beautiful the business with the olive tree eh?</v>
      </c>
    </row>
    <row r="371" ht="15.75" customHeight="1">
      <c r="A371" s="2">
        <v>3.0</v>
      </c>
      <c r="B371" s="2" t="s">
        <v>1140</v>
      </c>
      <c r="C371" s="2" t="s">
        <v>1141</v>
      </c>
      <c r="D371" s="2" t="s">
        <v>25</v>
      </c>
      <c r="E371" s="2" t="s">
        <v>68</v>
      </c>
      <c r="F371" s="2" t="s">
        <v>15</v>
      </c>
      <c r="G371" s="2" t="s">
        <v>1142</v>
      </c>
      <c r="H371" s="2" t="s">
        <v>981</v>
      </c>
      <c r="I371" s="2" t="str">
        <f>IFERROR(__xludf.DUMMYFUNCTION("GOOGLETRANSLATE(C371,""fr"",""en"")"),"Expensive and not at all reimbursement in the event of a problem. On several damage, diagnoses that drag and no refund. You are returned to a manager at the headquarters who lead you by boat. In reality, we are not insured. We pay for nothing. To flee
")</f>
        <v>Expensive and not at all reimbursement in the event of a problem. On several damage, diagnoses that drag and no refund. You are returned to a manager at the headquarters who lead you by boat. In reality, we are not insured. We pay for nothing. To flee
</v>
      </c>
    </row>
    <row r="372" ht="15.75" customHeight="1">
      <c r="A372" s="2">
        <v>3.0</v>
      </c>
      <c r="B372" s="2" t="s">
        <v>1143</v>
      </c>
      <c r="C372" s="2" t="s">
        <v>1144</v>
      </c>
      <c r="D372" s="2" t="s">
        <v>134</v>
      </c>
      <c r="E372" s="2" t="s">
        <v>36</v>
      </c>
      <c r="F372" s="2" t="s">
        <v>15</v>
      </c>
      <c r="G372" s="2" t="s">
        <v>381</v>
      </c>
      <c r="H372" s="2" t="s">
        <v>64</v>
      </c>
      <c r="I372" s="2" t="str">
        <f>IFERROR(__xludf.DUMMYFUNCTION("GOOGLETRANSLATE(C372,""fr"",""en"")"),"Very good telephone welcome from Mariama.
My questions were resolved very quickly. Following a network cut my interlocutor reminded me. I really appreciate the approach.")</f>
        <v>Very good telephone welcome from Mariama.
My questions were resolved very quickly. Following a network cut my interlocutor reminded me. I really appreciate the approach.</v>
      </c>
    </row>
    <row r="373" ht="15.75" customHeight="1">
      <c r="A373" s="2">
        <v>1.0</v>
      </c>
      <c r="B373" s="2" t="s">
        <v>1145</v>
      </c>
      <c r="C373" s="2" t="s">
        <v>1146</v>
      </c>
      <c r="D373" s="2" t="s">
        <v>247</v>
      </c>
      <c r="E373" s="2" t="s">
        <v>36</v>
      </c>
      <c r="F373" s="2" t="s">
        <v>15</v>
      </c>
      <c r="G373" s="2" t="s">
        <v>440</v>
      </c>
      <c r="H373" s="2" t="s">
        <v>52</v>
      </c>
      <c r="I373" s="2" t="str">
        <f>IFERROR(__xludf.DUMMYFUNCTION("GOOGLETRANSLATE(C373,""fr"",""en"")"),"Indeed it is catastrophic what is happening at Mercer at the moment.
Incredibly long time to be reimbursed for medical expenses and no responses to emails or treatments of attachments sent.
I am a manpower collaborator and I think it would be good to au"&amp;"dit and reference a new business mutual.
Cdlt
")</f>
        <v>Indeed it is catastrophic what is happening at Mercer at the moment.
Incredibly long time to be reimbursed for medical expenses and no responses to emails or treatments of attachments sent.
I am a manpower collaborator and I think it would be good to audit and reference a new business mutual.
Cdlt
</v>
      </c>
    </row>
    <row r="374" ht="15.75" customHeight="1">
      <c r="A374" s="2">
        <v>4.0</v>
      </c>
      <c r="B374" s="2" t="s">
        <v>1147</v>
      </c>
      <c r="C374" s="2" t="s">
        <v>1148</v>
      </c>
      <c r="D374" s="2" t="s">
        <v>145</v>
      </c>
      <c r="E374" s="2" t="s">
        <v>111</v>
      </c>
      <c r="F374" s="2" t="s">
        <v>15</v>
      </c>
      <c r="G374" s="2" t="s">
        <v>38</v>
      </c>
      <c r="H374" s="2" t="s">
        <v>38</v>
      </c>
      <c r="I374" s="2" t="str">
        <f>IFERROR(__xludf.DUMMYFUNCTION("GOOGLETRANSLATE(C374,""fr"",""en"")"),"I am satisfied with the service
very fast ..
good value for money
As proof I just insured my scooter, now I will make a quote for my car")</f>
        <v>I am satisfied with the service
very fast ..
good value for money
As proof I just insured my scooter, now I will make a quote for my car</v>
      </c>
    </row>
    <row r="375" ht="15.75" customHeight="1">
      <c r="A375" s="2">
        <v>1.0</v>
      </c>
      <c r="B375" s="2" t="s">
        <v>1149</v>
      </c>
      <c r="C375" s="2" t="s">
        <v>1150</v>
      </c>
      <c r="D375" s="2" t="s">
        <v>141</v>
      </c>
      <c r="E375" s="2" t="s">
        <v>14</v>
      </c>
      <c r="F375" s="2" t="s">
        <v>15</v>
      </c>
      <c r="G375" s="2" t="s">
        <v>1151</v>
      </c>
      <c r="H375" s="2" t="s">
        <v>70</v>
      </c>
      <c r="I375" s="2" t="str">
        <f>IFERROR(__xludf.DUMMYFUNCTION("GOOGLETRANSLATE(C375,""fr"",""en"")"),"Insured at Maif for almost 10 years for the home and the car. No support in the event of a glitch, unless it is a question of recovering money from third parties. Very badly reimbursed repairs, and for the automobile, even when we do not request them, the"&amp;"y blow up the bonus for a yes for a no. The customer is a milk cow. Their advisers give contrary opinions, the response deadlines are almost a month.")</f>
        <v>Insured at Maif for almost 10 years for the home and the car. No support in the event of a glitch, unless it is a question of recovering money from third parties. Very badly reimbursed repairs, and for the automobile, even when we do not request them, they blow up the bonus for a yes for a no. The customer is a milk cow. Their advisers give contrary opinions, the response deadlines are almost a month.</v>
      </c>
    </row>
    <row r="376" ht="15.75" customHeight="1">
      <c r="A376" s="2">
        <v>2.0</v>
      </c>
      <c r="B376" s="2" t="s">
        <v>1152</v>
      </c>
      <c r="C376" s="2" t="s">
        <v>1153</v>
      </c>
      <c r="D376" s="2" t="s">
        <v>50</v>
      </c>
      <c r="E376" s="2" t="s">
        <v>14</v>
      </c>
      <c r="F376" s="2" t="s">
        <v>15</v>
      </c>
      <c r="G376" s="2" t="s">
        <v>1154</v>
      </c>
      <c r="H376" s="2" t="s">
        <v>22</v>
      </c>
      <c r="I376" s="2" t="str">
        <f>IFERROR(__xludf.DUMMYFUNCTION("GOOGLETRANSLATE(C376,""fr"",""en"")"),"Good insurance in general but when you ask to modify an information statement or is an unnecessary line set up by the insurance olive tree ... There is no one left ...
Waste of time")</f>
        <v>Good insurance in general but when you ask to modify an information statement or is an unnecessary line set up by the insurance olive tree ... There is no one left ...
Waste of time</v>
      </c>
    </row>
    <row r="377" ht="15.75" customHeight="1">
      <c r="A377" s="2">
        <v>1.0</v>
      </c>
      <c r="B377" s="2" t="s">
        <v>1155</v>
      </c>
      <c r="C377" s="2" t="s">
        <v>1156</v>
      </c>
      <c r="D377" s="2" t="s">
        <v>85</v>
      </c>
      <c r="E377" s="2" t="s">
        <v>90</v>
      </c>
      <c r="F377" s="2" t="s">
        <v>15</v>
      </c>
      <c r="G377" s="2" t="s">
        <v>1157</v>
      </c>
      <c r="H377" s="2" t="s">
        <v>630</v>
      </c>
      <c r="I377" s="2" t="str">
        <f>IFERROR(__xludf.DUMMYFUNCTION("GOOGLETRANSLATE(C377,""fr"",""en"")"),"The AG2R A company or the satisfaction of its customers must not be the major objective ... Deplorable customer service awaiting a provident payment of DESCES which is so -called blocked of a computer concern ... it is true that in 2017 A company like AG2"&amp;"R must not have competent IT service to solve the problem ...
It is shameful !
")</f>
        <v>The AG2R A company or the satisfaction of its customers must not be the major objective ... Deplorable customer service awaiting a provident payment of DESCES which is so -called blocked of a computer concern ... it is true that in 2017 A company like AG2R must not have competent IT service to solve the problem ...
It is shameful !
</v>
      </c>
    </row>
    <row r="378" ht="15.75" customHeight="1">
      <c r="A378" s="2">
        <v>4.0</v>
      </c>
      <c r="B378" s="2" t="s">
        <v>1158</v>
      </c>
      <c r="C378" s="2" t="s">
        <v>1159</v>
      </c>
      <c r="D378" s="2" t="s">
        <v>30</v>
      </c>
      <c r="E378" s="2" t="s">
        <v>14</v>
      </c>
      <c r="F378" s="2" t="s">
        <v>15</v>
      </c>
      <c r="G378" s="2" t="s">
        <v>1160</v>
      </c>
      <c r="H378" s="2" t="s">
        <v>159</v>
      </c>
      <c r="I378" s="2" t="str">
        <f>IFERROR(__xludf.DUMMYFUNCTION("GOOGLETRANSLATE(C378,""fr"",""en"")"),"The price level is attractive as long as you are not yet a customer, after and well, they increase, especially if you take packs, (they have to gain a little money).
Otherwise the telephone contacts are fast, the interlocutors are courteous. The phone ap"&amp;"plication is not bad.")</f>
        <v>The price level is attractive as long as you are not yet a customer, after and well, they increase, especially if you take packs, (they have to gain a little money).
Otherwise the telephone contacts are fast, the interlocutors are courteous. The phone application is not bad.</v>
      </c>
    </row>
    <row r="379" ht="15.75" customHeight="1">
      <c r="A379" s="2">
        <v>5.0</v>
      </c>
      <c r="B379" s="2" t="s">
        <v>1161</v>
      </c>
      <c r="C379" s="2" t="s">
        <v>1162</v>
      </c>
      <c r="D379" s="2" t="s">
        <v>94</v>
      </c>
      <c r="E379" s="2" t="s">
        <v>90</v>
      </c>
      <c r="F379" s="2" t="s">
        <v>15</v>
      </c>
      <c r="G379" s="2" t="s">
        <v>192</v>
      </c>
      <c r="H379" s="2" t="s">
        <v>192</v>
      </c>
      <c r="I379" s="2" t="str">
        <f>IFERROR(__xludf.DUMMYFUNCTION("GOOGLETRANSLATE(C379,""fr"",""en"")"),"Hello,
The interlocutors are very reactive.
I am satisfied with the services of the pleasant and very responsive MGP.
I have been a member since 1997.
I am very well informed about my situation
Cdt
")</f>
        <v>Hello,
The interlocutors are very reactive.
I am satisfied with the services of the pleasant and very responsive MGP.
I have been a member since 1997.
I am very well informed about my situation
Cdt
</v>
      </c>
    </row>
    <row r="380" ht="15.75" customHeight="1">
      <c r="A380" s="2">
        <v>4.0</v>
      </c>
      <c r="B380" s="2" t="s">
        <v>1163</v>
      </c>
      <c r="C380" s="2" t="s">
        <v>1164</v>
      </c>
      <c r="D380" s="2" t="s">
        <v>296</v>
      </c>
      <c r="E380" s="2" t="s">
        <v>14</v>
      </c>
      <c r="F380" s="2" t="s">
        <v>15</v>
      </c>
      <c r="G380" s="2" t="s">
        <v>1165</v>
      </c>
      <c r="H380" s="2" t="s">
        <v>298</v>
      </c>
      <c r="I380" s="2" t="str">
        <f>IFERROR(__xludf.DUMMYFUNCTION("GOOGLETRANSLATE(C380,""fr"",""en"")"),"Insured for several years I asked for a Commm gesture. To compensate for abusive increases when I have no acc. Responsible for + 20 years ..... no answer ???? Do you call that serious? I am looking for another insurance.")</f>
        <v>Insured for several years I asked for a Commm gesture. To compensate for abusive increases when I have no acc. Responsible for + 20 years ..... no answer ???? Do you call that serious? I am looking for another insurance.</v>
      </c>
    </row>
    <row r="381" ht="15.75" customHeight="1">
      <c r="A381" s="2">
        <v>5.0</v>
      </c>
      <c r="B381" s="2" t="s">
        <v>1166</v>
      </c>
      <c r="C381" s="2" t="s">
        <v>1167</v>
      </c>
      <c r="D381" s="2" t="s">
        <v>481</v>
      </c>
      <c r="E381" s="2" t="s">
        <v>111</v>
      </c>
      <c r="F381" s="2" t="s">
        <v>15</v>
      </c>
      <c r="G381" s="2" t="s">
        <v>1168</v>
      </c>
      <c r="H381" s="2" t="s">
        <v>32</v>
      </c>
      <c r="I381" s="2" t="str">
        <f>IFERROR(__xludf.DUMMYFUNCTION("GOOGLETRANSLATE(C381,""fr"",""en"")"),"I am satisfied with the service to offer fast reliable cheap
Very fast as a service.
very professional.
nothing to say I will recommend to those around me")</f>
        <v>I am satisfied with the service to offer fast reliable cheap
Very fast as a service.
very professional.
nothing to say I will recommend to those around me</v>
      </c>
    </row>
    <row r="382" ht="15.75" customHeight="1">
      <c r="A382" s="2">
        <v>1.0</v>
      </c>
      <c r="B382" s="2" t="s">
        <v>1169</v>
      </c>
      <c r="C382" s="2" t="s">
        <v>1170</v>
      </c>
      <c r="D382" s="2" t="s">
        <v>85</v>
      </c>
      <c r="E382" s="2" t="s">
        <v>36</v>
      </c>
      <c r="F382" s="2" t="s">
        <v>15</v>
      </c>
      <c r="G382" s="2" t="s">
        <v>1171</v>
      </c>
      <c r="H382" s="2" t="s">
        <v>360</v>
      </c>
      <c r="I382" s="2" t="str">
        <f>IFERROR(__xludf.DUMMYFUNCTION("GOOGLETRANSLATE(C382,""fr"",""en"")"),"To flee.
They suddenly lost my security number, no reimbursements for 2 months, no explanations following their failures. I'm still waiting for reimbursements ...")</f>
        <v>To flee.
They suddenly lost my security number, no reimbursements for 2 months, no explanations following their failures. I'm still waiting for reimbursements ...</v>
      </c>
    </row>
    <row r="383" ht="15.75" customHeight="1">
      <c r="A383" s="2">
        <v>1.0</v>
      </c>
      <c r="B383" s="2" t="s">
        <v>1172</v>
      </c>
      <c r="C383" s="2" t="s">
        <v>1173</v>
      </c>
      <c r="D383" s="2" t="s">
        <v>247</v>
      </c>
      <c r="E383" s="2" t="s">
        <v>36</v>
      </c>
      <c r="F383" s="2" t="s">
        <v>15</v>
      </c>
      <c r="G383" s="2" t="s">
        <v>1174</v>
      </c>
      <c r="H383" s="2" t="s">
        <v>52</v>
      </c>
      <c r="I383" s="2" t="str">
        <f>IFERROR(__xludf.DUMMYFUNCTION("GOOGLETRANSLATE(C383,""fr"",""en"")"),"When I see all the negative opinions I feel less alone ...
Shouldn't we go up all the problems we have encountered with Mercer since 2020 to the Mutual and Insurance Control Commission?")</f>
        <v>When I see all the negative opinions I feel less alone ...
Shouldn't we go up all the problems we have encountered with Mercer since 2020 to the Mutual and Insurance Control Commission?</v>
      </c>
    </row>
    <row r="384" ht="15.75" customHeight="1">
      <c r="A384" s="2">
        <v>5.0</v>
      </c>
      <c r="B384" s="2" t="s">
        <v>1175</v>
      </c>
      <c r="C384" s="2" t="s">
        <v>1176</v>
      </c>
      <c r="D384" s="2" t="s">
        <v>50</v>
      </c>
      <c r="E384" s="2" t="s">
        <v>14</v>
      </c>
      <c r="F384" s="2" t="s">
        <v>15</v>
      </c>
      <c r="G384" s="2" t="s">
        <v>475</v>
      </c>
      <c r="H384" s="2" t="s">
        <v>192</v>
      </c>
      <c r="I384" s="2" t="str">
        <f>IFERROR(__xludf.DUMMYFUNCTION("GOOGLETRANSLATE(C384,""fr"",""en"")"),"
I am extremely satisfied with the service, the price is very good.
In addition, the simplicity with which we can join the insurance is impressive.")</f>
        <v>
I am extremely satisfied with the service, the price is very good.
In addition, the simplicity with which we can join the insurance is impressive.</v>
      </c>
    </row>
    <row r="385" ht="15.75" customHeight="1">
      <c r="A385" s="2">
        <v>5.0</v>
      </c>
      <c r="B385" s="2" t="s">
        <v>1177</v>
      </c>
      <c r="C385" s="2" t="s">
        <v>1178</v>
      </c>
      <c r="D385" s="2" t="s">
        <v>50</v>
      </c>
      <c r="E385" s="2" t="s">
        <v>14</v>
      </c>
      <c r="F385" s="2" t="s">
        <v>15</v>
      </c>
      <c r="G385" s="2" t="s">
        <v>492</v>
      </c>
      <c r="H385" s="2" t="s">
        <v>64</v>
      </c>
      <c r="I385" s="2" t="str">
        <f>IFERROR(__xludf.DUMMYFUNCTION("GOOGLETRANSLATE(C385,""fr"",""en"")"),"Affordable price for a young license I recommend small downside you do not ensure old vehicles however the telephone interlocutors are kind")</f>
        <v>Affordable price for a young license I recommend small downside you do not ensure old vehicles however the telephone interlocutors are kind</v>
      </c>
    </row>
    <row r="386" ht="15.75" customHeight="1">
      <c r="A386" s="2">
        <v>1.0</v>
      </c>
      <c r="B386" s="2" t="s">
        <v>1179</v>
      </c>
      <c r="C386" s="2" t="s">
        <v>1180</v>
      </c>
      <c r="D386" s="2" t="s">
        <v>276</v>
      </c>
      <c r="E386" s="2" t="s">
        <v>90</v>
      </c>
      <c r="F386" s="2" t="s">
        <v>15</v>
      </c>
      <c r="G386" s="2" t="s">
        <v>1174</v>
      </c>
      <c r="H386" s="2" t="s">
        <v>52</v>
      </c>
      <c r="I386" s="2" t="str">
        <f>IFERROR(__xludf.DUMMYFUNCTION("GOOGLETRANSLATE(C386,""fr"",""en"")"),"What sadness/functioning of another time/8 months for a request for processing a dependence/lamentable file no other word/stimulus on stimulus no compassion for robots on the phone/a questioning would be beneficial")</f>
        <v>What sadness/functioning of another time/8 months for a request for processing a dependence/lamentable file no other word/stimulus on stimulus no compassion for robots on the phone/a questioning would be beneficial</v>
      </c>
    </row>
    <row r="387" ht="15.75" customHeight="1">
      <c r="A387" s="2">
        <v>1.0</v>
      </c>
      <c r="B387" s="2" t="s">
        <v>1181</v>
      </c>
      <c r="C387" s="2" t="s">
        <v>1182</v>
      </c>
      <c r="D387" s="2" t="s">
        <v>741</v>
      </c>
      <c r="E387" s="2" t="s">
        <v>111</v>
      </c>
      <c r="F387" s="2" t="s">
        <v>15</v>
      </c>
      <c r="G387" s="2" t="s">
        <v>1183</v>
      </c>
      <c r="H387" s="2" t="s">
        <v>834</v>
      </c>
      <c r="I387" s="2" t="str">
        <f>IFERROR(__xludf.DUMMYFUNCTION("GOOGLETRANSLATE(C387,""fr"",""en"")"),"I am now unable to contract with another insurance because Assurbonplan refuses to give me my information statement This situation is absolutely unacceptable I am on the edge of the abyss because of them
You realize that I am unable to go to my workplace"&amp;" because I cannot ensure my new vehicle because of the fact that they do not want to give me my information statement")</f>
        <v>I am now unable to contract with another insurance because Assurbonplan refuses to give me my information statement This situation is absolutely unacceptable I am on the edge of the abyss because of them
You realize that I am unable to go to my workplace because I cannot ensure my new vehicle because of the fact that they do not want to give me my information statement</v>
      </c>
    </row>
    <row r="388" ht="15.75" customHeight="1">
      <c r="A388" s="2">
        <v>1.0</v>
      </c>
      <c r="B388" s="2" t="s">
        <v>1184</v>
      </c>
      <c r="C388" s="2" t="s">
        <v>1185</v>
      </c>
      <c r="D388" s="2" t="s">
        <v>1186</v>
      </c>
      <c r="E388" s="2" t="s">
        <v>80</v>
      </c>
      <c r="F388" s="2" t="s">
        <v>15</v>
      </c>
      <c r="G388" s="2" t="s">
        <v>1187</v>
      </c>
      <c r="H388" s="2" t="s">
        <v>32</v>
      </c>
      <c r="I388" s="2" t="str">
        <f>IFERROR(__xludf.DUMMYFUNCTION("GOOGLETRANSLATE(C388,""fr"",""en"")"),"To be fleeing absolutely, the doctor advice who educates your incapacity care files invents the statements of your doctor who does not exist, the instruction is sloppy so as not to reimburse yourself, so you contribute for a ghost borrowing insurance! All"&amp;" apologies are good to tell you that you are able to work without taking your profession into account. My 58 -year -old husband is a heating plumber since the age of 17 and it is to operate partial ablation of the meniscus he works on his knees most of th"&amp;"e time and they tell you: file without follow -up he is able to take anyone professional activity. By cons to collect the subscriptions they are at the top! run away...")</f>
        <v>To be fleeing absolutely, the doctor advice who educates your incapacity care files invents the statements of your doctor who does not exist, the instruction is sloppy so as not to reimburse yourself, so you contribute for a ghost borrowing insurance! All apologies are good to tell you that you are able to work without taking your profession into account. My 58 -year -old husband is a heating plumber since the age of 17 and it is to operate partial ablation of the meniscus he works on his knees most of the time and they tell you: file without follow -up he is able to take anyone professional activity. By cons to collect the subscriptions they are at the top! run away...</v>
      </c>
    </row>
    <row r="389" ht="15.75" customHeight="1">
      <c r="A389" s="2">
        <v>4.0</v>
      </c>
      <c r="B389" s="2" t="s">
        <v>1188</v>
      </c>
      <c r="C389" s="2" t="s">
        <v>1189</v>
      </c>
      <c r="D389" s="2" t="s">
        <v>134</v>
      </c>
      <c r="E389" s="2" t="s">
        <v>36</v>
      </c>
      <c r="F389" s="2" t="s">
        <v>15</v>
      </c>
      <c r="G389" s="2" t="s">
        <v>1190</v>
      </c>
      <c r="H389" s="2" t="s">
        <v>613</v>
      </c>
      <c r="I389" s="2" t="str">
        <f>IFERROR(__xludf.DUMMYFUNCTION("GOOGLETRANSLATE(C389,""fr"",""en"")"),"Very good serious customer relationship service fast reimbursements")</f>
        <v>Very good serious customer relationship service fast reimbursements</v>
      </c>
    </row>
    <row r="390" ht="15.75" customHeight="1">
      <c r="A390" s="2">
        <v>1.0</v>
      </c>
      <c r="B390" s="2" t="s">
        <v>1191</v>
      </c>
      <c r="C390" s="2" t="s">
        <v>1192</v>
      </c>
      <c r="D390" s="2" t="s">
        <v>30</v>
      </c>
      <c r="E390" s="2" t="s">
        <v>14</v>
      </c>
      <c r="F390" s="2" t="s">
        <v>15</v>
      </c>
      <c r="G390" s="2" t="s">
        <v>51</v>
      </c>
      <c r="H390" s="2" t="s">
        <v>52</v>
      </c>
      <c r="I390" s="2" t="str">
        <f>IFERROR(__xludf.DUMMYFUNCTION("GOOGLETRANSLATE(C390,""fr"",""en"")"),"Really disappointed with this insurance we stole from us then burnt out ours vehicle vehicle on 05/05 and not at all reachable we finally succeed on 14/05 to have a person the expert passes on 05/17 We receive an email to tell us that Guarding and towing "&amp;"costs are at our expense we do not understand and yet ensure any risk and they hang you up with the nose never again ??")</f>
        <v>Really disappointed with this insurance we stole from us then burnt out ours vehicle vehicle on 05/05 and not at all reachable we finally succeed on 14/05 to have a person the expert passes on 05/17 We receive an email to tell us that Guarding and towing costs are at our expense we do not understand and yet ensure any risk and they hang you up with the nose never again ??</v>
      </c>
    </row>
    <row r="391" ht="15.75" customHeight="1">
      <c r="A391" s="2">
        <v>1.0</v>
      </c>
      <c r="B391" s="2" t="s">
        <v>1193</v>
      </c>
      <c r="C391" s="2" t="s">
        <v>1194</v>
      </c>
      <c r="D391" s="2" t="s">
        <v>25</v>
      </c>
      <c r="E391" s="2" t="s">
        <v>14</v>
      </c>
      <c r="F391" s="2" t="s">
        <v>15</v>
      </c>
      <c r="G391" s="2" t="s">
        <v>1195</v>
      </c>
      <c r="H391" s="2" t="s">
        <v>1196</v>
      </c>
      <c r="I391" s="2" t="str">
        <f>IFERROR(__xludf.DUMMYFUNCTION("GOOGLETRANSLATE(C391,""fr"",""en"")"),"Being called ""dirty French"" by assistance with a platform, logically, in Morocco is not acceptable!")</f>
        <v>Being called "dirty French" by assistance with a platform, logically, in Morocco is not acceptable!</v>
      </c>
    </row>
    <row r="392" ht="15.75" customHeight="1">
      <c r="A392" s="2">
        <v>4.0</v>
      </c>
      <c r="B392" s="2" t="s">
        <v>1197</v>
      </c>
      <c r="C392" s="2" t="s">
        <v>1198</v>
      </c>
      <c r="D392" s="2" t="s">
        <v>30</v>
      </c>
      <c r="E392" s="2" t="s">
        <v>14</v>
      </c>
      <c r="F392" s="2" t="s">
        <v>15</v>
      </c>
      <c r="G392" s="2" t="s">
        <v>322</v>
      </c>
      <c r="H392" s="2" t="s">
        <v>107</v>
      </c>
      <c r="I392" s="2" t="str">
        <f>IFERROR(__xludf.DUMMYFUNCTION("GOOGLETRANSLATE(C392,""fr"",""en"")"),"Simple and practical, prices suit me perfectly. Online subscription is rather easy and quick. Pleasant site. The prices are correct.")</f>
        <v>Simple and practical, prices suit me perfectly. Online subscription is rather easy and quick. Pleasant site. The prices are correct.</v>
      </c>
    </row>
    <row r="393" ht="15.75" customHeight="1">
      <c r="A393" s="2">
        <v>2.0</v>
      </c>
      <c r="B393" s="2" t="s">
        <v>1199</v>
      </c>
      <c r="C393" s="2" t="s">
        <v>1200</v>
      </c>
      <c r="D393" s="2" t="s">
        <v>30</v>
      </c>
      <c r="E393" s="2" t="s">
        <v>14</v>
      </c>
      <c r="F393" s="2" t="s">
        <v>15</v>
      </c>
      <c r="G393" s="2" t="s">
        <v>1201</v>
      </c>
      <c r="H393" s="2" t="s">
        <v>173</v>
      </c>
      <c r="I393" s="2" t="str">
        <f>IFERROR(__xludf.DUMMYFUNCTION("GOOGLETRANSLATE(C393,""fr"",""en"")"),"To flee !!! No response to my emails following my accident, no refund to date following an advance of costs made.")</f>
        <v>To flee !!! No response to my emails following my accident, no refund to date following an advance of costs made.</v>
      </c>
    </row>
    <row r="394" ht="15.75" customHeight="1">
      <c r="A394" s="2">
        <v>3.0</v>
      </c>
      <c r="B394" s="2" t="s">
        <v>1202</v>
      </c>
      <c r="C394" s="2" t="s">
        <v>1203</v>
      </c>
      <c r="D394" s="2" t="s">
        <v>50</v>
      </c>
      <c r="E394" s="2" t="s">
        <v>14</v>
      </c>
      <c r="F394" s="2" t="s">
        <v>15</v>
      </c>
      <c r="G394" s="2" t="s">
        <v>1204</v>
      </c>
      <c r="H394" s="2" t="s">
        <v>192</v>
      </c>
      <c r="I394" s="2" t="str">
        <f>IFERROR(__xludf.DUMMYFUNCTION("GOOGLETRANSLATE(C394,""fr"",""en"")"),"The prices would be more attractive I would provide more vehicles and also the apartment and can also be other health and complementary health insurance")</f>
        <v>The prices would be more attractive I would provide more vehicles and also the apartment and can also be other health and complementary health insurance</v>
      </c>
    </row>
    <row r="395" ht="15.75" customHeight="1">
      <c r="A395" s="2">
        <v>4.0</v>
      </c>
      <c r="B395" s="2" t="s">
        <v>1205</v>
      </c>
      <c r="C395" s="2" t="s">
        <v>1206</v>
      </c>
      <c r="D395" s="2" t="s">
        <v>30</v>
      </c>
      <c r="E395" s="2" t="s">
        <v>14</v>
      </c>
      <c r="F395" s="2" t="s">
        <v>15</v>
      </c>
      <c r="G395" s="2" t="s">
        <v>751</v>
      </c>
      <c r="H395" s="2" t="s">
        <v>64</v>
      </c>
      <c r="I395" s="2" t="str">
        <f>IFERROR(__xludf.DUMMYFUNCTION("GOOGLETRANSLATE(C395,""fr"",""en"")"),"I AM SATISFIED WITH THE SERVICE? Fast and without headache; Correct price, understandable info, cheaper than my current insurer. Thank you in advance, for speed.")</f>
        <v>I AM SATISFIED WITH THE SERVICE? Fast and without headache; Correct price, understandable info, cheaper than my current insurer. Thank you in advance, for speed.</v>
      </c>
    </row>
    <row r="396" ht="15.75" customHeight="1">
      <c r="A396" s="2">
        <v>5.0</v>
      </c>
      <c r="B396" s="2" t="s">
        <v>1207</v>
      </c>
      <c r="C396" s="2" t="s">
        <v>1208</v>
      </c>
      <c r="D396" s="2" t="s">
        <v>465</v>
      </c>
      <c r="E396" s="2" t="s">
        <v>111</v>
      </c>
      <c r="F396" s="2" t="s">
        <v>15</v>
      </c>
      <c r="G396" s="2" t="s">
        <v>1168</v>
      </c>
      <c r="H396" s="2" t="s">
        <v>32</v>
      </c>
      <c r="I396" s="2" t="str">
        <f>IFERROR(__xludf.DUMMYFUNCTION("GOOGLETRANSLATE(C396,""fr"",""en"")"),"This mutual is really specialized in motorbikes. They are pro, welcoming and of good advice.
Following a scooter accident, I was reimbursed quickly and even the helmet and my jeans were paid.
I recommend.")</f>
        <v>This mutual is really specialized in motorbikes. They are pro, welcoming and of good advice.
Following a scooter accident, I was reimbursed quickly and even the helmet and my jeans were paid.
I recommend.</v>
      </c>
    </row>
    <row r="397" ht="15.75" customHeight="1">
      <c r="A397" s="2">
        <v>5.0</v>
      </c>
      <c r="B397" s="2" t="s">
        <v>1209</v>
      </c>
      <c r="C397" s="2" t="s">
        <v>1210</v>
      </c>
      <c r="D397" s="2" t="s">
        <v>30</v>
      </c>
      <c r="E397" s="2" t="s">
        <v>14</v>
      </c>
      <c r="F397" s="2" t="s">
        <v>15</v>
      </c>
      <c r="G397" s="2" t="s">
        <v>1211</v>
      </c>
      <c r="H397" s="2" t="s">
        <v>221</v>
      </c>
      <c r="I397" s="2" t="str">
        <f>IFERROR(__xludf.DUMMYFUNCTION("GOOGLETRANSLATE(C397,""fr"",""en"")"),"Hi there,
Direct insurance and very good insurance.
Assured for many years at home.")</f>
        <v>Hi there,
Direct insurance and very good insurance.
Assured for many years at home.</v>
      </c>
    </row>
    <row r="398" ht="15.75" customHeight="1">
      <c r="A398" s="2">
        <v>4.0</v>
      </c>
      <c r="B398" s="2" t="s">
        <v>1212</v>
      </c>
      <c r="C398" s="2" t="s">
        <v>1213</v>
      </c>
      <c r="D398" s="2" t="s">
        <v>145</v>
      </c>
      <c r="E398" s="2" t="s">
        <v>111</v>
      </c>
      <c r="F398" s="2" t="s">
        <v>15</v>
      </c>
      <c r="G398" s="2" t="s">
        <v>1214</v>
      </c>
      <c r="H398" s="2" t="s">
        <v>107</v>
      </c>
      <c r="I398" s="2" t="str">
        <f>IFERROR(__xludf.DUMMYFUNCTION("GOOGLETRANSLATE(C398,""fr"",""en"")"),"True to my AMV insurance since I ride a motorcycle.
That is to say 5 years.
Very satisfied on monitoring, support in the event of difficulties is very well managed.
Towing or others….
I recommend AMV 100%")</f>
        <v>True to my AMV insurance since I ride a motorcycle.
That is to say 5 years.
Very satisfied on monitoring, support in the event of difficulties is very well managed.
Towing or others….
I recommend AMV 100%</v>
      </c>
    </row>
    <row r="399" ht="15.75" customHeight="1">
      <c r="A399" s="2">
        <v>4.0</v>
      </c>
      <c r="B399" s="2" t="s">
        <v>1215</v>
      </c>
      <c r="C399" s="2" t="s">
        <v>1216</v>
      </c>
      <c r="D399" s="2" t="s">
        <v>134</v>
      </c>
      <c r="E399" s="2" t="s">
        <v>36</v>
      </c>
      <c r="F399" s="2" t="s">
        <v>15</v>
      </c>
      <c r="G399" s="2" t="s">
        <v>390</v>
      </c>
      <c r="H399" s="2" t="s">
        <v>38</v>
      </c>
      <c r="I399" s="2" t="str">
        <f>IFERROR(__xludf.DUMMYFUNCTION("GOOGLETRANSLATE(C399,""fr"",""en"")"),"Being a member of Néoliane that recently (early July 2021) I have no particular comments to communicate. On the other hand, having just known a connection problem (of my fault) I called on your services and I had a telephone exchange (quite long because m"&amp;"y knowledge of computer is limited) with a person named Emeline. I thank her for being also patient with me, for having been able to explain to me calmly how to solve my problem. I congratulate her and thank her very sincerely.")</f>
        <v>Being a member of Néoliane that recently (early July 2021) I have no particular comments to communicate. On the other hand, having just known a connection problem (of my fault) I called on your services and I had a telephone exchange (quite long because my knowledge of computer is limited) with a person named Emeline. I thank her for being also patient with me, for having been able to explain to me calmly how to solve my problem. I congratulate her and thank her very sincerely.</v>
      </c>
    </row>
    <row r="400" ht="15.75" customHeight="1">
      <c r="A400" s="2">
        <v>3.0</v>
      </c>
      <c r="B400" s="2" t="s">
        <v>1217</v>
      </c>
      <c r="C400" s="2" t="s">
        <v>1218</v>
      </c>
      <c r="D400" s="2" t="s">
        <v>145</v>
      </c>
      <c r="E400" s="2" t="s">
        <v>111</v>
      </c>
      <c r="F400" s="2" t="s">
        <v>15</v>
      </c>
      <c r="G400" s="2" t="s">
        <v>1219</v>
      </c>
      <c r="H400" s="2" t="s">
        <v>1196</v>
      </c>
      <c r="I400" s="2" t="str">
        <f>IFERROR(__xludf.DUMMYFUNCTION("GOOGLETRANSLATE(C400,""fr"",""en"")"),"Hello,
I try to terminate my insurance contract by playing the Chatel law (termination within 20 days of the reception of the schedule). Or at least I thought I would do it but I did not receive this schedule. Waiting for the famous timetable I wake up a"&amp;" little late certainly (the day before
contract renewal) to indicate my desire to terminate. After several message with customer service, always the same answer: it's too late according to them the mail has gone for too long. But to prove my good faith I"&amp;" have to send them a copy of the letter, mail of the postal post ... letter that I did not receive I tell you !! I try to call customer service: a vocal box asks me to make the famous choices and when I type to indicate that it is a termination: the answe"&amp;"ring machine tells me that I have to go through mail Or the internet therefore impossible to have a human !!! And the humans I have by internet asks me to make a copy of a letter that I have not received!
I pass the faults in the letters received from th"&amp;"e assistance. On the other hand, the recall letter (first that I received) threatens me in an impeccable French that if I do not pay, well I should pay anyway and this without being insured.
Conclusion, if you need a green card to ride it's good, if you "&amp;"think you have service, go your way")</f>
        <v>Hello,
I try to terminate my insurance contract by playing the Chatel law (termination within 20 days of the reception of the schedule). Or at least I thought I would do it but I did not receive this schedule. Waiting for the famous timetable I wake up a little late certainly (the day before
contract renewal) to indicate my desire to terminate. After several message with customer service, always the same answer: it's too late according to them the mail has gone for too long. But to prove my good faith I have to send them a copy of the letter, mail of the postal post ... letter that I did not receive I tell you !! I try to call customer service: a vocal box asks me to make the famous choices and when I type to indicate that it is a termination: the answering machine tells me that I have to go through mail Or the internet therefore impossible to have a human !!! And the humans I have by internet asks me to make a copy of a letter that I have not received!
I pass the faults in the letters received from the assistance. On the other hand, the recall letter (first that I received) threatens me in an impeccable French that if I do not pay, well I should pay anyway and this without being insured.
Conclusion, if you need a green card to ride it's good, if you think you have service, go your way</v>
      </c>
    </row>
    <row r="401" ht="15.75" customHeight="1">
      <c r="A401" s="2">
        <v>4.0</v>
      </c>
      <c r="B401" s="2" t="s">
        <v>1220</v>
      </c>
      <c r="C401" s="2" t="s">
        <v>1221</v>
      </c>
      <c r="D401" s="2" t="s">
        <v>481</v>
      </c>
      <c r="E401" s="2" t="s">
        <v>111</v>
      </c>
      <c r="F401" s="2" t="s">
        <v>15</v>
      </c>
      <c r="G401" s="2" t="s">
        <v>626</v>
      </c>
      <c r="H401" s="2" t="s">
        <v>159</v>
      </c>
      <c r="I401" s="2" t="str">
        <f>IFERROR(__xludf.DUMMYFUNCTION("GOOGLETRANSLATE(C401,""fr"",""en"")"),"Practical operation by the net, insurance quickly implemented. Attractive rates. Hopefully not need to use the guarantees subscribed but as long as they are good.")</f>
        <v>Practical operation by the net, insurance quickly implemented. Attractive rates. Hopefully not need to use the guarantees subscribed but as long as they are good.</v>
      </c>
    </row>
    <row r="402" ht="15.75" customHeight="1">
      <c r="A402" s="2">
        <v>5.0</v>
      </c>
      <c r="B402" s="2" t="s">
        <v>1222</v>
      </c>
      <c r="C402" s="2" t="s">
        <v>1223</v>
      </c>
      <c r="D402" s="2" t="s">
        <v>50</v>
      </c>
      <c r="E402" s="2" t="s">
        <v>14</v>
      </c>
      <c r="F402" s="2" t="s">
        <v>15</v>
      </c>
      <c r="G402" s="2" t="s">
        <v>1224</v>
      </c>
      <c r="H402" s="2" t="s">
        <v>22</v>
      </c>
      <c r="I402" s="2" t="str">
        <f>IFERROR(__xludf.DUMMYFUNCTION("GOOGLETRANSLATE(C402,""fr"",""en"")"),"For me the best insurer at the moment and a very attentive and competent team.
I will of course offer it to my loved ones and the speed is surprising, very satisfied")</f>
        <v>For me the best insurer at the moment and a very attentive and competent team.
I will of course offer it to my loved ones and the speed is surprising, very satisfied</v>
      </c>
    </row>
    <row r="403" ht="15.75" customHeight="1">
      <c r="A403" s="2">
        <v>1.0</v>
      </c>
      <c r="B403" s="2" t="s">
        <v>1225</v>
      </c>
      <c r="C403" s="2" t="s">
        <v>1226</v>
      </c>
      <c r="D403" s="2" t="s">
        <v>20</v>
      </c>
      <c r="E403" s="2" t="s">
        <v>14</v>
      </c>
      <c r="F403" s="2" t="s">
        <v>15</v>
      </c>
      <c r="G403" s="2" t="s">
        <v>1227</v>
      </c>
      <c r="H403" s="2" t="s">
        <v>397</v>
      </c>
      <c r="I403" s="2" t="str">
        <f>IFERROR(__xludf.DUMMYFUNCTION("GOOGLETRANSLATE(C403,""fr"",""en"")"),"Always, no refund, I'm really missing and so on, I would like to be reimbursed my 88 euros thank you active insurance. A and you find it normal to pay without having received a quote?
And it will be nice to answer the email too")</f>
        <v>Always, no refund, I'm really missing and so on, I would like to be reimbursed my 88 euros thank you active insurance. A and you find it normal to pay without having received a quote?
And it will be nice to answer the email too</v>
      </c>
    </row>
    <row r="404" ht="15.75" customHeight="1">
      <c r="A404" s="2">
        <v>2.0</v>
      </c>
      <c r="B404" s="2" t="s">
        <v>1228</v>
      </c>
      <c r="C404" s="2" t="s">
        <v>1229</v>
      </c>
      <c r="D404" s="2" t="s">
        <v>276</v>
      </c>
      <c r="E404" s="2" t="s">
        <v>90</v>
      </c>
      <c r="F404" s="2" t="s">
        <v>15</v>
      </c>
      <c r="G404" s="2" t="s">
        <v>1230</v>
      </c>
      <c r="H404" s="2" t="s">
        <v>233</v>
      </c>
      <c r="I404" s="2" t="str">
        <f>IFERROR(__xludf.DUMMYFUNCTION("GOOGLETRANSLATE(C404,""fr"",""en"")"),"For me pesonement I had an intelligence to take insurance by my job at Q 'ua or here it is if problem. Expand that AGRI PERVOYANCE ASSURANT pays me a salary complement .cb4 you ... CNP .... does not take into account in my file for the absence of remunera"&amp;"tion so be careful for it for 6 years that I pay insurance for absolutely nothing Everything. Bien Read the A.A.")</f>
        <v>For me pesonement I had an intelligence to take insurance by my job at Q 'ua or here it is if problem. Expand that AGRI PERVOYANCE ASSURANT pays me a salary complement .cb4 you ... CNP .... does not take into account in my file for the absence of remuneration so be careful for it for 6 years that I pay insurance for absolutely nothing Everything. Bien Read the A.A.</v>
      </c>
    </row>
    <row r="405" ht="15.75" customHeight="1">
      <c r="A405" s="2">
        <v>4.0</v>
      </c>
      <c r="B405" s="2" t="s">
        <v>1231</v>
      </c>
      <c r="C405" s="2" t="s">
        <v>1232</v>
      </c>
      <c r="D405" s="2" t="s">
        <v>30</v>
      </c>
      <c r="E405" s="2" t="s">
        <v>14</v>
      </c>
      <c r="F405" s="2" t="s">
        <v>15</v>
      </c>
      <c r="G405" s="2" t="s">
        <v>996</v>
      </c>
      <c r="H405" s="2" t="s">
        <v>38</v>
      </c>
      <c r="I405" s="2" t="str">
        <f>IFERROR(__xludf.DUMMYFUNCTION("GOOGLETRANSLATE(C405,""fr"",""en"")"),"Simple and easy
But I did not find where it was necessary to register my sponsorship code, since it was my nephew who advised me your company and that it is satisfied with your services as a customer")</f>
        <v>Simple and easy
But I did not find where it was necessary to register my sponsorship code, since it was my nephew who advised me your company and that it is satisfied with your services as a customer</v>
      </c>
    </row>
    <row r="406" ht="15.75" customHeight="1">
      <c r="A406" s="2">
        <v>1.0</v>
      </c>
      <c r="B406" s="2" t="s">
        <v>1233</v>
      </c>
      <c r="C406" s="2" t="s">
        <v>1234</v>
      </c>
      <c r="D406" s="2" t="s">
        <v>403</v>
      </c>
      <c r="E406" s="2" t="s">
        <v>68</v>
      </c>
      <c r="F406" s="2" t="s">
        <v>15</v>
      </c>
      <c r="G406" s="2" t="s">
        <v>1235</v>
      </c>
      <c r="H406" s="2" t="s">
        <v>340</v>
      </c>
      <c r="I406" s="2" t="str">
        <f>IFERROR(__xludf.DUMMYFUNCTION("GOOGLETRANSLATE(C406,""fr"",""en"")"),"APPEAPLETE Service with a very bad experience of Groupama Legal Protection. Case still not resolved and still awaiting the return of Groupama after 4 months. I do not recommend this service and the person calling himself Ms. Hugonenq is exceeded and incom"&amp;"petent. She has no tact with the customer and clearly does not care about the quality of the work provided. What a shame.
Her manager should turn her.")</f>
        <v>APPEAPLETE Service with a very bad experience of Groupama Legal Protection. Case still not resolved and still awaiting the return of Groupama after 4 months. I do not recommend this service and the person calling himself Ms. Hugonenq is exceeded and incompetent. She has no tact with the customer and clearly does not care about the quality of the work provided. What a shame.
Her manager should turn her.</v>
      </c>
    </row>
    <row r="407" ht="15.75" customHeight="1">
      <c r="A407" s="2">
        <v>1.0</v>
      </c>
      <c r="B407" s="2" t="s">
        <v>1236</v>
      </c>
      <c r="C407" s="2" t="s">
        <v>1237</v>
      </c>
      <c r="D407" s="2" t="s">
        <v>1238</v>
      </c>
      <c r="E407" s="2" t="s">
        <v>90</v>
      </c>
      <c r="F407" s="2" t="s">
        <v>15</v>
      </c>
      <c r="G407" s="2" t="s">
        <v>1239</v>
      </c>
      <c r="H407" s="2" t="s">
        <v>38</v>
      </c>
      <c r="I407" s="2" t="str">
        <f>IFERROR(__xludf.DUMMYFUNCTION("GOOGLETRANSLATE(C407,""fr"",""en"")"),"Humanis to banish, not happy for 1 and a half years, he has been lying to process my file properly. I’m waiting for an effective person to contact me. Thank you")</f>
        <v>Humanis to banish, not happy for 1 and a half years, he has been lying to process my file properly. I’m waiting for an effective person to contact me. Thank you</v>
      </c>
    </row>
    <row r="408" ht="15.75" customHeight="1">
      <c r="A408" s="2">
        <v>5.0</v>
      </c>
      <c r="B408" s="2" t="s">
        <v>1240</v>
      </c>
      <c r="C408" s="2" t="s">
        <v>1241</v>
      </c>
      <c r="D408" s="2" t="s">
        <v>296</v>
      </c>
      <c r="E408" s="2" t="s">
        <v>14</v>
      </c>
      <c r="F408" s="2" t="s">
        <v>15</v>
      </c>
      <c r="G408" s="2" t="s">
        <v>1242</v>
      </c>
      <c r="H408" s="2" t="s">
        <v>32</v>
      </c>
      <c r="I408" s="2" t="str">
        <f>IFERROR(__xludf.DUMMYFUNCTION("GOOGLETRANSLATE(C408,""fr"",""en"")"),"I am very satisfied with the GMF services.
Availability, kindness and responsiveness, of reasonable prices.
I recommend GMF without hesitation.
")</f>
        <v>I am very satisfied with the GMF services.
Availability, kindness and responsiveness, of reasonable prices.
I recommend GMF without hesitation.
</v>
      </c>
    </row>
    <row r="409" ht="15.75" customHeight="1">
      <c r="A409" s="2">
        <v>5.0</v>
      </c>
      <c r="B409" s="2" t="s">
        <v>1243</v>
      </c>
      <c r="C409" s="2" t="s">
        <v>1244</v>
      </c>
      <c r="D409" s="2" t="s">
        <v>30</v>
      </c>
      <c r="E409" s="2" t="s">
        <v>14</v>
      </c>
      <c r="F409" s="2" t="s">
        <v>15</v>
      </c>
      <c r="G409" s="2" t="s">
        <v>1245</v>
      </c>
      <c r="H409" s="2" t="s">
        <v>64</v>
      </c>
      <c r="I409" s="2" t="str">
        <f>IFERROR(__xludf.DUMMYFUNCTION("GOOGLETRANSLATE(C409,""fr"",""en"")"),"Hello to the whole team I am very very satisfied with your service simply the best insurance that I have easy and efficient thank you very much")</f>
        <v>Hello to the whole team I am very very satisfied with your service simply the best insurance that I have easy and efficient thank you very much</v>
      </c>
    </row>
    <row r="410" ht="15.75" customHeight="1">
      <c r="A410" s="2">
        <v>1.0</v>
      </c>
      <c r="B410" s="2" t="s">
        <v>1246</v>
      </c>
      <c r="C410" s="2" t="s">
        <v>1247</v>
      </c>
      <c r="D410" s="2" t="s">
        <v>465</v>
      </c>
      <c r="E410" s="2" t="s">
        <v>111</v>
      </c>
      <c r="F410" s="2" t="s">
        <v>15</v>
      </c>
      <c r="G410" s="2" t="s">
        <v>1248</v>
      </c>
      <c r="H410" s="2" t="s">
        <v>981</v>
      </c>
      <c r="I410" s="2" t="str">
        <f>IFERROR(__xludf.DUMMYFUNCTION("GOOGLETRANSLATE(C410,""fr"",""en"")"),"After having terminated all my contracts I receive a letter from a bailiff to set I don't know what for 800th
Unacceptable
Always a rule for dedinnés
Or to you explain why they can't refund you
Do not take into account the documents sent
To flee from"&amp;" bad experience
Very expensive
Zero zero insurer")</f>
        <v>After having terminated all my contracts I receive a letter from a bailiff to set I don't know what for 800th
Unacceptable
Always a rule for dedinnés
Or to you explain why they can't refund you
Do not take into account the documents sent
To flee from bad experience
Very expensive
Zero zero insurer</v>
      </c>
    </row>
    <row r="411" ht="15.75" customHeight="1">
      <c r="A411" s="2">
        <v>3.0</v>
      </c>
      <c r="B411" s="2" t="s">
        <v>1249</v>
      </c>
      <c r="C411" s="2" t="s">
        <v>1250</v>
      </c>
      <c r="D411" s="2" t="s">
        <v>30</v>
      </c>
      <c r="E411" s="2" t="s">
        <v>14</v>
      </c>
      <c r="F411" s="2" t="s">
        <v>15</v>
      </c>
      <c r="G411" s="2" t="s">
        <v>1251</v>
      </c>
      <c r="H411" s="2" t="s">
        <v>47</v>
      </c>
      <c r="I411" s="2" t="str">
        <f>IFERROR(__xludf.DUMMYFUNCTION("GOOGLETRANSLATE(C411,""fr"",""en"")"),"After having undergone a confinement of more than 3 months and fire covers for a year. I have not claimed any specific discount. But the 26% increase in my bonus over 2 years remains well in my throat. € 494 in 2019 and now € 624. Too much is too much I a"&amp;"sk for an information statement for me and my wife and will change insurance for all of our contracts")</f>
        <v>After having undergone a confinement of more than 3 months and fire covers for a year. I have not claimed any specific discount. But the 26% increase in my bonus over 2 years remains well in my throat. € 494 in 2019 and now € 624. Too much is too much I ask for an information statement for me and my wife and will change insurance for all of our contracts</v>
      </c>
    </row>
    <row r="412" ht="15.75" customHeight="1">
      <c r="A412" s="2">
        <v>2.0</v>
      </c>
      <c r="B412" s="2" t="s">
        <v>1252</v>
      </c>
      <c r="C412" s="2" t="s">
        <v>1253</v>
      </c>
      <c r="D412" s="2" t="s">
        <v>571</v>
      </c>
      <c r="E412" s="2" t="s">
        <v>80</v>
      </c>
      <c r="F412" s="2" t="s">
        <v>15</v>
      </c>
      <c r="G412" s="2" t="s">
        <v>801</v>
      </c>
      <c r="H412" s="2" t="s">
        <v>52</v>
      </c>
      <c r="I412" s="2" t="str">
        <f>IFERROR(__xludf.DUMMYFUNCTION("GOOGLETRANSLATE(C412,""fr"",""en"")"),"Quote validated orally on 04/15/2021, electronic signature then at the end sends the contract!
Surprise !!! The price increased between the quote and the signing of the contract.
10 days that I contact Mr SOW Telephone and by email and he answers me eac"&amp;"h time, that it is a technical problem and that it will be resolved in 1 hour, it's good !!!
It's been 10 days if it must be settled in 1 hour!
Deceived commercial practice!?
Even if the prices are interesting, the signing of the contract must correspo"&amp;"nd to the quote especially if no change has been made !!! ??????
Mail with AR at the DDPP, 60 million consumers and district court for my part.
Thank you Zenup!")</f>
        <v>Quote validated orally on 04/15/2021, electronic signature then at the end sends the contract!
Surprise !!! The price increased between the quote and the signing of the contract.
10 days that I contact Mr SOW Telephone and by email and he answers me each time, that it is a technical problem and that it will be resolved in 1 hour, it's good !!!
It's been 10 days if it must be settled in 1 hour!
Deceived commercial practice!?
Even if the prices are interesting, the signing of the contract must correspond to the quote especially if no change has been made !!! ??????
Mail with AR at the DDPP, 60 million consumers and district court for my part.
Thank you Zenup!</v>
      </c>
    </row>
    <row r="413" ht="15.75" customHeight="1">
      <c r="A413" s="2">
        <v>1.0</v>
      </c>
      <c r="B413" s="2" t="s">
        <v>1254</v>
      </c>
      <c r="C413" s="2" t="s">
        <v>1255</v>
      </c>
      <c r="D413" s="2" t="s">
        <v>85</v>
      </c>
      <c r="E413" s="2" t="s">
        <v>90</v>
      </c>
      <c r="F413" s="2" t="s">
        <v>15</v>
      </c>
      <c r="G413" s="2" t="s">
        <v>1256</v>
      </c>
      <c r="H413" s="2" t="s">
        <v>229</v>
      </c>
      <c r="I413" s="2" t="str">
        <f>IFERROR(__xludf.DUMMYFUNCTION("GOOGLETRANSLATE(C413,""fr"",""en"")"),"Hello. Foresight to flee. My employer has already sent a incapacity for work file several times for the period January 2015 to July 2017 .... no response. And worse they say they have received nothing. My situation becomes catastrophic. I strongly advise "&amp;"against.")</f>
        <v>Hello. Foresight to flee. My employer has already sent a incapacity for work file several times for the period January 2015 to July 2017 .... no response. And worse they say they have received nothing. My situation becomes catastrophic. I strongly advise against.</v>
      </c>
    </row>
    <row r="414" ht="15.75" customHeight="1">
      <c r="A414" s="2">
        <v>5.0</v>
      </c>
      <c r="B414" s="2" t="s">
        <v>1257</v>
      </c>
      <c r="C414" s="2" t="s">
        <v>1258</v>
      </c>
      <c r="D414" s="2" t="s">
        <v>30</v>
      </c>
      <c r="E414" s="2" t="s">
        <v>14</v>
      </c>
      <c r="F414" s="2" t="s">
        <v>15</v>
      </c>
      <c r="G414" s="2" t="s">
        <v>1259</v>
      </c>
      <c r="H414" s="2" t="s">
        <v>47</v>
      </c>
      <c r="I414" s="2" t="str">
        <f>IFERROR(__xludf.DUMMYFUNCTION("GOOGLETRANSLATE(C414,""fr"",""en"")"),"I am fully satisfied with Direct Insurance services
The prices that Direct Insurance offers its cheaper those that I could see on the market!
However, I find that the website interface is a little too simplistic, it lacks conviviality, a little colors"&amp;" ...! ;)")</f>
        <v>I am fully satisfied with Direct Insurance services
The prices that Direct Insurance offers its cheaper those that I could see on the market!
However, I find that the website interface is a little too simplistic, it lacks conviviality, a little colors ...! ;)</v>
      </c>
    </row>
    <row r="415" ht="15.75" customHeight="1">
      <c r="A415" s="2">
        <v>1.0</v>
      </c>
      <c r="B415" s="2" t="s">
        <v>1260</v>
      </c>
      <c r="C415" s="2" t="s">
        <v>1261</v>
      </c>
      <c r="D415" s="2" t="s">
        <v>449</v>
      </c>
      <c r="E415" s="2" t="s">
        <v>36</v>
      </c>
      <c r="F415" s="2" t="s">
        <v>15</v>
      </c>
      <c r="G415" s="2" t="s">
        <v>1262</v>
      </c>
      <c r="H415" s="2" t="s">
        <v>424</v>
      </c>
      <c r="I415" s="2" t="str">
        <f>IFERROR(__xludf.DUMMYFUNCTION("GOOGLETRANSLATE(C415,""fr"",""en"")"),"I am not at all satisfied. To have a refund you have to make feet and hands. For optical costs they send us to partners so as not to pay, and finally we end up with more than 100 € in costs.")</f>
        <v>I am not at all satisfied. To have a refund you have to make feet and hands. For optical costs they send us to partners so as not to pay, and finally we end up with more than 100 € in costs.</v>
      </c>
    </row>
    <row r="416" ht="15.75" customHeight="1">
      <c r="A416" s="2">
        <v>4.0</v>
      </c>
      <c r="B416" s="2" t="s">
        <v>1263</v>
      </c>
      <c r="C416" s="2" t="s">
        <v>1264</v>
      </c>
      <c r="D416" s="2" t="s">
        <v>50</v>
      </c>
      <c r="E416" s="2" t="s">
        <v>14</v>
      </c>
      <c r="F416" s="2" t="s">
        <v>15</v>
      </c>
      <c r="G416" s="2" t="s">
        <v>117</v>
      </c>
      <c r="H416" s="2" t="s">
        <v>107</v>
      </c>
      <c r="I416" s="2" t="str">
        <f>IFERROR(__xludf.DUMMYFUNCTION("GOOGLETRANSLATE(C416,""fr"",""en"")"),"I am satisfied with the services of the olive tree and I very often recommend it to those around me, a perhaps expensive for home insurance but very competitive in car insurance.")</f>
        <v>I am satisfied with the services of the olive tree and I very often recommend it to those around me, a perhaps expensive for home insurance but very competitive in car insurance.</v>
      </c>
    </row>
    <row r="417" ht="15.75" customHeight="1">
      <c r="A417" s="2">
        <v>5.0</v>
      </c>
      <c r="B417" s="2" t="s">
        <v>1265</v>
      </c>
      <c r="C417" s="2" t="s">
        <v>1266</v>
      </c>
      <c r="D417" s="2" t="s">
        <v>94</v>
      </c>
      <c r="E417" s="2" t="s">
        <v>36</v>
      </c>
      <c r="F417" s="2" t="s">
        <v>15</v>
      </c>
      <c r="G417" s="2" t="s">
        <v>1267</v>
      </c>
      <c r="H417" s="2" t="s">
        <v>124</v>
      </c>
      <c r="I417" s="2" t="str">
        <f>IFERROR(__xludf.DUMMYFUNCTION("GOOGLETRANSLATE(C417,""fr"",""en"")"),"Member for years I have never had a problem
Mutual very available and attentive.
Very professional advisers
Very correct prices
I recommend")</f>
        <v>Member for years I have never had a problem
Mutual very available and attentive.
Very professional advisers
Very correct prices
I recommend</v>
      </c>
    </row>
    <row r="418" ht="15.75" customHeight="1">
      <c r="A418" s="2">
        <v>1.0</v>
      </c>
      <c r="B418" s="2" t="s">
        <v>1268</v>
      </c>
      <c r="C418" s="2" t="s">
        <v>1269</v>
      </c>
      <c r="D418" s="2" t="s">
        <v>642</v>
      </c>
      <c r="E418" s="2" t="s">
        <v>116</v>
      </c>
      <c r="F418" s="2" t="s">
        <v>15</v>
      </c>
      <c r="G418" s="2" t="s">
        <v>1270</v>
      </c>
      <c r="H418" s="2" t="s">
        <v>249</v>
      </c>
      <c r="I418" s="2" t="str">
        <f>IFERROR(__xludf.DUMMYFUNCTION("GOOGLETRANSLATE(C418,""fr"",""en"")"),"Watch out for the false argument of the Generali approach advisor: the one who forced me to open two contracts last year presented the products to me as ""Supers Booklet A"". These are stock market investments ... Hem. I needed the annual summary to reali"&amp;"ze the true nature of my ""savings accounts"" ... and as long as you do, the brave advisor's approvals ""concocted"" two contracts at the maximum risk !!! Well yes, as long as it is, when it is the money of others, we are going, as much to take as much ri"&amp;"sks as possible. Today I took the steps to close these two booklets to which fluctuate with the stock prices (not bad, I who had clearly clarified that I wanted to subscribe these ""savings accounts"" to place money and build up a capital , without risk ."&amp;".. a great booklet A). Fortunately, this hyper considerate and benevolent advisor's advisor had assured me that he had perfectly identified my need for savings and my allergic profile at risk, and blah, and blah. The little comic even explained to me, whe"&amp;"n he made me sign the contracts: ""Yes, we know very well that no one reads contracts because it is difficult to understand. Hence our interest in us, professionals , to respect the customer's requests ""(you amaze me!).
Finally, luckily I did not pay to"&amp;"o much too much money (phew!), Because between the loss of 4% on the 4 general investments (Generali Europe Mid Caps + Generali France Future Leaders + JPM Global Macro OPPS + Generali is Sri Ageing Population), and the costs of buying my booklets A (ah s"&amp;"orry, life insurance ...), well there will no longer be the same amount ...
And finally, letters sent to Reco by my usual bank in early May. Response yesterday of Generali: ""Please indicate a pattern"". In short, it drags the savate more to restore you "&amp;"the funds they have left ... In the end, it is rather winner-percent of the general investments (and not with Generali in the role of the loser, obviously) .")</f>
        <v>Watch out for the false argument of the Generali approach advisor: the one who forced me to open two contracts last year presented the products to me as "Supers Booklet A". These are stock market investments ... Hem. I needed the annual summary to realize the true nature of my "savings accounts" ... and as long as you do, the brave advisor's approvals "concocted" two contracts at the maximum risk !!! Well yes, as long as it is, when it is the money of others, we are going, as much to take as much risks as possible. Today I took the steps to close these two booklets to which fluctuate with the stock prices (not bad, I who had clearly clarified that I wanted to subscribe these "savings accounts" to place money and build up a capital , without risk ... a great booklet A). Fortunately, this hyper considerate and benevolent advisor's advisor had assured me that he had perfectly identified my need for savings and my allergic profile at risk, and blah, and blah. The little comic even explained to me, when he made me sign the contracts: "Yes, we know very well that no one reads contracts because it is difficult to understand. Hence our interest in us, professionals , to respect the customer's requests "(you amaze me!).
Finally, luckily I did not pay too much too much money (phew!), Because between the loss of 4% on the 4 general investments (Generali Europe Mid Caps + Generali France Future Leaders + JPM Global Macro OPPS + Generali is Sri Ageing Population), and the costs of buying my booklets A (ah sorry, life insurance ...), well there will no longer be the same amount ...
And finally, letters sent to Reco by my usual bank in early May. Response yesterday of Generali: "Please indicate a pattern". In short, it drags the savate more to restore you the funds they have left ... In the end, it is rather winner-percent of the general investments (and not with Generali in the role of the loser, obviously) .</v>
      </c>
    </row>
    <row r="419" ht="15.75" customHeight="1">
      <c r="A419" s="2">
        <v>4.0</v>
      </c>
      <c r="B419" s="2" t="s">
        <v>1271</v>
      </c>
      <c r="C419" s="2" t="s">
        <v>1272</v>
      </c>
      <c r="D419" s="2" t="s">
        <v>94</v>
      </c>
      <c r="E419" s="2" t="s">
        <v>36</v>
      </c>
      <c r="F419" s="2" t="s">
        <v>15</v>
      </c>
      <c r="G419" s="2" t="s">
        <v>1273</v>
      </c>
      <c r="H419" s="2" t="s">
        <v>124</v>
      </c>
      <c r="I419" s="2" t="str">
        <f>IFERROR(__xludf.DUMMYFUNCTION("GOOGLETRANSLATE(C419,""fr"",""en"")"),"hello
Very good telephonic welcome and very good effective.
The hostess of welcome and very effective and very effective on the request due I is formulated.
thank you")</f>
        <v>hello
Very good telephonic welcome and very good effective.
The hostess of welcome and very effective and very effective on the request due I is formulated.
thank you</v>
      </c>
    </row>
    <row r="420" ht="15.75" customHeight="1">
      <c r="A420" s="2">
        <v>1.0</v>
      </c>
      <c r="B420" s="2" t="s">
        <v>1274</v>
      </c>
      <c r="C420" s="2" t="s">
        <v>1275</v>
      </c>
      <c r="D420" s="2" t="s">
        <v>224</v>
      </c>
      <c r="E420" s="2" t="s">
        <v>14</v>
      </c>
      <c r="F420" s="2" t="s">
        <v>15</v>
      </c>
      <c r="G420" s="2" t="s">
        <v>1276</v>
      </c>
      <c r="H420" s="2" t="s">
        <v>613</v>
      </c>
      <c r="I420" s="2" t="str">
        <f>IFERROR(__xludf.DUMMYFUNCTION("GOOGLETRANSLATE(C420,""fr"",""en"")"),"After a serious double contract problem on my property no reaction without significant pressure. Still not settled after more than 2 months. Financial impact 400 euros! Scandalous.")</f>
        <v>After a serious double contract problem on my property no reaction without significant pressure. Still not settled after more than 2 months. Financial impact 400 euros! Scandalous.</v>
      </c>
    </row>
    <row r="421" ht="15.75" customHeight="1">
      <c r="A421" s="2">
        <v>5.0</v>
      </c>
      <c r="B421" s="2" t="s">
        <v>1277</v>
      </c>
      <c r="C421" s="2" t="s">
        <v>1278</v>
      </c>
      <c r="D421" s="2" t="s">
        <v>50</v>
      </c>
      <c r="E421" s="2" t="s">
        <v>14</v>
      </c>
      <c r="F421" s="2" t="s">
        <v>15</v>
      </c>
      <c r="G421" s="2" t="s">
        <v>798</v>
      </c>
      <c r="H421" s="2" t="s">
        <v>32</v>
      </c>
      <c r="I421" s="2" t="str">
        <f>IFERROR(__xludf.DUMMYFUNCTION("GOOGLETRANSLATE(C421,""fr"",""en"")"),"The registration is simple, fast and the prices are attractive. It’s super easy to open up an auto insurance contract. I recommend this carefree insurer")</f>
        <v>The registration is simple, fast and the prices are attractive. It’s super easy to open up an auto insurance contract. I recommend this carefree insurer</v>
      </c>
    </row>
    <row r="422" ht="15.75" customHeight="1">
      <c r="A422" s="2">
        <v>3.0</v>
      </c>
      <c r="B422" s="2" t="s">
        <v>1279</v>
      </c>
      <c r="C422" s="2" t="s">
        <v>1280</v>
      </c>
      <c r="D422" s="2" t="s">
        <v>296</v>
      </c>
      <c r="E422" s="2" t="s">
        <v>14</v>
      </c>
      <c r="F422" s="2" t="s">
        <v>15</v>
      </c>
      <c r="G422" s="2" t="s">
        <v>1281</v>
      </c>
      <c r="H422" s="2" t="s">
        <v>70</v>
      </c>
      <c r="I422" s="2" t="str">
        <f>IFERROR(__xludf.DUMMYFUNCTION("GOOGLETRANSLATE(C422,""fr"",""en"")"),"Always useful to take another story again when it is necessary to play the guarantees")</f>
        <v>Always useful to take another story again when it is necessary to play the guarantees</v>
      </c>
    </row>
    <row r="423" ht="15.75" customHeight="1">
      <c r="A423" s="2">
        <v>2.0</v>
      </c>
      <c r="B423" s="2" t="s">
        <v>1282</v>
      </c>
      <c r="C423" s="2" t="s">
        <v>1283</v>
      </c>
      <c r="D423" s="2" t="s">
        <v>219</v>
      </c>
      <c r="E423" s="2" t="s">
        <v>68</v>
      </c>
      <c r="F423" s="2" t="s">
        <v>15</v>
      </c>
      <c r="G423" s="2" t="s">
        <v>1284</v>
      </c>
      <c r="H423" s="2" t="s">
        <v>124</v>
      </c>
      <c r="I423" s="2" t="str">
        <f>IFERROR(__xludf.DUMMYFUNCTION("GOOGLETRANSLATE(C423,""fr"",""en"")"),"I subscribed to home insurance at Allianz that I stopped when I left my accommodation in June 2019. They continued to take me despite the contract stopping and promised to reimburse me all the monthly payments since June 2019 . Still no news due to refund"&amp;", I must constantly recall them, every week, so that I am repeated ""you will have your reimbursement within 2 weeks"". It's been two months.
I do not recommend this insurance.")</f>
        <v>I subscribed to home insurance at Allianz that I stopped when I left my accommodation in June 2019. They continued to take me despite the contract stopping and promised to reimburse me all the monthly payments since June 2019 . Still no news due to refund, I must constantly recall them, every week, so that I am repeated "you will have your reimbursement within 2 weeks". It's been two months.
I do not recommend this insurance.</v>
      </c>
    </row>
    <row r="424" ht="15.75" customHeight="1">
      <c r="A424" s="2">
        <v>5.0</v>
      </c>
      <c r="B424" s="2" t="s">
        <v>1285</v>
      </c>
      <c r="C424" s="2" t="s">
        <v>1286</v>
      </c>
      <c r="D424" s="2" t="s">
        <v>30</v>
      </c>
      <c r="E424" s="2" t="s">
        <v>14</v>
      </c>
      <c r="F424" s="2" t="s">
        <v>15</v>
      </c>
      <c r="G424" s="2" t="s">
        <v>1287</v>
      </c>
      <c r="H424" s="2" t="s">
        <v>64</v>
      </c>
      <c r="I424" s="2" t="str">
        <f>IFERROR(__xludf.DUMMYFUNCTION("GOOGLETRANSLATE(C424,""fr"",""en"")"),"Very satisfied with the service and the speed of this insurance.
Payment is as fast as subscription. The rates are also competitive with super customer service")</f>
        <v>Very satisfied with the service and the speed of this insurance.
Payment is as fast as subscription. The rates are also competitive with super customer service</v>
      </c>
    </row>
    <row r="425" ht="15.75" customHeight="1">
      <c r="A425" s="2">
        <v>4.0</v>
      </c>
      <c r="B425" s="2" t="s">
        <v>1288</v>
      </c>
      <c r="C425" s="2" t="s">
        <v>1289</v>
      </c>
      <c r="D425" s="2" t="s">
        <v>481</v>
      </c>
      <c r="E425" s="2" t="s">
        <v>111</v>
      </c>
      <c r="F425" s="2" t="s">
        <v>15</v>
      </c>
      <c r="G425" s="2" t="s">
        <v>63</v>
      </c>
      <c r="H425" s="2" t="s">
        <v>64</v>
      </c>
      <c r="I425" s="2" t="str">
        <f>IFERROR(__xludf.DUMMYFUNCTION("GOOGLETRANSLATE(C425,""fr"",""en"")"),"I am satisfied with the service.
The price is below what I am currently paying at the MAAF.
Online subscription is really easy. I appreciate this operation because I generally do not have time during the week.")</f>
        <v>I am satisfied with the service.
The price is below what I am currently paying at the MAAF.
Online subscription is really easy. I appreciate this operation because I generally do not have time during the week.</v>
      </c>
    </row>
    <row r="426" ht="15.75" customHeight="1">
      <c r="A426" s="2">
        <v>1.0</v>
      </c>
      <c r="B426" s="2" t="s">
        <v>1290</v>
      </c>
      <c r="C426" s="2" t="s">
        <v>1291</v>
      </c>
      <c r="D426" s="2" t="s">
        <v>50</v>
      </c>
      <c r="E426" s="2" t="s">
        <v>14</v>
      </c>
      <c r="F426" s="2" t="s">
        <v>15</v>
      </c>
      <c r="G426" s="2" t="s">
        <v>1292</v>
      </c>
      <c r="H426" s="2" t="s">
        <v>32</v>
      </c>
      <c r="I426" s="2" t="str">
        <f>IFERROR(__xludf.DUMMYFUNCTION("GOOGLETRANSLATE(C426,""fr"",""en"")"),"Constantly a headache! Incompetence! Whenever I have them on the phone to solve a problem, it's me who should tell them how the law works! I myself have called them to pass my bonus/penalty rate to 1% after two years over without accident!
And there they"&amp;" invent me a penalty rate without having had an accident and in addition I have to pay because they forgot to take into account an accident that occurred three years ago !!!! (Without warning myself of course, I realized it after since my subscription had"&amp;" doubled!)
And the advisers I have on the phone, are not sure of their info, and ask for the advice of their superiors who have nothing to do and who do interventions on contracts without even warning the customer!
In summary, attractive prices, but nev"&amp;"er have a problem with them because this is where the obstacle course begins!")</f>
        <v>Constantly a headache! Incompetence! Whenever I have them on the phone to solve a problem, it's me who should tell them how the law works! I myself have called them to pass my bonus/penalty rate to 1% after two years over without accident!
And there they invent me a penalty rate without having had an accident and in addition I have to pay because they forgot to take into account an accident that occurred three years ago !!!! (Without warning myself of course, I realized it after since my subscription had doubled!)
And the advisers I have on the phone, are not sure of their info, and ask for the advice of their superiors who have nothing to do and who do interventions on contracts without even warning the customer!
In summary, attractive prices, but never have a problem with them because this is where the obstacle course begins!</v>
      </c>
    </row>
    <row r="427" ht="15.75" customHeight="1">
      <c r="A427" s="2">
        <v>5.0</v>
      </c>
      <c r="B427" s="2" t="s">
        <v>1293</v>
      </c>
      <c r="C427" s="2" t="s">
        <v>1294</v>
      </c>
      <c r="D427" s="2" t="s">
        <v>50</v>
      </c>
      <c r="E427" s="2" t="s">
        <v>14</v>
      </c>
      <c r="F427" s="2" t="s">
        <v>15</v>
      </c>
      <c r="G427" s="2" t="s">
        <v>1295</v>
      </c>
      <c r="H427" s="2" t="s">
        <v>52</v>
      </c>
      <c r="I427" s="2" t="str">
        <f>IFERROR(__xludf.DUMMYFUNCTION("GOOGLETRANSLATE(C427,""fr"",""en"")"),"I am satisfied with the service
Value for money
Fast, simple, efficient
Perfect for young driver.
I highly recommend the Olivier Asurance")</f>
        <v>I am satisfied with the service
Value for money
Fast, simple, efficient
Perfect for young driver.
I highly recommend the Olivier Asurance</v>
      </c>
    </row>
    <row r="428" ht="15.75" customHeight="1">
      <c r="A428" s="2">
        <v>4.0</v>
      </c>
      <c r="B428" s="2" t="s">
        <v>1296</v>
      </c>
      <c r="C428" s="2" t="s">
        <v>1297</v>
      </c>
      <c r="D428" s="2" t="s">
        <v>145</v>
      </c>
      <c r="E428" s="2" t="s">
        <v>111</v>
      </c>
      <c r="F428" s="2" t="s">
        <v>15</v>
      </c>
      <c r="G428" s="2" t="s">
        <v>225</v>
      </c>
      <c r="H428" s="2" t="s">
        <v>159</v>
      </c>
      <c r="I428" s="2" t="str">
        <f>IFERROR(__xludf.DUMMYFUNCTION("GOOGLETRANSLATE(C428,""fr"",""en"")"),"Very reactive insurance both during registration and during the insured period.
Everything is clear and without vice. I use this company every time I buy a two wheels and I recommend it to all those who want to know what they sign.")</f>
        <v>Very reactive insurance both during registration and during the insured period.
Everything is clear and without vice. I use this company every time I buy a two wheels and I recommend it to all those who want to know what they sign.</v>
      </c>
    </row>
    <row r="429" ht="15.75" customHeight="1">
      <c r="A429" s="2">
        <v>5.0</v>
      </c>
      <c r="B429" s="2" t="s">
        <v>1298</v>
      </c>
      <c r="C429" s="2" t="s">
        <v>1299</v>
      </c>
      <c r="D429" s="2" t="s">
        <v>571</v>
      </c>
      <c r="E429" s="2" t="s">
        <v>80</v>
      </c>
      <c r="F429" s="2" t="s">
        <v>15</v>
      </c>
      <c r="G429" s="2" t="s">
        <v>1300</v>
      </c>
      <c r="H429" s="2" t="s">
        <v>64</v>
      </c>
      <c r="I429" s="2" t="str">
        <f>IFERROR(__xludf.DUMMYFUNCTION("GOOGLETRANSLATE(C429,""fr"",""en"")"),"satisfied with the service. fast efficient and clearly explained.
The follow -up is really present and the temporality too. The listening interlocutor and shows great patience.
Thank you")</f>
        <v>satisfied with the service. fast efficient and clearly explained.
The follow -up is really present and the temporality too. The listening interlocutor and shows great patience.
Thank you</v>
      </c>
    </row>
    <row r="430" ht="15.75" customHeight="1">
      <c r="A430" s="2">
        <v>2.0</v>
      </c>
      <c r="B430" s="2" t="s">
        <v>1301</v>
      </c>
      <c r="C430" s="2" t="s">
        <v>1302</v>
      </c>
      <c r="D430" s="2" t="s">
        <v>329</v>
      </c>
      <c r="E430" s="2" t="s">
        <v>14</v>
      </c>
      <c r="F430" s="2" t="s">
        <v>15</v>
      </c>
      <c r="G430" s="2" t="s">
        <v>1303</v>
      </c>
      <c r="H430" s="2" t="s">
        <v>566</v>
      </c>
      <c r="I430" s="2" t="str">
        <f>IFERROR(__xludf.DUMMYFUNCTION("GOOGLETRANSLATE(C430,""fr"",""en"")"),"Insured all risks I was the victim of a non -responsible car claim 7 weeks ago. Today, I still don't know if my vehicle will be repaired or not. With each telephone call I have a new manager, he takes up the file and swears that it will move forward but t"&amp;"hey never remind you and the file is bogged down. No action has been carried out for 1 month, no vehicle loan to compensate me for the processing deadline (almost 3 hours / day of public transport to go to work). Go your way, there is certainly much more "&amp;"serious for only a few euros more.")</f>
        <v>Insured all risks I was the victim of a non -responsible car claim 7 weeks ago. Today, I still don't know if my vehicle will be repaired or not. With each telephone call I have a new manager, he takes up the file and swears that it will move forward but they never remind you and the file is bogged down. No action has been carried out for 1 month, no vehicle loan to compensate me for the processing deadline (almost 3 hours / day of public transport to go to work). Go your way, there is certainly much more serious for only a few euros more.</v>
      </c>
    </row>
    <row r="431" ht="15.75" customHeight="1">
      <c r="A431" s="2">
        <v>1.0</v>
      </c>
      <c r="B431" s="2" t="s">
        <v>1304</v>
      </c>
      <c r="C431" s="2" t="s">
        <v>1305</v>
      </c>
      <c r="D431" s="2" t="s">
        <v>30</v>
      </c>
      <c r="E431" s="2" t="s">
        <v>14</v>
      </c>
      <c r="F431" s="2" t="s">
        <v>15</v>
      </c>
      <c r="G431" s="2" t="s">
        <v>1306</v>
      </c>
      <c r="H431" s="2" t="s">
        <v>305</v>
      </c>
      <c r="I431" s="2" t="str">
        <f>IFERROR(__xludf.DUMMYFUNCTION("GOOGLETRANSLATE(C431,""fr"",""en"")"),"Client since 2012 at Direct Insurance, I am about to go to competition (MAAF) which offers the same services for 200 € less. For the past two years, I went from € 695 to a maturity notice at € 787 for 2017/2018! At this rate I will be asked to pay € 1,000"&amp;" in 3 years. I contacted the customer service who explained to me that this was due to the updating of the risks which is carried out each year, no commercial gesture was offered to me. So I invite you to go your way and even if you are a new member with "&amp;"an attractive starting price, wait for huge annual increases!")</f>
        <v>Client since 2012 at Direct Insurance, I am about to go to competition (MAAF) which offers the same services for 200 € less. For the past two years, I went from € 695 to a maturity notice at € 787 for 2017/2018! At this rate I will be asked to pay € 1,000 in 3 years. I contacted the customer service who explained to me that this was due to the updating of the risks which is carried out each year, no commercial gesture was offered to me. So I invite you to go your way and even if you are a new member with an attractive starting price, wait for huge annual increases!</v>
      </c>
    </row>
    <row r="432" ht="15.75" customHeight="1">
      <c r="A432" s="2">
        <v>1.0</v>
      </c>
      <c r="B432" s="2" t="s">
        <v>1307</v>
      </c>
      <c r="C432" s="2" t="s">
        <v>1308</v>
      </c>
      <c r="D432" s="2" t="s">
        <v>449</v>
      </c>
      <c r="E432" s="2" t="s">
        <v>36</v>
      </c>
      <c r="F432" s="2" t="s">
        <v>15</v>
      </c>
      <c r="G432" s="2" t="s">
        <v>1309</v>
      </c>
      <c r="H432" s="2" t="s">
        <v>249</v>
      </c>
      <c r="I432" s="2" t="str">
        <f>IFERROR(__xludf.DUMMYFUNCTION("GOOGLETRANSLATE(C432,""fr"",""en"")"),"I have this compulsory mutual which is still worth 150 euros per month taking into account the employer. He reimburses no exceeding of fees because they have signed a specialist agreement is affiliated with it. Prennate the money and reimburses as if all "&amp;"the doctors were on list 1 while all the specialists are on list 2. They are incapable to provide a list of doctor convention works with them and accuses you for having taken too expensive
. A shame mutual to come because no telephone reception still lat"&amp;"e for reimbursement")</f>
        <v>I have this compulsory mutual which is still worth 150 euros per month taking into account the employer. He reimburses no exceeding of fees because they have signed a specialist agreement is affiliated with it. Prennate the money and reimburses as if all the doctors were on list 1 while all the specialists are on list 2. They are incapable to provide a list of doctor convention works with them and accuses you for having taken too expensive
. A shame mutual to come because no telephone reception still late for reimbursement</v>
      </c>
    </row>
    <row r="433" ht="15.75" customHeight="1">
      <c r="A433" s="2">
        <v>1.0</v>
      </c>
      <c r="B433" s="2" t="s">
        <v>1310</v>
      </c>
      <c r="C433" s="2" t="s">
        <v>1311</v>
      </c>
      <c r="D433" s="2" t="s">
        <v>30</v>
      </c>
      <c r="E433" s="2" t="s">
        <v>14</v>
      </c>
      <c r="F433" s="2" t="s">
        <v>15</v>
      </c>
      <c r="G433" s="2" t="s">
        <v>1312</v>
      </c>
      <c r="H433" s="2" t="s">
        <v>107</v>
      </c>
      <c r="I433" s="2" t="str">
        <f>IFERROR(__xludf.DUMMYFUNCTION("GOOGLETRANSLATE(C433,""fr"",""en"")"),"Impossible to reach you, neither phone nor cat, and impossible to act on the site a disaster!
Auto contract well place price level at the start, and during a change of vehicle, you are double the walk")</f>
        <v>Impossible to reach you, neither phone nor cat, and impossible to act on the site a disaster!
Auto contract well place price level at the start, and during a change of vehicle, you are double the walk</v>
      </c>
    </row>
    <row r="434" ht="15.75" customHeight="1">
      <c r="A434" s="2">
        <v>4.0</v>
      </c>
      <c r="B434" s="2" t="s">
        <v>1313</v>
      </c>
      <c r="C434" s="2" t="s">
        <v>1314</v>
      </c>
      <c r="D434" s="2" t="s">
        <v>30</v>
      </c>
      <c r="E434" s="2" t="s">
        <v>14</v>
      </c>
      <c r="F434" s="2" t="s">
        <v>15</v>
      </c>
      <c r="G434" s="2" t="s">
        <v>863</v>
      </c>
      <c r="H434" s="2" t="s">
        <v>107</v>
      </c>
      <c r="I434" s="2" t="str">
        <f>IFERROR(__xludf.DUMMYFUNCTION("GOOGLETRANSLATE(C434,""fr"",""en"")"),"I am satisfied with the service of your insurance because it is not expensive and is suitable for my family situation. thank you very much I am fate that it will continue")</f>
        <v>I am satisfied with the service of your insurance because it is not expensive and is suitable for my family situation. thank you very much I am fate that it will continue</v>
      </c>
    </row>
    <row r="435" ht="15.75" customHeight="1">
      <c r="A435" s="2">
        <v>1.0</v>
      </c>
      <c r="B435" s="2" t="s">
        <v>1315</v>
      </c>
      <c r="C435" s="2" t="s">
        <v>1316</v>
      </c>
      <c r="D435" s="2" t="s">
        <v>20</v>
      </c>
      <c r="E435" s="2" t="s">
        <v>14</v>
      </c>
      <c r="F435" s="2" t="s">
        <v>15</v>
      </c>
      <c r="G435" s="2" t="s">
        <v>1317</v>
      </c>
      <c r="H435" s="2" t="s">
        <v>27</v>
      </c>
      <c r="I435" s="2" t="str">
        <f>IFERROR(__xludf.DUMMYFUNCTION("GOOGLETRANSLATE(C435,""fr"",""en"")"),"Fleeeeeeeere !!!!!
A equipped with incapable and incompetent who speaks a very approximate Frenchman and who are unable to provide the slightest information.
Better to pay double or even triple elsewhere !!!!")</f>
        <v>Fleeeeeeeere !!!!!
A equipped with incapable and incompetent who speaks a very approximate Frenchman and who are unable to provide the slightest information.
Better to pay double or even triple elsewhere !!!!</v>
      </c>
    </row>
    <row r="436" ht="15.75" customHeight="1">
      <c r="A436" s="2">
        <v>1.0</v>
      </c>
      <c r="B436" s="2" t="s">
        <v>1318</v>
      </c>
      <c r="C436" s="2" t="s">
        <v>1319</v>
      </c>
      <c r="D436" s="2" t="s">
        <v>1320</v>
      </c>
      <c r="E436" s="2" t="s">
        <v>80</v>
      </c>
      <c r="F436" s="2" t="s">
        <v>15</v>
      </c>
      <c r="G436" s="2" t="s">
        <v>1321</v>
      </c>
      <c r="H436" s="2" t="s">
        <v>22</v>
      </c>
      <c r="I436" s="2" t="str">
        <f>IFERROR(__xludf.DUMMYFUNCTION("GOOGLETRANSLATE(C436,""fr"",""en"")"),"I will decide this insurance because it is much more expensive than competition and does not offer good guarantees.
In addition, it is not serious in the processing of files")</f>
        <v>I will decide this insurance because it is much more expensive than competition and does not offer good guarantees.
In addition, it is not serious in the processing of files</v>
      </c>
    </row>
    <row r="437" ht="15.75" customHeight="1">
      <c r="A437" s="2">
        <v>4.0</v>
      </c>
      <c r="B437" s="2" t="s">
        <v>1322</v>
      </c>
      <c r="C437" s="2" t="s">
        <v>1323</v>
      </c>
      <c r="D437" s="2" t="s">
        <v>329</v>
      </c>
      <c r="E437" s="2" t="s">
        <v>14</v>
      </c>
      <c r="F437" s="2" t="s">
        <v>15</v>
      </c>
      <c r="G437" s="2" t="s">
        <v>1324</v>
      </c>
      <c r="H437" s="2" t="s">
        <v>319</v>
      </c>
      <c r="I437" s="2" t="str">
        <f>IFERROR(__xludf.DUMMYFUNCTION("GOOGLETRANSLATE(C437,""fr"",""en"")"),"Hello, here's what to go to one of their agency, I was very well received, I obtained an appointment fairly quickly, the next day, a bit of waiting in waiting rooms, which is Normal for the most popular insurance in France.
An advisor, after having caref"&amp;"ully studying my file that unfortunately the Macif could not ensure that I am a young driver with a vehicle too ""powerful"" for low experience (Renault Twingo2 Diesel 85 CV Engine for 4CV Tax ) For a first car of course.
I was ""forced"" to accept Allia"&amp;"nz's offer in all risks with this vehicle 2,300 euros per year, a little dear indeed but I think that is the price of serenity at the end I Hope. The Macif advisor advised me to do 1 year or 2 years with them (to have experience), and if after the price r"&amp;"emains free to return to the Macif and that it can according to my history with Allianz offer me a more reasonable price for the same guarantees, to see in due time.
All this to say that despite that I am not ensuring their senses of service is fairly co"&amp;"rrect even if it should be a little more open for young drivers even if it means raising prices accept all vehicles within the limit of reasonable .
After I cannot honestly judge the quality of the guarantees since I am not insuring at home.")</f>
        <v>Hello, here's what to go to one of their agency, I was very well received, I obtained an appointment fairly quickly, the next day, a bit of waiting in waiting rooms, which is Normal for the most popular insurance in France.
An advisor, after having carefully studying my file that unfortunately the Macif could not ensure that I am a young driver with a vehicle too "powerful" for low experience (Renault Twingo2 Diesel 85 CV Engine for 4CV Tax ) For a first car of course.
I was "forced" to accept Allianz's offer in all risks with this vehicle 2,300 euros per year, a little dear indeed but I think that is the price of serenity at the end I Hope. The Macif advisor advised me to do 1 year or 2 years with them (to have experience), and if after the price remains free to return to the Macif and that it can according to my history with Allianz offer me a more reasonable price for the same guarantees, to see in due time.
All this to say that despite that I am not ensuring their senses of service is fairly correct even if it should be a little more open for young drivers even if it means raising prices accept all vehicles within the limit of reasonable .
After I cannot honestly judge the quality of the guarantees since I am not insuring at home.</v>
      </c>
    </row>
    <row r="438" ht="15.75" customHeight="1">
      <c r="A438" s="2">
        <v>2.0</v>
      </c>
      <c r="B438" s="2" t="s">
        <v>1325</v>
      </c>
      <c r="C438" s="2" t="s">
        <v>1326</v>
      </c>
      <c r="D438" s="2" t="s">
        <v>30</v>
      </c>
      <c r="E438" s="2" t="s">
        <v>14</v>
      </c>
      <c r="F438" s="2" t="s">
        <v>15</v>
      </c>
      <c r="G438" s="2" t="s">
        <v>498</v>
      </c>
      <c r="H438" s="2" t="s">
        <v>52</v>
      </c>
      <c r="I438" s="2" t="str">
        <f>IFERROR(__xludf.DUMMYFUNCTION("GOOGLETRANSLATE(C438,""fr"",""en"")"),"I am asked for an information statement when I already have an auto insurance contract
waiting to be contacted and hoping to be well insured
greetings")</f>
        <v>I am asked for an information statement when I already have an auto insurance contract
waiting to be contacted and hoping to be well insured
greetings</v>
      </c>
    </row>
    <row r="439" ht="15.75" customHeight="1">
      <c r="A439" s="2">
        <v>3.0</v>
      </c>
      <c r="B439" s="2" t="s">
        <v>1327</v>
      </c>
      <c r="C439" s="2" t="s">
        <v>1328</v>
      </c>
      <c r="D439" s="2" t="s">
        <v>50</v>
      </c>
      <c r="E439" s="2" t="s">
        <v>14</v>
      </c>
      <c r="F439" s="2" t="s">
        <v>15</v>
      </c>
      <c r="G439" s="2" t="s">
        <v>1321</v>
      </c>
      <c r="H439" s="2" t="s">
        <v>356</v>
      </c>
      <c r="I439" s="2" t="str">
        <f>IFERROR(__xludf.DUMMYFUNCTION("GOOGLETRANSLATE(C439,""fr"",""en"")"),"I am very satisfied with the telephone reception I received and the services offered by Olivier Insurance. The registration formalities are clear and precise I thank 0livier assurances")</f>
        <v>I am very satisfied with the telephone reception I received and the services offered by Olivier Insurance. The registration formalities are clear and precise I thank 0livier assurances</v>
      </c>
    </row>
    <row r="440" ht="15.75" customHeight="1">
      <c r="A440" s="2">
        <v>1.0</v>
      </c>
      <c r="B440" s="2" t="s">
        <v>1329</v>
      </c>
      <c r="C440" s="2" t="s">
        <v>1330</v>
      </c>
      <c r="D440" s="2" t="s">
        <v>85</v>
      </c>
      <c r="E440" s="2" t="s">
        <v>90</v>
      </c>
      <c r="F440" s="2" t="s">
        <v>15</v>
      </c>
      <c r="G440" s="2" t="s">
        <v>1331</v>
      </c>
      <c r="H440" s="2" t="s">
        <v>378</v>
      </c>
      <c r="I440" s="2" t="str">
        <f>IFERROR(__xludf.DUMMYFUNCTION("GOOGLETRANSLATE(C440,""fr"",""en"")"),"Still awaiting a salary supplement following an interim stop outside mission dating from 01/18/2020 !!!!!
All the documents were sent via the given email but there is always a new piece that has been attached, proof in support ... It is inadmissible !!"&amp;"!
I find myself in a more than complicated financial situation.
I am thinking of seizing the competent authorities to request compensation")</f>
        <v>Still awaiting a salary supplement following an interim stop outside mission dating from 01/18/2020 !!!!!
All the documents were sent via the given email but there is always a new piece that has been attached, proof in support ... It is inadmissible !!!
I find myself in a more than complicated financial situation.
I am thinking of seizing the competent authorities to request compensation</v>
      </c>
    </row>
    <row r="441" ht="15.75" customHeight="1">
      <c r="A441" s="2">
        <v>1.0</v>
      </c>
      <c r="B441" s="2" t="s">
        <v>1332</v>
      </c>
      <c r="C441" s="2" t="s">
        <v>1333</v>
      </c>
      <c r="D441" s="2" t="s">
        <v>67</v>
      </c>
      <c r="E441" s="2" t="s">
        <v>68</v>
      </c>
      <c r="F441" s="2" t="s">
        <v>15</v>
      </c>
      <c r="G441" s="2" t="s">
        <v>1334</v>
      </c>
      <c r="H441" s="2" t="s">
        <v>241</v>
      </c>
      <c r="I441" s="2" t="str">
        <f>IFERROR(__xludf.DUMMYFUNCTION("GOOGLETRANSLATE(C441,""fr"",""en"")"),"Following a water damage from my roof, I decided to play insurance .... serious, incompetent and bad faith. Ah if sorry I received a call from a company that wanted to come and redo the painting. In the meantime, I always have my leak and the latest news,"&amp;" it's all the ridge to redo .... but hey we pay insurance for nothing.")</f>
        <v>Following a water damage from my roof, I decided to play insurance .... serious, incompetent and bad faith. Ah if sorry I received a call from a company that wanted to come and redo the painting. In the meantime, I always have my leak and the latest news, it's all the ridge to redo .... but hey we pay insurance for nothing.</v>
      </c>
    </row>
    <row r="442" ht="15.75" customHeight="1">
      <c r="A442" s="2">
        <v>4.0</v>
      </c>
      <c r="B442" s="2" t="s">
        <v>1335</v>
      </c>
      <c r="C442" s="2" t="s">
        <v>1336</v>
      </c>
      <c r="D442" s="2" t="s">
        <v>141</v>
      </c>
      <c r="E442" s="2" t="s">
        <v>68</v>
      </c>
      <c r="F442" s="2" t="s">
        <v>15</v>
      </c>
      <c r="G442" s="2" t="s">
        <v>1337</v>
      </c>
      <c r="H442" s="2" t="s">
        <v>911</v>
      </c>
      <c r="I442" s="2" t="str">
        <f>IFERROR(__xludf.DUMMYFUNCTION("GOOGLETRANSLATE(C442,""fr"",""en"")"),"I am completely satisfied with this insurance. Customer service is of impeccable quality, competent interlocutors who master their subject and who want to help and inform you at best. It is not a company that seeks only to ensure the strict minimum on you"&amp;"r services, they go beyond their perimeter to satisfy the customer. For 3 years I had a Dinzaine of interlocutors and they were all very pleasant and of great help including on the more complex subjects (hidden defect, lack of reimbursement on the part of"&amp;" the owner ...). I recommend and recommend this insurance.")</f>
        <v>I am completely satisfied with this insurance. Customer service is of impeccable quality, competent interlocutors who master their subject and who want to help and inform you at best. It is not a company that seeks only to ensure the strict minimum on your services, they go beyond their perimeter to satisfy the customer. For 3 years I had a Dinzaine of interlocutors and they were all very pleasant and of great help including on the more complex subjects (hidden defect, lack of reimbursement on the part of the owner ...). I recommend and recommend this insurance.</v>
      </c>
    </row>
    <row r="443" ht="15.75" customHeight="1">
      <c r="A443" s="2">
        <v>5.0</v>
      </c>
      <c r="B443" s="2" t="s">
        <v>1338</v>
      </c>
      <c r="C443" s="2" t="s">
        <v>1339</v>
      </c>
      <c r="D443" s="2" t="s">
        <v>50</v>
      </c>
      <c r="E443" s="2" t="s">
        <v>14</v>
      </c>
      <c r="F443" s="2" t="s">
        <v>15</v>
      </c>
      <c r="G443" s="2" t="s">
        <v>1340</v>
      </c>
      <c r="H443" s="2" t="s">
        <v>64</v>
      </c>
      <c r="I443" s="2" t="str">
        <f>IFERROR(__xludf.DUMMYFUNCTION("GOOGLETRANSLATE(C443,""fr"",""en"")"),"Satisfied with the beginning at the end nothing to say bravo the advisor was super he offered me the formula adapts to my needs, delighted with his professionalism !!!")</f>
        <v>Satisfied with the beginning at the end nothing to say bravo the advisor was super he offered me the formula adapts to my needs, delighted with his professionalism !!!</v>
      </c>
    </row>
    <row r="444" ht="15.75" customHeight="1">
      <c r="A444" s="2">
        <v>1.0</v>
      </c>
      <c r="B444" s="2" t="s">
        <v>1341</v>
      </c>
      <c r="C444" s="2" t="s">
        <v>1342</v>
      </c>
      <c r="D444" s="2" t="s">
        <v>20</v>
      </c>
      <c r="E444" s="2" t="s">
        <v>14</v>
      </c>
      <c r="F444" s="2" t="s">
        <v>15</v>
      </c>
      <c r="G444" s="2" t="s">
        <v>1343</v>
      </c>
      <c r="H444" s="2" t="s">
        <v>352</v>
      </c>
      <c r="I444" s="2" t="str">
        <f>IFERROR(__xludf.DUMMYFUNCTION("GOOGLETRANSLATE(C444,""fr"",""en"")"),"Declaration of a disaster for a month now zero new insurance despite the number of endless calls. Really disappointed. Very active for creating a contract but invisible for problems")</f>
        <v>Declaration of a disaster for a month now zero new insurance despite the number of endless calls. Really disappointed. Very active for creating a contract but invisible for problems</v>
      </c>
    </row>
    <row r="445" ht="15.75" customHeight="1">
      <c r="A445" s="2">
        <v>1.0</v>
      </c>
      <c r="B445" s="2" t="s">
        <v>1344</v>
      </c>
      <c r="C445" s="2" t="s">
        <v>1345</v>
      </c>
      <c r="D445" s="2" t="s">
        <v>25</v>
      </c>
      <c r="E445" s="2" t="s">
        <v>14</v>
      </c>
      <c r="F445" s="2" t="s">
        <v>15</v>
      </c>
      <c r="G445" s="2" t="s">
        <v>1346</v>
      </c>
      <c r="H445" s="2" t="s">
        <v>17</v>
      </c>
      <c r="I445" s="2" t="str">
        <f>IFERROR(__xludf.DUMMYFUNCTION("GOOGLETRANSLATE(C445,""fr"",""en"")"),"It is good insurance but watch out for the back of the medal")</f>
        <v>It is good insurance but watch out for the back of the medal</v>
      </c>
    </row>
    <row r="446" ht="15.75" customHeight="1">
      <c r="A446" s="2">
        <v>4.0</v>
      </c>
      <c r="B446" s="2" t="s">
        <v>1347</v>
      </c>
      <c r="C446" s="2" t="s">
        <v>1348</v>
      </c>
      <c r="D446" s="2" t="s">
        <v>296</v>
      </c>
      <c r="E446" s="2" t="s">
        <v>14</v>
      </c>
      <c r="F446" s="2" t="s">
        <v>15</v>
      </c>
      <c r="G446" s="2" t="s">
        <v>1349</v>
      </c>
      <c r="H446" s="2" t="s">
        <v>566</v>
      </c>
      <c r="I446" s="2" t="str">
        <f>IFERROR(__xludf.DUMMYFUNCTION("GOOGLETRANSLATE(C446,""fr"",""en"")"),"Insured for 20 years never a problem. Lately an accident. Contact with an advisor, advice, perfect file follow -up. No deadlines. Support for the vehicle expertise and rapid repair. 5 stars thank you the Lannion team (22)")</f>
        <v>Insured for 20 years never a problem. Lately an accident. Contact with an advisor, advice, perfect file follow -up. No deadlines. Support for the vehicle expertise and rapid repair. 5 stars thank you the Lannion team (22)</v>
      </c>
    </row>
    <row r="447" ht="15.75" customHeight="1">
      <c r="A447" s="2">
        <v>3.0</v>
      </c>
      <c r="B447" s="2" t="s">
        <v>1350</v>
      </c>
      <c r="C447" s="2" t="s">
        <v>1351</v>
      </c>
      <c r="D447" s="2" t="s">
        <v>30</v>
      </c>
      <c r="E447" s="2" t="s">
        <v>14</v>
      </c>
      <c r="F447" s="2" t="s">
        <v>15</v>
      </c>
      <c r="G447" s="2" t="s">
        <v>47</v>
      </c>
      <c r="H447" s="2" t="s">
        <v>47</v>
      </c>
      <c r="I447" s="2" t="str">
        <f>IFERROR(__xludf.DUMMYFUNCTION("GOOGLETRANSLATE(C447,""fr"",""en"")"),"I have been satisfied with the service for the moment but I have never needed to call for a disaster so for the moment I have nothing to say any particular")</f>
        <v>I have been satisfied with the service for the moment but I have never needed to call for a disaster so for the moment I have nothing to say any particular</v>
      </c>
    </row>
    <row r="448" ht="15.75" customHeight="1">
      <c r="A448" s="2">
        <v>4.0</v>
      </c>
      <c r="B448" s="2" t="s">
        <v>1352</v>
      </c>
      <c r="C448" s="2" t="s">
        <v>1353</v>
      </c>
      <c r="D448" s="2" t="s">
        <v>50</v>
      </c>
      <c r="E448" s="2" t="s">
        <v>14</v>
      </c>
      <c r="F448" s="2" t="s">
        <v>15</v>
      </c>
      <c r="G448" s="2" t="s">
        <v>1354</v>
      </c>
      <c r="H448" s="2" t="s">
        <v>356</v>
      </c>
      <c r="I448" s="2" t="str">
        <f>IFERROR(__xludf.DUMMYFUNCTION("GOOGLETRANSLATE(C448,""fr"",""en"")"),"I was taken care of when I had not even finished signing my insurance contract. I am satisfied with the service rendered by the team of the Olivier Assusance.")</f>
        <v>I was taken care of when I had not even finished signing my insurance contract. I am satisfied with the service rendered by the team of the Olivier Assusance.</v>
      </c>
    </row>
    <row r="449" ht="15.75" customHeight="1">
      <c r="A449" s="2">
        <v>1.0</v>
      </c>
      <c r="B449" s="2" t="s">
        <v>1355</v>
      </c>
      <c r="C449" s="2" t="s">
        <v>1356</v>
      </c>
      <c r="D449" s="2" t="s">
        <v>141</v>
      </c>
      <c r="E449" s="2" t="s">
        <v>68</v>
      </c>
      <c r="F449" s="2" t="s">
        <v>15</v>
      </c>
      <c r="G449" s="2" t="s">
        <v>609</v>
      </c>
      <c r="H449" s="2" t="s">
        <v>159</v>
      </c>
      <c r="I449" s="2" t="str">
        <f>IFERROR(__xludf.DUMMYFUNCTION("GOOGLETRANSLATE(C449,""fr"",""en"")"),"Hello,
Be very careful, this insurance for which I have been a member for more than 20 years is a great disappointment, the quality of the support that was their strength, is gradually disappearing.
In May 2019 I saw an important side crack on the b"&amp;"ase of my house. I declare the claim to my insurance which declines the sending of an expert because there is no Catnat decree in this period. A few days after I realize that my land has moved as a whole and makes a new declaration in the town hall. Manda"&amp;"ted by the prefecture The experts of RTM indicate me after study, that it is probably a landslide aggravated by the rupture of a municipal pipe of rainwater which borders my land. I therefore transmit the relationship to the MAIF which therefore diligent "&amp;"an expertise. In the meantime, I note that a Catnat decree of the field covering a nearby period has been published. The private expert mandated by the mayf concluded without verifying the elements of the first report, a drought problem. Back to square on"&amp;"e, if I want to dispute I need to finance half a third expertise among three firms offered by the Maïf. Considering that there is little chance that a firm designated by contradiction insurance another firm also designated by insurance, I inquire and deci"&amp;"des to ask that my file be sent to the regional expert Maif . A harmless request which would allow me to have the opinion of a field expert stamped both a member and mayf whose analysis would in my opinion be more neutral. There after having confirmed to "&amp;"me orally twice that my request was taken into account, I have just received a letter indicating that the file would not ultimately be transmitted to an expert audit. My insurance does everything she can to discourage me and not accompany me in this disas"&amp;"ter. It seems that the pooling that has made its success is disappeared and that philosophy is very different today.
It is incomprehensible, very worrying and revolting. We questioned my good liver, ignored the most serious expertise, assured that my f"&amp;"ile was following its course when it was nothing. They undoubtedly wait for the 2 years that will end up burying my file has passed, to classify it.
I see only one way, to seize the court and consumer associations.
Think about it twice before joining,"&amp;" it seems that this type of testimony increases considerably
")</f>
        <v>Hello,
Be very careful, this insurance for which I have been a member for more than 20 years is a great disappointment, the quality of the support that was their strength, is gradually disappearing.
In May 2019 I saw an important side crack on the base of my house. I declare the claim to my insurance which declines the sending of an expert because there is no Catnat decree in this period. A few days after I realize that my land has moved as a whole and makes a new declaration in the town hall. Mandated by the prefecture The experts of RTM indicate me after study, that it is probably a landslide aggravated by the rupture of a municipal pipe of rainwater which borders my land. I therefore transmit the relationship to the MAIF which therefore diligent an expertise. In the meantime, I note that a Catnat decree of the field covering a nearby period has been published. The private expert mandated by the mayf concluded without verifying the elements of the first report, a drought problem. Back to square one, if I want to dispute I need to finance half a third expertise among three firms offered by the Maïf. Considering that there is little chance that a firm designated by contradiction insurance another firm also designated by insurance, I inquire and decides to ask that my file be sent to the regional expert Maif . A harmless request which would allow me to have the opinion of a field expert stamped both a member and mayf whose analysis would in my opinion be more neutral. There after having confirmed to me orally twice that my request was taken into account, I have just received a letter indicating that the file would not ultimately be transmitted to an expert audit. My insurance does everything she can to discourage me and not accompany me in this disaster. It seems that the pooling that has made its success is disappeared and that philosophy is very different today.
It is incomprehensible, very worrying and revolting. We questioned my good liver, ignored the most serious expertise, assured that my file was following its course when it was nothing. They undoubtedly wait for the 2 years that will end up burying my file has passed, to classify it.
I see only one way, to seize the court and consumer associations.
Think about it twice before joining, it seems that this type of testimony increases considerably
</v>
      </c>
    </row>
    <row r="450" ht="15.75" customHeight="1">
      <c r="A450" s="2">
        <v>1.0</v>
      </c>
      <c r="B450" s="2" t="s">
        <v>1357</v>
      </c>
      <c r="C450" s="2" t="s">
        <v>1358</v>
      </c>
      <c r="D450" s="2" t="s">
        <v>13</v>
      </c>
      <c r="E450" s="2" t="s">
        <v>14</v>
      </c>
      <c r="F450" s="2" t="s">
        <v>15</v>
      </c>
      <c r="G450" s="2" t="s">
        <v>154</v>
      </c>
      <c r="H450" s="2" t="s">
        <v>155</v>
      </c>
      <c r="I450" s="2" t="str">
        <f>IFERROR(__xludf.DUMMYFUNCTION("GOOGLETRANSLATE(C450,""fr"",""en"")"),"Maff to avoid only serves your premiums ... unworthy of confidence insists you to leave sneaky if you are unlucky to make wrong or not .... Maff avoid getting caught by a Or a drunk that rolls on the left otherwise hop outside ??")</f>
        <v>Maff to avoid only serves your premiums ... unworthy of confidence insists you to leave sneaky if you are unlucky to make wrong or not .... Maff avoid getting caught by a Or a drunk that rolls on the left otherwise hop outside ??</v>
      </c>
    </row>
    <row r="451" ht="15.75" customHeight="1">
      <c r="A451" s="2">
        <v>5.0</v>
      </c>
      <c r="B451" s="2" t="s">
        <v>1359</v>
      </c>
      <c r="C451" s="2" t="s">
        <v>1360</v>
      </c>
      <c r="D451" s="2" t="s">
        <v>30</v>
      </c>
      <c r="E451" s="2" t="s">
        <v>14</v>
      </c>
      <c r="F451" s="2" t="s">
        <v>15</v>
      </c>
      <c r="G451" s="2" t="s">
        <v>410</v>
      </c>
      <c r="H451" s="2" t="s">
        <v>32</v>
      </c>
      <c r="I451" s="2" t="str">
        <f>IFERROR(__xludf.DUMMYFUNCTION("GOOGLETRANSLATE(C451,""fr"",""en"")"),"I am satisfied very satisfied with the website and its ease of use.
I signed my contract without big difficulties.
Continue like that.
Thank you")</f>
        <v>I am satisfied very satisfied with the website and its ease of use.
I signed my contract without big difficulties.
Continue like that.
Thank you</v>
      </c>
    </row>
    <row r="452" ht="15.75" customHeight="1">
      <c r="A452" s="2">
        <v>5.0</v>
      </c>
      <c r="B452" s="2" t="s">
        <v>1361</v>
      </c>
      <c r="C452" s="2" t="s">
        <v>1362</v>
      </c>
      <c r="D452" s="2" t="s">
        <v>89</v>
      </c>
      <c r="E452" s="2" t="s">
        <v>90</v>
      </c>
      <c r="F452" s="2" t="s">
        <v>15</v>
      </c>
      <c r="G452" s="2" t="s">
        <v>1363</v>
      </c>
      <c r="H452" s="2" t="s">
        <v>911</v>
      </c>
      <c r="I452" s="2" t="str">
        <f>IFERROR(__xludf.DUMMYFUNCTION("GOOGLETRANSLATE(C452,""fr"",""en"")"),"I am currently a customer gan provident and delighted to be insured for 15 years Customer service in constant improvement mutual price at the top CF Magazine UFC Que Choisir Personal Competent competent attentive with the desire to do well we always have "&amp;"tendency to say when it goes bad but today I am very satisfied with this company and I say it")</f>
        <v>I am currently a customer gan provident and delighted to be insured for 15 years Customer service in constant improvement mutual price at the top CF Magazine UFC Que Choisir Personal Competent competent attentive with the desire to do well we always have tendency to say when it goes bad but today I am very satisfied with this company and I say it</v>
      </c>
    </row>
    <row r="453" ht="15.75" customHeight="1">
      <c r="A453" s="2">
        <v>1.0</v>
      </c>
      <c r="B453" s="2" t="s">
        <v>1364</v>
      </c>
      <c r="C453" s="2" t="s">
        <v>1365</v>
      </c>
      <c r="D453" s="2" t="s">
        <v>145</v>
      </c>
      <c r="E453" s="2" t="s">
        <v>111</v>
      </c>
      <c r="F453" s="2" t="s">
        <v>15</v>
      </c>
      <c r="G453" s="2" t="s">
        <v>1366</v>
      </c>
      <c r="H453" s="2" t="s">
        <v>64</v>
      </c>
      <c r="I453" s="2" t="str">
        <f>IFERROR(__xludf.DUMMYFUNCTION("GOOGLETRANSLATE(C453,""fr"",""en"")"),"They went to zero in August. Someone stole my bike when the police discovered was broken and they did everything they could so as not to pay for the show I do not recommend this insurance company they are zero")</f>
        <v>They went to zero in August. Someone stole my bike when the police discovered was broken and they did everything they could so as not to pay for the show I do not recommend this insurance company they are zero</v>
      </c>
    </row>
    <row r="454" ht="15.75" customHeight="1">
      <c r="A454" s="2">
        <v>4.0</v>
      </c>
      <c r="B454" s="2" t="s">
        <v>1367</v>
      </c>
      <c r="C454" s="2" t="s">
        <v>1368</v>
      </c>
      <c r="D454" s="2" t="s">
        <v>219</v>
      </c>
      <c r="E454" s="2" t="s">
        <v>14</v>
      </c>
      <c r="F454" s="2" t="s">
        <v>15</v>
      </c>
      <c r="G454" s="2" t="s">
        <v>1369</v>
      </c>
      <c r="H454" s="2" t="s">
        <v>159</v>
      </c>
      <c r="I454" s="2" t="str">
        <f>IFERROR(__xludf.DUMMYFUNCTION("GOOGLETRANSLATE(C454,""fr"",""en"")"),"I cannot submit any gable, because it being assured that since January 2010 I have never had the need for them.
On the other hand, I am assured for 8,000 km, and I am only 6,000 km.")</f>
        <v>I cannot submit any gable, because it being assured that since January 2010 I have never had the need for them.
On the other hand, I am assured for 8,000 km, and I am only 6,000 km.</v>
      </c>
    </row>
    <row r="455" ht="15.75" customHeight="1">
      <c r="A455" s="2">
        <v>3.0</v>
      </c>
      <c r="B455" s="2" t="s">
        <v>1370</v>
      </c>
      <c r="C455" s="2" t="s">
        <v>1371</v>
      </c>
      <c r="D455" s="2" t="s">
        <v>30</v>
      </c>
      <c r="E455" s="2" t="s">
        <v>14</v>
      </c>
      <c r="F455" s="2" t="s">
        <v>15</v>
      </c>
      <c r="G455" s="2" t="s">
        <v>1372</v>
      </c>
      <c r="H455" s="2" t="s">
        <v>47</v>
      </c>
      <c r="I455" s="2" t="str">
        <f>IFERROR(__xludf.DUMMYFUNCTION("GOOGLETRANSLATE(C455,""fr"",""en"")"),"Satisfied with the proposed price
pleasant client service
flat; When you open a contract you have to be able to pay the sum of one year
To be continued until next year")</f>
        <v>Satisfied with the proposed price
pleasant client service
flat; When you open a contract you have to be able to pay the sum of one year
To be continued until next year</v>
      </c>
    </row>
    <row r="456" ht="15.75" customHeight="1">
      <c r="A456" s="2">
        <v>3.0</v>
      </c>
      <c r="B456" s="2" t="s">
        <v>1373</v>
      </c>
      <c r="C456" s="2" t="s">
        <v>1374</v>
      </c>
      <c r="D456" s="2" t="s">
        <v>145</v>
      </c>
      <c r="E456" s="2" t="s">
        <v>111</v>
      </c>
      <c r="F456" s="2" t="s">
        <v>15</v>
      </c>
      <c r="G456" s="2" t="s">
        <v>192</v>
      </c>
      <c r="H456" s="2" t="s">
        <v>192</v>
      </c>
      <c r="I456" s="2" t="str">
        <f>IFERROR(__xludf.DUMMYFUNCTION("GOOGLETRANSLATE(C456,""fr"",""en"")"),"I am satisfied with website and contact by phone, I just find it a shame to have to pay to have a advice when I am a customer at home.
Otherwise I really recommend this insurance even if when you have several vehicles at home it does not change our subsc"&amp;"ription.")</f>
        <v>I am satisfied with website and contact by phone, I just find it a shame to have to pay to have a advice when I am a customer at home.
Otherwise I really recommend this insurance even if when you have several vehicles at home it does not change our subscription.</v>
      </c>
    </row>
    <row r="457" ht="15.75" customHeight="1">
      <c r="A457" s="2">
        <v>4.0</v>
      </c>
      <c r="B457" s="2" t="s">
        <v>1375</v>
      </c>
      <c r="C457" s="2" t="s">
        <v>1376</v>
      </c>
      <c r="D457" s="2" t="s">
        <v>30</v>
      </c>
      <c r="E457" s="2" t="s">
        <v>14</v>
      </c>
      <c r="F457" s="2" t="s">
        <v>15</v>
      </c>
      <c r="G457" s="2" t="s">
        <v>1377</v>
      </c>
      <c r="H457" s="2" t="s">
        <v>47</v>
      </c>
      <c r="I457" s="2" t="str">
        <f>IFERROR(__xludf.DUMMYFUNCTION("GOOGLETRANSLATE(C457,""fr"",""en"")"),"I find this insurance very fast and very effective.
 The client relationship is optimal
 people are listening.
 ")</f>
        <v>I find this insurance very fast and very effective.
 The client relationship is optimal
 people are listening.
 </v>
      </c>
    </row>
    <row r="458" ht="15.75" customHeight="1">
      <c r="A458" s="2">
        <v>1.0</v>
      </c>
      <c r="B458" s="2" t="s">
        <v>1378</v>
      </c>
      <c r="C458" s="2" t="s">
        <v>1379</v>
      </c>
      <c r="D458" s="2" t="s">
        <v>141</v>
      </c>
      <c r="E458" s="2" t="s">
        <v>14</v>
      </c>
      <c r="F458" s="2" t="s">
        <v>15</v>
      </c>
      <c r="G458" s="2" t="s">
        <v>1380</v>
      </c>
      <c r="H458" s="2" t="s">
        <v>17</v>
      </c>
      <c r="I458" s="2" t="str">
        <f>IFERROR(__xludf.DUMMYFUNCTION("GOOGLETRANSLATE(C458,""fr"",""en"")"),"A very expensive insurer, and this is not justified, no service and if you have a problem, it seeks by all means to minimize repairs. In addition, unpleasant people, their activists are snarling people, and paid by this company - Price + 1.5 % in 2017, 2 "&amp;"% forecast for 2018")</f>
        <v>A very expensive insurer, and this is not justified, no service and if you have a problem, it seeks by all means to minimize repairs. In addition, unpleasant people, their activists are snarling people, and paid by this company - Price + 1.5 % in 2017, 2 % forecast for 2018</v>
      </c>
    </row>
    <row r="459" ht="15.75" customHeight="1">
      <c r="A459" s="2">
        <v>1.0</v>
      </c>
      <c r="B459" s="2" t="s">
        <v>1381</v>
      </c>
      <c r="C459" s="2" t="s">
        <v>1382</v>
      </c>
      <c r="D459" s="2" t="s">
        <v>403</v>
      </c>
      <c r="E459" s="2" t="s">
        <v>68</v>
      </c>
      <c r="F459" s="2" t="s">
        <v>15</v>
      </c>
      <c r="G459" s="2" t="s">
        <v>305</v>
      </c>
      <c r="H459" s="2" t="s">
        <v>305</v>
      </c>
      <c r="I459" s="2" t="str">
        <f>IFERROR(__xludf.DUMMYFUNCTION("GOOGLETRANSLATE(C459,""fr"",""en"")"),"At 91 years old, be obliged to reimburse a compensation of 2,182, € 22 because of a fire from my kitchen and be accused of false and use of false while I have been assured of this mutual for over 60 years.
I set all the invoices to the craftsmen who repa"&amp;"ired my kitchen and a pseudo advisor suspects me of fraud. This results in Groupama a request for reimbursement of the deposit I received.")</f>
        <v>At 91 years old, be obliged to reimburse a compensation of 2,182, € 22 because of a fire from my kitchen and be accused of false and use of false while I have been assured of this mutual for over 60 years.
I set all the invoices to the craftsmen who repaired my kitchen and a pseudo advisor suspects me of fraud. This results in Groupama a request for reimbursement of the deposit I received.</v>
      </c>
    </row>
    <row r="460" ht="15.75" customHeight="1">
      <c r="A460" s="2">
        <v>5.0</v>
      </c>
      <c r="B460" s="2" t="s">
        <v>1383</v>
      </c>
      <c r="C460" s="2" t="s">
        <v>1384</v>
      </c>
      <c r="D460" s="2" t="s">
        <v>50</v>
      </c>
      <c r="E460" s="2" t="s">
        <v>14</v>
      </c>
      <c r="F460" s="2" t="s">
        <v>15</v>
      </c>
      <c r="G460" s="2" t="s">
        <v>562</v>
      </c>
      <c r="H460" s="2" t="s">
        <v>159</v>
      </c>
      <c r="I460" s="2" t="str">
        <f>IFERROR(__xludf.DUMMYFUNCTION("GOOGLETRANSLATE(C460,""fr"",""en"")"),"am satisfied, it is really pleasant to be able to work with the olive assurance, so I could recommend to my knowledge so that they can assure it")</f>
        <v>am satisfied, it is really pleasant to be able to work with the olive assurance, so I could recommend to my knowledge so that they can assure it</v>
      </c>
    </row>
    <row r="461" ht="15.75" customHeight="1">
      <c r="A461" s="2">
        <v>1.0</v>
      </c>
      <c r="B461" s="2" t="s">
        <v>1385</v>
      </c>
      <c r="C461" s="2" t="s">
        <v>1386</v>
      </c>
      <c r="D461" s="2" t="s">
        <v>30</v>
      </c>
      <c r="E461" s="2" t="s">
        <v>14</v>
      </c>
      <c r="F461" s="2" t="s">
        <v>15</v>
      </c>
      <c r="G461" s="2" t="s">
        <v>1387</v>
      </c>
      <c r="H461" s="2" t="s">
        <v>173</v>
      </c>
      <c r="I461" s="2" t="str">
        <f>IFERROR(__xludf.DUMMYFUNCTION("GOOGLETRANSLATE(C461,""fr"",""en"")"),"incomprehensible price (from single to double between the price proposed on the comparator and the price of the current contract) - bogus offer (50% lifetime bonus)")</f>
        <v>incomprehensible price (from single to double between the price proposed on the comparator and the price of the current contract) - bogus offer (50% lifetime bonus)</v>
      </c>
    </row>
    <row r="462" ht="15.75" customHeight="1">
      <c r="A462" s="2">
        <v>1.0</v>
      </c>
      <c r="B462" s="2" t="s">
        <v>1388</v>
      </c>
      <c r="C462" s="2" t="s">
        <v>1389</v>
      </c>
      <c r="D462" s="2" t="s">
        <v>30</v>
      </c>
      <c r="E462" s="2" t="s">
        <v>14</v>
      </c>
      <c r="F462" s="2" t="s">
        <v>15</v>
      </c>
      <c r="G462" s="2" t="s">
        <v>639</v>
      </c>
      <c r="H462" s="2" t="s">
        <v>47</v>
      </c>
      <c r="I462" s="2" t="str">
        <f>IFERROR(__xludf.DUMMYFUNCTION("GOOGLETRANSLATE(C462,""fr"",""en"")"),"€ 188 in 2019
244 in 2021
Fortunately, my bonus went to 50% and I have never had the slightest accident.
I will take advantage of the deadline to see the competition ...")</f>
        <v>€ 188 in 2019
244 in 2021
Fortunately, my bonus went to 50% and I have never had the slightest accident.
I will take advantage of the deadline to see the competition ...</v>
      </c>
    </row>
    <row r="463" ht="15.75" customHeight="1">
      <c r="A463" s="2">
        <v>4.0</v>
      </c>
      <c r="B463" s="2" t="s">
        <v>1390</v>
      </c>
      <c r="C463" s="2" t="s">
        <v>1391</v>
      </c>
      <c r="D463" s="2" t="s">
        <v>30</v>
      </c>
      <c r="E463" s="2" t="s">
        <v>14</v>
      </c>
      <c r="F463" s="2" t="s">
        <v>15</v>
      </c>
      <c r="G463" s="2" t="s">
        <v>1340</v>
      </c>
      <c r="H463" s="2" t="s">
        <v>64</v>
      </c>
      <c r="I463" s="2" t="str">
        <f>IFERROR(__xludf.DUMMYFUNCTION("GOOGLETRANSLATE(C463,""fr"",""en"")"),"Effective and fast affordable price!
We are happy to find insurance so quickly and to be able to benefit from so much recognition thank you!")</f>
        <v>Effective and fast affordable price!
We are happy to find insurance so quickly and to be able to benefit from so much recognition thank you!</v>
      </c>
    </row>
    <row r="464" ht="15.75" customHeight="1">
      <c r="A464" s="2">
        <v>5.0</v>
      </c>
      <c r="B464" s="2" t="s">
        <v>1392</v>
      </c>
      <c r="C464" s="2" t="s">
        <v>1393</v>
      </c>
      <c r="D464" s="2" t="s">
        <v>50</v>
      </c>
      <c r="E464" s="2" t="s">
        <v>14</v>
      </c>
      <c r="F464" s="2" t="s">
        <v>15</v>
      </c>
      <c r="G464" s="2" t="s">
        <v>1394</v>
      </c>
      <c r="H464" s="2" t="s">
        <v>270</v>
      </c>
      <c r="I464" s="2" t="str">
        <f>IFERROR(__xludf.DUMMYFUNCTION("GOOGLETRANSLATE(C464,""fr"",""en"")"),"Good evening, I want to thank you for the help you bring me to ensure my vehicle.")</f>
        <v>Good evening, I want to thank you for the help you bring me to ensure my vehicle.</v>
      </c>
    </row>
    <row r="465" ht="15.75" customHeight="1">
      <c r="A465" s="2">
        <v>5.0</v>
      </c>
      <c r="B465" s="2" t="s">
        <v>1395</v>
      </c>
      <c r="C465" s="2" t="s">
        <v>1396</v>
      </c>
      <c r="D465" s="2" t="s">
        <v>50</v>
      </c>
      <c r="E465" s="2" t="s">
        <v>14</v>
      </c>
      <c r="F465" s="2" t="s">
        <v>15</v>
      </c>
      <c r="G465" s="2" t="s">
        <v>1397</v>
      </c>
      <c r="H465" s="2" t="s">
        <v>326</v>
      </c>
      <c r="I465" s="2" t="str">
        <f>IFERROR(__xludf.DUMMYFUNCTION("GOOGLETRANSLATE(C465,""fr"",""en"")"),"I was looking for insurance for my son. I went through the ferrets and compared the prices. Direct online quote. I called for an additional information, very friendly welcome and clear explanation. I cannot judge the rest having never needed their service"&amp;" at the moment.")</f>
        <v>I was looking for insurance for my son. I went through the ferrets and compared the prices. Direct online quote. I called for an additional information, very friendly welcome and clear explanation. I cannot judge the rest having never needed their service at the moment.</v>
      </c>
    </row>
    <row r="466" ht="15.75" customHeight="1">
      <c r="A466" s="2">
        <v>4.0</v>
      </c>
      <c r="B466" s="2" t="s">
        <v>1398</v>
      </c>
      <c r="C466" s="2" t="s">
        <v>1399</v>
      </c>
      <c r="D466" s="2" t="s">
        <v>30</v>
      </c>
      <c r="E466" s="2" t="s">
        <v>14</v>
      </c>
      <c r="F466" s="2" t="s">
        <v>15</v>
      </c>
      <c r="G466" s="2" t="s">
        <v>410</v>
      </c>
      <c r="H466" s="2" t="s">
        <v>32</v>
      </c>
      <c r="I466" s="2" t="str">
        <f>IFERROR(__xludf.DUMMYFUNCTION("GOOGLETRANSLATE(C466,""fr"",""en"")"),"Simple and practical in the management of my housing contracts. A loyalty could have made it possible to align with the auto contracts, but without success.")</f>
        <v>Simple and practical in the management of my housing contracts. A loyalty could have made it possible to align with the auto contracts, but without success.</v>
      </c>
    </row>
    <row r="467" ht="15.75" customHeight="1">
      <c r="A467" s="2">
        <v>5.0</v>
      </c>
      <c r="B467" s="2" t="s">
        <v>1400</v>
      </c>
      <c r="C467" s="2" t="s">
        <v>1401</v>
      </c>
      <c r="D467" s="2" t="s">
        <v>50</v>
      </c>
      <c r="E467" s="2" t="s">
        <v>14</v>
      </c>
      <c r="F467" s="2" t="s">
        <v>15</v>
      </c>
      <c r="G467" s="2" t="s">
        <v>1402</v>
      </c>
      <c r="H467" s="2" t="s">
        <v>192</v>
      </c>
      <c r="I467" s="2" t="str">
        <f>IFERROR(__xludf.DUMMYFUNCTION("GOOGLETRANSLATE(C467,""fr"",""en"")"),"Reactive and reliable insurance, the price is accessible to everything and modular as needed. I recommend.
The price is very attractive, the quality of the services is top")</f>
        <v>Reactive and reliable insurance, the price is accessible to everything and modular as needed. I recommend.
The price is very attractive, the quality of the services is top</v>
      </c>
    </row>
    <row r="468" ht="15.75" customHeight="1">
      <c r="A468" s="2">
        <v>3.0</v>
      </c>
      <c r="B468" s="2" t="s">
        <v>1403</v>
      </c>
      <c r="C468" s="2" t="s">
        <v>1404</v>
      </c>
      <c r="D468" s="2" t="s">
        <v>85</v>
      </c>
      <c r="E468" s="2" t="s">
        <v>90</v>
      </c>
      <c r="F468" s="2" t="s">
        <v>15</v>
      </c>
      <c r="G468" s="2" t="s">
        <v>255</v>
      </c>
      <c r="H468" s="2" t="s">
        <v>199</v>
      </c>
      <c r="I468" s="2" t="str">
        <f>IFERROR(__xludf.DUMMYFUNCTION("GOOGLETRANSLATE(C468,""fr"",""en"")"),"Temporary, I depend on AG2R foresight.
Following an injury on the workstation on 11/11/19 I am awaiting my allowances !!!!!!!!
Impossible recovery because compulsory operation.
The SECTION took more than 7 months to decide on my professional file and d"&amp;"ecision decision in May 2020 (Opening Inc of work on 11/10/19). The service is therefore the same and recognized professional origin.
With each call the deadlines are climbing .... 8 weeks then 9 then I am told that we are treating the March files .... b"&amp;"e a service in August.
After several attempts to advance this file I am told that everything is a computer decision in May, so file processed from May .... forgive humanly speaking cannot counter the computer and take into account my expectations for 9 m"&amp;"onths !! !!!! I lost everything because of an injury to work and no one hears me !!!!!
")</f>
        <v>Temporary, I depend on AG2R foresight.
Following an injury on the workstation on 11/11/19 I am awaiting my allowances !!!!!!!!
Impossible recovery because compulsory operation.
The SECTION took more than 7 months to decide on my professional file and decision decision in May 2020 (Opening Inc of work on 11/10/19). The service is therefore the same and recognized professional origin.
With each call the deadlines are climbing .... 8 weeks then 9 then I am told that we are treating the March files .... be a service in August.
After several attempts to advance this file I am told that everything is a computer decision in May, so file processed from May .... forgive humanly speaking cannot counter the computer and take into account my expectations for 9 months !! !!!! I lost everything because of an injury to work and no one hears me !!!!!
</v>
      </c>
    </row>
    <row r="469" ht="15.75" customHeight="1">
      <c r="A469" s="2">
        <v>4.0</v>
      </c>
      <c r="B469" s="2" t="s">
        <v>1405</v>
      </c>
      <c r="C469" s="2" t="s">
        <v>1406</v>
      </c>
      <c r="D469" s="2" t="s">
        <v>30</v>
      </c>
      <c r="E469" s="2" t="s">
        <v>14</v>
      </c>
      <c r="F469" s="2" t="s">
        <v>15</v>
      </c>
      <c r="G469" s="2" t="s">
        <v>393</v>
      </c>
      <c r="H469" s="2" t="s">
        <v>47</v>
      </c>
      <c r="I469" s="2" t="str">
        <f>IFERROR(__xludf.DUMMYFUNCTION("GOOGLETRANSLATE(C469,""fr"",""en"")"),"Difficult file to constitute, there is always a document missing despite the fact that I really feel like I provided everything. My opinion, it lacks a bit of responsiveness.")</f>
        <v>Difficult file to constitute, there is always a document missing despite the fact that I really feel like I provided everything. My opinion, it lacks a bit of responsiveness.</v>
      </c>
    </row>
    <row r="470" ht="15.75" customHeight="1">
      <c r="A470" s="2">
        <v>4.0</v>
      </c>
      <c r="B470" s="2" t="s">
        <v>1407</v>
      </c>
      <c r="C470" s="2" t="s">
        <v>1408</v>
      </c>
      <c r="D470" s="2" t="s">
        <v>30</v>
      </c>
      <c r="E470" s="2" t="s">
        <v>14</v>
      </c>
      <c r="F470" s="2" t="s">
        <v>15</v>
      </c>
      <c r="G470" s="2" t="s">
        <v>202</v>
      </c>
      <c r="H470" s="2" t="s">
        <v>47</v>
      </c>
      <c r="I470" s="2" t="str">
        <f>IFERROR(__xludf.DUMMYFUNCTION("GOOGLETRANSLATE(C470,""fr"",""en"")"),"No complaints, if not just a little hanging on the electronic signature of my contract today. The confirmation email has reached me but without the attachments that I must keep it well scrupulously.")</f>
        <v>No complaints, if not just a little hanging on the electronic signature of my contract today. The confirmation email has reached me but without the attachments that I must keep it well scrupulously.</v>
      </c>
    </row>
    <row r="471" ht="15.75" customHeight="1">
      <c r="A471" s="2">
        <v>5.0</v>
      </c>
      <c r="B471" s="2" t="s">
        <v>1409</v>
      </c>
      <c r="C471" s="2" t="s">
        <v>1410</v>
      </c>
      <c r="D471" s="2" t="s">
        <v>30</v>
      </c>
      <c r="E471" s="2" t="s">
        <v>14</v>
      </c>
      <c r="F471" s="2" t="s">
        <v>15</v>
      </c>
      <c r="G471" s="2" t="s">
        <v>138</v>
      </c>
      <c r="H471" s="2" t="s">
        <v>64</v>
      </c>
      <c r="I471" s="2" t="str">
        <f>IFERROR(__xludf.DUMMYFUNCTION("GOOGLETRANSLATE(C471,""fr"",""en"")"),"Happy to save money and be insured almost the same as my old GMF insurance
Knowing that I am on parental leave it makes my life easier")</f>
        <v>Happy to save money and be insured almost the same as my old GMF insurance
Knowing that I am on parental leave it makes my life easier</v>
      </c>
    </row>
    <row r="472" ht="15.75" customHeight="1">
      <c r="A472" s="2">
        <v>1.0</v>
      </c>
      <c r="B472" s="2" t="s">
        <v>1411</v>
      </c>
      <c r="C472" s="2" t="s">
        <v>1412</v>
      </c>
      <c r="D472" s="2" t="s">
        <v>416</v>
      </c>
      <c r="E472" s="2" t="s">
        <v>116</v>
      </c>
      <c r="F472" s="2" t="s">
        <v>15</v>
      </c>
      <c r="G472" s="2" t="s">
        <v>1413</v>
      </c>
      <c r="H472" s="2" t="s">
        <v>981</v>
      </c>
      <c r="I472" s="2" t="str">
        <f>IFERROR(__xludf.DUMMYFUNCTION("GOOGLETRANSLATE(C472,""fr"",""en"")"),"Extremely decu !!
I have been aer client for 31 years. For some time, I have not recognized this association which has long been renowned for the seriousness of its management and the performance of its funds.
In terms of fund management, the IT migra"&amp;"tion of the Aviva manager was just catastrophic: impossibility of accessing your account for almost 5 months, then errors on accounts that were only corrected after several months.
On the customer service side, the transition from heritage counters to As"&amp;"toria Finance was not a great success either. I am unlucky to fall almost systematically on an adviser who shows a fairly astounding lack of professionalism (i.e. disrespectful and aggressive, when she is not contemptuous).
In addition, I no longer count"&amp;" the misadventures that I meet with AFER in recent months: a first check which has taken two months to be credited on the account, then a second check sent at the end of August, debited on September 9 and which n 'is still not credited on the account toda"&amp;"y October 26 because AFER has lost the mark !!!!
I no longer recommend this association to my loved ones or my knowledge, and I think I will recover my money and transfer it to a more serious competitor.
")</f>
        <v>Extremely decu !!
I have been aer client for 31 years. For some time, I have not recognized this association which has long been renowned for the seriousness of its management and the performance of its funds.
In terms of fund management, the IT migration of the Aviva manager was just catastrophic: impossibility of accessing your account for almost 5 months, then errors on accounts that were only corrected after several months.
On the customer service side, the transition from heritage counters to Astoria Finance was not a great success either. I am unlucky to fall almost systematically on an adviser who shows a fairly astounding lack of professionalism (i.e. disrespectful and aggressive, when she is not contemptuous).
In addition, I no longer count the misadventures that I meet with AFER in recent months: a first check which has taken two months to be credited on the account, then a second check sent at the end of August, debited on September 9 and which n 'is still not credited on the account today October 26 because AFER has lost the mark !!!!
I no longer recommend this association to my loved ones or my knowledge, and I think I will recover my money and transfer it to a more serious competitor.
</v>
      </c>
    </row>
    <row r="473" ht="15.75" customHeight="1">
      <c r="A473" s="2">
        <v>4.0</v>
      </c>
      <c r="B473" s="2" t="s">
        <v>1414</v>
      </c>
      <c r="C473" s="2" t="s">
        <v>1415</v>
      </c>
      <c r="D473" s="2" t="s">
        <v>296</v>
      </c>
      <c r="E473" s="2" t="s">
        <v>14</v>
      </c>
      <c r="F473" s="2" t="s">
        <v>15</v>
      </c>
      <c r="G473" s="2" t="s">
        <v>107</v>
      </c>
      <c r="H473" s="2" t="s">
        <v>107</v>
      </c>
      <c r="I473" s="2" t="str">
        <f>IFERROR(__xludf.DUMMYFUNCTION("GOOGLETRANSLATE(C473,""fr"",""en"")"),"Easy contact and responsiveness. Following a request for modification of my contract my interlocutor acts immediately.
The price of my insurance is reasonable and for the service I hope to never have to declare a claim.")</f>
        <v>Easy contact and responsiveness. Following a request for modification of my contract my interlocutor acts immediately.
The price of my insurance is reasonable and for the service I hope to never have to declare a claim.</v>
      </c>
    </row>
    <row r="474" ht="15.75" customHeight="1">
      <c r="A474" s="2">
        <v>2.0</v>
      </c>
      <c r="B474" s="2" t="s">
        <v>1416</v>
      </c>
      <c r="C474" s="2" t="s">
        <v>1417</v>
      </c>
      <c r="D474" s="2" t="s">
        <v>25</v>
      </c>
      <c r="E474" s="2" t="s">
        <v>14</v>
      </c>
      <c r="F474" s="2" t="s">
        <v>15</v>
      </c>
      <c r="G474" s="2" t="s">
        <v>1418</v>
      </c>
      <c r="H474" s="2" t="s">
        <v>319</v>
      </c>
      <c r="I474" s="2" t="str">
        <f>IFERROR(__xludf.DUMMYFUNCTION("GOOGLETRANSLATE(C474,""fr"",""en"")"),"Does not respect the customers of his previous colleagues")</f>
        <v>Does not respect the customers of his previous colleagues</v>
      </c>
    </row>
    <row r="475" ht="15.75" customHeight="1">
      <c r="A475" s="2">
        <v>1.0</v>
      </c>
      <c r="B475" s="2" t="s">
        <v>1419</v>
      </c>
      <c r="C475" s="2" t="s">
        <v>1420</v>
      </c>
      <c r="D475" s="2" t="s">
        <v>814</v>
      </c>
      <c r="E475" s="2" t="s">
        <v>80</v>
      </c>
      <c r="F475" s="2" t="s">
        <v>15</v>
      </c>
      <c r="G475" s="2" t="s">
        <v>1421</v>
      </c>
      <c r="H475" s="2" t="s">
        <v>613</v>
      </c>
      <c r="I475" s="2" t="str">
        <f>IFERROR(__xludf.DUMMYFUNCTION("GOOGLETRANSLATE(C475,""fr"",""en"")"),"SOGECAP A long history ..., you pay mortgage loan insurance for years, the day you get sick do not count on them to compensate you, between the losses of file, you are sent to an expert doctor at 2 hours from At home, great when you suffer who more tortur"&amp;"e you and treat you as shit, they compensate you for a few months and consolidate you therefore more straight ... frankly insurer to banish !!!!! Justice will do its job much better than them !!!!!")</f>
        <v>SOGECAP A long history ..., you pay mortgage loan insurance for years, the day you get sick do not count on them to compensate you, between the losses of file, you are sent to an expert doctor at 2 hours from At home, great when you suffer who more torture you and treat you as shit, they compensate you for a few months and consolidate you therefore more straight ... frankly insurer to banish !!!!! Justice will do its job much better than them !!!!!</v>
      </c>
    </row>
    <row r="476" ht="15.75" customHeight="1">
      <c r="A476" s="2">
        <v>5.0</v>
      </c>
      <c r="B476" s="2" t="s">
        <v>1422</v>
      </c>
      <c r="C476" s="2" t="s">
        <v>1423</v>
      </c>
      <c r="D476" s="2" t="s">
        <v>50</v>
      </c>
      <c r="E476" s="2" t="s">
        <v>14</v>
      </c>
      <c r="F476" s="2" t="s">
        <v>15</v>
      </c>
      <c r="G476" s="2" t="s">
        <v>1424</v>
      </c>
      <c r="H476" s="2" t="s">
        <v>64</v>
      </c>
      <c r="I476" s="2" t="str">
        <f>IFERROR(__xludf.DUMMYFUNCTION("GOOGLETRANSLATE(C476,""fr"",""en"")"),"Wishing that next year, I do not have to terminate and then re-register to benefit an interesting price. That is done automatically at home if possible.")</f>
        <v>Wishing that next year, I do not have to terminate and then re-register to benefit an interesting price. That is done automatically at home if possible.</v>
      </c>
    </row>
    <row r="477" ht="15.75" customHeight="1">
      <c r="A477" s="2">
        <v>1.0</v>
      </c>
      <c r="B477" s="2" t="s">
        <v>1425</v>
      </c>
      <c r="C477" s="2" t="s">
        <v>1426</v>
      </c>
      <c r="D477" s="2" t="s">
        <v>25</v>
      </c>
      <c r="E477" s="2" t="s">
        <v>116</v>
      </c>
      <c r="F477" s="2" t="s">
        <v>15</v>
      </c>
      <c r="G477" s="2" t="s">
        <v>1251</v>
      </c>
      <c r="H477" s="2" t="s">
        <v>47</v>
      </c>
      <c r="I477" s="2" t="str">
        <f>IFERROR(__xludf.DUMMYFUNCTION("GOOGLETRANSLATE(C477,""fr"",""en"")"),"Hello,
I took this insurance to make my daughter's money grow since she has received since her birth thinking about doing 8000 euros. Badly took it. About 300 euros in file fees which I am sure was not notified .... phone call to my manager who tells me "&amp;"that if and that they will quickly be profitable. Distress on my part, I made my daughter lose money when I was promised a great plan. And there, I have just received the interests normally from his placement for the year 2020 ... -45 euros. I contacted m"&amp;"y Axa advisor telling her that I stopped the costs before my daughter left nothing left. Telephone contact to make an emergency appointment to stop the hemorrhage. She doesn't want to hear anything, I didn't understand anything, she screams on me on the p"&amp;"hone to scream stronger than me, finally, delirium. I have an appointment with her on Wednesday, I think it will not be a pleasure, but stop, even if it means losing money, I stop endorsement this contract which seems wonderful and which ultimately costs "&amp;"very dear. I feel guilty for having done this to my darling and will compensate her for her losses, there ashamed about me and this advisor who did not explain anything to me, thank you Axa ..
Has anyone had the same setbacks ???
Thank you for your answ"&amp;"ers
Franceline Gauthier Champy")</f>
        <v>Hello,
I took this insurance to make my daughter's money grow since she has received since her birth thinking about doing 8000 euros. Badly took it. About 300 euros in file fees which I am sure was not notified .... phone call to my manager who tells me that if and that they will quickly be profitable. Distress on my part, I made my daughter lose money when I was promised a great plan. And there, I have just received the interests normally from his placement for the year 2020 ... -45 euros. I contacted my Axa advisor telling her that I stopped the costs before my daughter left nothing left. Telephone contact to make an emergency appointment to stop the hemorrhage. She doesn't want to hear anything, I didn't understand anything, she screams on me on the phone to scream stronger than me, finally, delirium. I have an appointment with her on Wednesday, I think it will not be a pleasure, but stop, even if it means losing money, I stop endorsement this contract which seems wonderful and which ultimately costs very dear. I feel guilty for having done this to my darling and will compensate her for her losses, there ashamed about me and this advisor who did not explain anything to me, thank you Axa ..
Has anyone had the same setbacks ???
Thank you for your answers
Franceline Gauthier Champy</v>
      </c>
    </row>
    <row r="478" ht="15.75" customHeight="1">
      <c r="A478" s="2">
        <v>2.0</v>
      </c>
      <c r="B478" s="2" t="s">
        <v>1427</v>
      </c>
      <c r="C478" s="2" t="s">
        <v>1428</v>
      </c>
      <c r="D478" s="2" t="s">
        <v>180</v>
      </c>
      <c r="E478" s="2" t="s">
        <v>14</v>
      </c>
      <c r="F478" s="2" t="s">
        <v>15</v>
      </c>
      <c r="G478" s="2" t="s">
        <v>1429</v>
      </c>
      <c r="H478" s="2" t="s">
        <v>150</v>
      </c>
      <c r="I478" s="2" t="str">
        <f>IFERROR(__xludf.DUMMYFUNCTION("GOOGLETRANSLATE(C478,""fr"",""en"")"),"Following 2 discharges rejected because change of bank details no email or sms they billed me 320 euros of costs collection and radiated no detail no customer relationship invoice")</f>
        <v>Following 2 discharges rejected because change of bank details no email or sms they billed me 320 euros of costs collection and radiated no detail no customer relationship invoice</v>
      </c>
    </row>
    <row r="479" ht="15.75" customHeight="1">
      <c r="A479" s="2">
        <v>4.0</v>
      </c>
      <c r="B479" s="2" t="s">
        <v>1430</v>
      </c>
      <c r="C479" s="2" t="s">
        <v>1431</v>
      </c>
      <c r="D479" s="2" t="s">
        <v>416</v>
      </c>
      <c r="E479" s="2" t="s">
        <v>116</v>
      </c>
      <c r="F479" s="2" t="s">
        <v>15</v>
      </c>
      <c r="G479" s="2" t="s">
        <v>378</v>
      </c>
      <c r="H479" s="2" t="s">
        <v>378</v>
      </c>
      <c r="I479" s="2" t="str">
        <f>IFERROR(__xludf.DUMMYFUNCTION("GOOGLETRANSLATE(C479,""fr"",""en"")"),"Satisfied with this life asurance contract much better than those offered in banking establishments")</f>
        <v>Satisfied with this life asurance contract much better than those offered in banking establishments</v>
      </c>
    </row>
    <row r="480" ht="15.75" customHeight="1">
      <c r="A480" s="2">
        <v>1.0</v>
      </c>
      <c r="B480" s="2" t="s">
        <v>1432</v>
      </c>
      <c r="C480" s="2" t="s">
        <v>1433</v>
      </c>
      <c r="D480" s="2" t="s">
        <v>1434</v>
      </c>
      <c r="E480" s="2" t="s">
        <v>90</v>
      </c>
      <c r="F480" s="2" t="s">
        <v>15</v>
      </c>
      <c r="G480" s="2" t="s">
        <v>1435</v>
      </c>
      <c r="H480" s="2" t="s">
        <v>150</v>
      </c>
      <c r="I480" s="2" t="str">
        <f>IFERROR(__xludf.DUMMYFUNCTION("GOOGLETRANSLATE(C480,""fr"",""en"")"),"We took this complementary in February by asking for reimbursements for osteopathy and hospital care and when we were reimbursed we told that we were not covered")</f>
        <v>We took this complementary in February by asking for reimbursements for osteopathy and hospital care and when we were reimbursed we told that we were not covered</v>
      </c>
    </row>
    <row r="481" ht="15.75" customHeight="1">
      <c r="A481" s="2">
        <v>1.0</v>
      </c>
      <c r="B481" s="2" t="s">
        <v>1436</v>
      </c>
      <c r="C481" s="2" t="s">
        <v>1437</v>
      </c>
      <c r="D481" s="2" t="s">
        <v>79</v>
      </c>
      <c r="E481" s="2" t="s">
        <v>80</v>
      </c>
      <c r="F481" s="2" t="s">
        <v>15</v>
      </c>
      <c r="G481" s="2" t="s">
        <v>1438</v>
      </c>
      <c r="H481" s="2" t="s">
        <v>630</v>
      </c>
      <c r="I481" s="2" t="str">
        <f>IFERROR(__xludf.DUMMYFUNCTION("GOOGLETRANSLATE(C481,""fr"",""en"")"),"to flee")</f>
        <v>to flee</v>
      </c>
    </row>
    <row r="482" ht="15.75" customHeight="1">
      <c r="A482" s="2">
        <v>1.0</v>
      </c>
      <c r="B482" s="2" t="s">
        <v>1439</v>
      </c>
      <c r="C482" s="2" t="s">
        <v>1440</v>
      </c>
      <c r="D482" s="2" t="s">
        <v>13</v>
      </c>
      <c r="E482" s="2" t="s">
        <v>14</v>
      </c>
      <c r="F482" s="2" t="s">
        <v>15</v>
      </c>
      <c r="G482" s="2" t="s">
        <v>1441</v>
      </c>
      <c r="H482" s="2" t="s">
        <v>32</v>
      </c>
      <c r="I482" s="2" t="str">
        <f>IFERROR(__xludf.DUMMYFUNCTION("GOOGLETRANSLATE(C482,""fr"",""en"")"),"After a non -responsible accident, I am told that my franchise will be increased sharply or I would be terminated at the next deadline!
Several contracts at home for ten years have done nothing, as they say, it is in the event of a problem that we judge "&amp;"the quality of the services rendered !!!
Well the maaf is completely zero, paying to pay, and if you have a seed you are asked to take the exit.
So flee ....")</f>
        <v>After a non -responsible accident, I am told that my franchise will be increased sharply or I would be terminated at the next deadline!
Several contracts at home for ten years have done nothing, as they say, it is in the event of a problem that we judge the quality of the services rendered !!!
Well the maaf is completely zero, paying to pay, and if you have a seed you are asked to take the exit.
So flee ....</v>
      </c>
    </row>
    <row r="483" ht="15.75" customHeight="1">
      <c r="A483" s="2">
        <v>5.0</v>
      </c>
      <c r="B483" s="2" t="s">
        <v>1442</v>
      </c>
      <c r="C483" s="2" t="s">
        <v>1443</v>
      </c>
      <c r="D483" s="2" t="s">
        <v>50</v>
      </c>
      <c r="E483" s="2" t="s">
        <v>14</v>
      </c>
      <c r="F483" s="2" t="s">
        <v>15</v>
      </c>
      <c r="G483" s="2" t="s">
        <v>730</v>
      </c>
      <c r="H483" s="2" t="s">
        <v>159</v>
      </c>
      <c r="I483" s="2" t="str">
        <f>IFERROR(__xludf.DUMMYFUNCTION("GOOGLETRANSLATE(C483,""fr"",""en"")"),"I follow very satisfied with the insurance service, the olive tree leaves the quality of the price as well as welcomes it is advice in order to have insurance to my needs")</f>
        <v>I follow very satisfied with the insurance service, the olive tree leaves the quality of the price as well as welcomes it is advice in order to have insurance to my needs</v>
      </c>
    </row>
    <row r="484" ht="15.75" customHeight="1">
      <c r="A484" s="2">
        <v>5.0</v>
      </c>
      <c r="B484" s="2" t="s">
        <v>1444</v>
      </c>
      <c r="C484" s="2" t="s">
        <v>1445</v>
      </c>
      <c r="D484" s="2" t="s">
        <v>35</v>
      </c>
      <c r="E484" s="2" t="s">
        <v>36</v>
      </c>
      <c r="F484" s="2" t="s">
        <v>15</v>
      </c>
      <c r="G484" s="2" t="s">
        <v>1446</v>
      </c>
      <c r="H484" s="2" t="s">
        <v>387</v>
      </c>
      <c r="I484" s="2" t="str">
        <f>IFERROR(__xludf.DUMMYFUNCTION("GOOGLETRANSLATE(C484,""fr"",""en"")"),"The answer to my request was quick and corresponds to what I am looking for. The explanations are clear and the steps.")</f>
        <v>The answer to my request was quick and corresponds to what I am looking for. The explanations are clear and the steps.</v>
      </c>
    </row>
    <row r="485" ht="15.75" customHeight="1">
      <c r="A485" s="2">
        <v>4.0</v>
      </c>
      <c r="B485" s="2" t="s">
        <v>1447</v>
      </c>
      <c r="C485" s="2" t="s">
        <v>1448</v>
      </c>
      <c r="D485" s="2" t="s">
        <v>30</v>
      </c>
      <c r="E485" s="2" t="s">
        <v>14</v>
      </c>
      <c r="F485" s="2" t="s">
        <v>15</v>
      </c>
      <c r="G485" s="2" t="s">
        <v>1449</v>
      </c>
      <c r="H485" s="2" t="s">
        <v>47</v>
      </c>
      <c r="I485" s="2" t="str">
        <f>IFERROR(__xludf.DUMMYFUNCTION("GOOGLETRANSLATE(C485,""fr"",""en"")"),"The price is fine. But I wonder what it is for. One day I called because a car smashed me a mirror. No one knew what to do. Each time I was sent back to another number. When I see pubs marked ""Direct insurance, number 1"" I laugh. Lol.")</f>
        <v>The price is fine. But I wonder what it is for. One day I called because a car smashed me a mirror. No one knew what to do. Each time I was sent back to another number. When I see pubs marked "Direct insurance, number 1" I laugh. Lol.</v>
      </c>
    </row>
    <row r="486" ht="15.75" customHeight="1">
      <c r="A486" s="2">
        <v>5.0</v>
      </c>
      <c r="B486" s="2" t="s">
        <v>1450</v>
      </c>
      <c r="C486" s="2" t="s">
        <v>1451</v>
      </c>
      <c r="D486" s="2" t="s">
        <v>50</v>
      </c>
      <c r="E486" s="2" t="s">
        <v>14</v>
      </c>
      <c r="F486" s="2" t="s">
        <v>15</v>
      </c>
      <c r="G486" s="2" t="s">
        <v>32</v>
      </c>
      <c r="H486" s="2" t="s">
        <v>32</v>
      </c>
      <c r="I486" s="2" t="str">
        <f>IFERROR(__xludf.DUMMYFUNCTION("GOOGLETRANSLATE(C486,""fr"",""en"")"),"Satisfied with the service &amp; insurance subscribed to the Olivier Insurance.
This is a first with the Olivier Insurance. I hope the formula will suit.")</f>
        <v>Satisfied with the service &amp; insurance subscribed to the Olivier Insurance.
This is a first with the Olivier Insurance. I hope the formula will suit.</v>
      </c>
    </row>
    <row r="487" ht="15.75" customHeight="1">
      <c r="A487" s="2">
        <v>4.0</v>
      </c>
      <c r="B487" s="2" t="s">
        <v>1452</v>
      </c>
      <c r="C487" s="2" t="s">
        <v>1453</v>
      </c>
      <c r="D487" s="2" t="s">
        <v>50</v>
      </c>
      <c r="E487" s="2" t="s">
        <v>14</v>
      </c>
      <c r="F487" s="2" t="s">
        <v>15</v>
      </c>
      <c r="G487" s="2" t="s">
        <v>1454</v>
      </c>
      <c r="H487" s="2" t="s">
        <v>38</v>
      </c>
      <c r="I487" s="2" t="str">
        <f>IFERROR(__xludf.DUMMYFUNCTION("GOOGLETRANSLATE(C487,""fr"",""en"")"),"I am satisfied with the service and the PRI is suitable for me. The adhesion was simple and practical. I was called fairly quickly by your employees who explained to me the modalites and the essential points of the contract.")</f>
        <v>I am satisfied with the service and the PRI is suitable for me. The adhesion was simple and practical. I was called fairly quickly by your employees who explained to me the modalites and the essential points of the contract.</v>
      </c>
    </row>
    <row r="488" ht="15.75" customHeight="1">
      <c r="A488" s="2">
        <v>1.0</v>
      </c>
      <c r="B488" s="2" t="s">
        <v>1455</v>
      </c>
      <c r="C488" s="2" t="s">
        <v>1456</v>
      </c>
      <c r="D488" s="2" t="s">
        <v>50</v>
      </c>
      <c r="E488" s="2" t="s">
        <v>14</v>
      </c>
      <c r="F488" s="2" t="s">
        <v>15</v>
      </c>
      <c r="G488" s="2" t="s">
        <v>715</v>
      </c>
      <c r="H488" s="2" t="s">
        <v>131</v>
      </c>
      <c r="I488" s="2" t="str">
        <f>IFERROR(__xludf.DUMMYFUNCTION("GOOGLETRANSLATE(C488,""fr"",""en"")"),"It’s the idea of ​​offering low prices but the rest is not.
- costs of € 17 for a change of address
- In addition accidents, which have never taken place.
No")</f>
        <v>It’s the idea of ​​offering low prices but the rest is not.
- costs of € 17 for a change of address
- In addition accidents, which have never taken place.
No</v>
      </c>
    </row>
    <row r="489" ht="15.75" customHeight="1">
      <c r="A489" s="2">
        <v>3.0</v>
      </c>
      <c r="B489" s="2" t="s">
        <v>1457</v>
      </c>
      <c r="C489" s="2" t="s">
        <v>1458</v>
      </c>
      <c r="D489" s="2" t="s">
        <v>224</v>
      </c>
      <c r="E489" s="2" t="s">
        <v>14</v>
      </c>
      <c r="F489" s="2" t="s">
        <v>15</v>
      </c>
      <c r="G489" s="2" t="s">
        <v>935</v>
      </c>
      <c r="H489" s="2" t="s">
        <v>155</v>
      </c>
      <c r="I489" s="2" t="str">
        <f>IFERROR(__xludf.DUMMYFUNCTION("GOOGLETRANSLATE(C489,""fr"",""en"")"),"Very disappointed because transferred overseas, I have to break the Pacifica contract in mainland France, then open a Crédit Agricole bank account in Martinique to be able to resume auto insurance in the Pacifica in Martinique. Anything")</f>
        <v>Very disappointed because transferred overseas, I have to break the Pacifica contract in mainland France, then open a Crédit Agricole bank account in Martinique to be able to resume auto insurance in the Pacifica in Martinique. Anything</v>
      </c>
    </row>
    <row r="490" ht="15.75" customHeight="1">
      <c r="A490" s="2">
        <v>3.0</v>
      </c>
      <c r="B490" s="2" t="s">
        <v>1459</v>
      </c>
      <c r="C490" s="2" t="s">
        <v>1460</v>
      </c>
      <c r="D490" s="2" t="s">
        <v>30</v>
      </c>
      <c r="E490" s="2" t="s">
        <v>14</v>
      </c>
      <c r="F490" s="2" t="s">
        <v>15</v>
      </c>
      <c r="G490" s="2" t="s">
        <v>1461</v>
      </c>
      <c r="H490" s="2" t="s">
        <v>352</v>
      </c>
      <c r="I490" s="2" t="str">
        <f>IFERROR(__xludf.DUMMYFUNCTION("GOOGLETRANSLATE(C490,""fr"",""en"")"),"I am ""rather"" satisfied with the price. I am already insured, I have made several quotes at other competitors. If you give me an in addition to my current quote it is sure that I will choose your insurance.")</f>
        <v>I am "rather" satisfied with the price. I am already insured, I have made several quotes at other competitors. If you give me an in addition to my current quote it is sure that I will choose your insurance.</v>
      </c>
    </row>
    <row r="491" ht="15.75" customHeight="1">
      <c r="A491" s="2">
        <v>1.0</v>
      </c>
      <c r="B491" s="2" t="s">
        <v>1462</v>
      </c>
      <c r="C491" s="2" t="s">
        <v>1463</v>
      </c>
      <c r="D491" s="2" t="s">
        <v>30</v>
      </c>
      <c r="E491" s="2" t="s">
        <v>14</v>
      </c>
      <c r="F491" s="2" t="s">
        <v>15</v>
      </c>
      <c r="G491" s="2" t="s">
        <v>37</v>
      </c>
      <c r="H491" s="2" t="s">
        <v>38</v>
      </c>
      <c r="I491" s="2" t="str">
        <f>IFERROR(__xludf.DUMMYFUNCTION("GOOGLETRANSLATE(C491,""fr"",""en"")"),"Formerly insured for a ZOE too, I was all at all for 200 euros less !!!
Payment options when subscribing do not allow you to choose a monthly payment ... while I am already a customer ...
In short to review!")</f>
        <v>Formerly insured for a ZOE too, I was all at all for 200 euros less !!!
Payment options when subscribing do not allow you to choose a monthly payment ... while I am already a customer ...
In short to review!</v>
      </c>
    </row>
    <row r="492" ht="15.75" customHeight="1">
      <c r="A492" s="2">
        <v>1.0</v>
      </c>
      <c r="B492" s="2" t="s">
        <v>1464</v>
      </c>
      <c r="C492" s="2" t="s">
        <v>1465</v>
      </c>
      <c r="D492" s="2" t="s">
        <v>134</v>
      </c>
      <c r="E492" s="2" t="s">
        <v>36</v>
      </c>
      <c r="F492" s="2" t="s">
        <v>15</v>
      </c>
      <c r="G492" s="2" t="s">
        <v>1466</v>
      </c>
      <c r="H492" s="2" t="s">
        <v>91</v>
      </c>
      <c r="I492" s="2" t="str">
        <f>IFERROR(__xludf.DUMMYFUNCTION("GOOGLETRANSLATE(C492,""fr"",""en"")"),"I retracted after having taken out a contract with Neoliane, I was still deducted from the subscription, contribution that I made rejected by my bank, I am relaunched for default for services to which I did not right. Unable to contact customer service to"&amp;" explain my problem ...")</f>
        <v>I retracted after having taken out a contract with Neoliane, I was still deducted from the subscription, contribution that I made rejected by my bank, I am relaunched for default for services to which I did not right. Unable to contact customer service to explain my problem ...</v>
      </c>
    </row>
    <row r="493" ht="15.75" customHeight="1">
      <c r="A493" s="2">
        <v>3.0</v>
      </c>
      <c r="B493" s="2" t="s">
        <v>1467</v>
      </c>
      <c r="C493" s="2" t="s">
        <v>1468</v>
      </c>
      <c r="D493" s="2" t="s">
        <v>30</v>
      </c>
      <c r="E493" s="2" t="s">
        <v>14</v>
      </c>
      <c r="F493" s="2" t="s">
        <v>15</v>
      </c>
      <c r="G493" s="2" t="s">
        <v>626</v>
      </c>
      <c r="H493" s="2" t="s">
        <v>159</v>
      </c>
      <c r="I493" s="2" t="str">
        <f>IFERROR(__xludf.DUMMYFUNCTION("GOOGLETRANSLATE(C493,""fr"",""en"")"),"Easy subscription; Clear and fast from a computer.
Customizable contracts are appreciable.
Validation and immediate insurance.
Uncounted customer service")</f>
        <v>Easy subscription; Clear and fast from a computer.
Customizable contracts are appreciable.
Validation and immediate insurance.
Uncounted customer service</v>
      </c>
    </row>
    <row r="494" ht="15.75" customHeight="1">
      <c r="A494" s="2">
        <v>1.0</v>
      </c>
      <c r="B494" s="2" t="s">
        <v>1469</v>
      </c>
      <c r="C494" s="2" t="s">
        <v>1470</v>
      </c>
      <c r="D494" s="2" t="s">
        <v>219</v>
      </c>
      <c r="E494" s="2" t="s">
        <v>68</v>
      </c>
      <c r="F494" s="2" t="s">
        <v>15</v>
      </c>
      <c r="G494" s="2" t="s">
        <v>1471</v>
      </c>
      <c r="H494" s="2" t="s">
        <v>378</v>
      </c>
      <c r="I494" s="2" t="str">
        <f>IFERROR(__xludf.DUMMYFUNCTION("GOOGLETRANSLATE(C494,""fr"",""en"")"),"We have been customer restaurateurs for 17 years at Allianz and for the COVVI-19 crisis we were compensated by € 160, a drop of water is absolutely shameful ...")</f>
        <v>We have been customer restaurateurs for 17 years at Allianz and for the COVVI-19 crisis we were compensated by € 160, a drop of water is absolutely shameful ...</v>
      </c>
    </row>
    <row r="495" ht="15.75" customHeight="1">
      <c r="A495" s="2">
        <v>5.0</v>
      </c>
      <c r="B495" s="2" t="s">
        <v>1472</v>
      </c>
      <c r="C495" s="2" t="s">
        <v>1473</v>
      </c>
      <c r="D495" s="2" t="s">
        <v>30</v>
      </c>
      <c r="E495" s="2" t="s">
        <v>14</v>
      </c>
      <c r="F495" s="2" t="s">
        <v>15</v>
      </c>
      <c r="G495" s="2" t="s">
        <v>1474</v>
      </c>
      <c r="H495" s="2" t="s">
        <v>52</v>
      </c>
      <c r="I495" s="2" t="str">
        <f>IFERROR(__xludf.DUMMYFUNCTION("GOOGLETRANSLATE(C495,""fr"",""en"")"),"Very satisfaying. Always had an easy and effective response. This is why I remain faithful to you because the price level there is not better at home. And I thank you")</f>
        <v>Very satisfaying. Always had an easy and effective response. This is why I remain faithful to you because the price level there is not better at home. And I thank you</v>
      </c>
    </row>
    <row r="496" ht="15.75" customHeight="1">
      <c r="A496" s="2">
        <v>1.0</v>
      </c>
      <c r="B496" s="2" t="s">
        <v>1475</v>
      </c>
      <c r="C496" s="2" t="s">
        <v>1476</v>
      </c>
      <c r="D496" s="2" t="s">
        <v>30</v>
      </c>
      <c r="E496" s="2" t="s">
        <v>14</v>
      </c>
      <c r="F496" s="2" t="s">
        <v>15</v>
      </c>
      <c r="G496" s="2" t="s">
        <v>1477</v>
      </c>
      <c r="H496" s="2" t="s">
        <v>352</v>
      </c>
      <c r="I496" s="2" t="str">
        <f>IFERROR(__xludf.DUMMYFUNCTION("GOOGLETRANSLATE(C496,""fr"",""en"")"),"Without liable claims The increase in contributions prices is incomprehensible. Customer service response Our best rates are reserved for our new customers ... Solution? Terminate and become a customer again?")</f>
        <v>Without liable claims The increase in contributions prices is incomprehensible. Customer service response Our best rates are reserved for our new customers ... Solution? Terminate and become a customer again?</v>
      </c>
    </row>
    <row r="497" ht="15.75" customHeight="1">
      <c r="A497" s="2">
        <v>1.0</v>
      </c>
      <c r="B497" s="2" t="s">
        <v>1478</v>
      </c>
      <c r="C497" s="2" t="s">
        <v>1479</v>
      </c>
      <c r="D497" s="2" t="s">
        <v>145</v>
      </c>
      <c r="E497" s="2" t="s">
        <v>111</v>
      </c>
      <c r="F497" s="2" t="s">
        <v>15</v>
      </c>
      <c r="G497" s="2" t="s">
        <v>1480</v>
      </c>
      <c r="H497" s="2" t="s">
        <v>150</v>
      </c>
      <c r="I497" s="2" t="str">
        <f>IFERROR(__xludf.DUMMYFUNCTION("GOOGLETRANSLATE(C497,""fr"",""en"")"),"Hello,
Incredible, reading the various comments on this site (which I thank by the way), I read exactly what I have lived for more than 8 months.
My disaster dates from 10/22/2018 and I may relaunch regularly by phone or email, I always and always the s"&amp;"ame answer: we await the response of the opposing party. But how long should I wait? 8 months is not yet long enough?
Today, we are 05/07/2019, and I ask the interlocutor (who has replaced his colleague recently) who takes care of my file, when did you r"&amp;"elaunch the opposing company for the last time? Answer: in April on your request. Thank you AMV !! I have the impression that my file is abandoned in a drawer.
Worse still, after this aberration, I decide to contact the opposing part directly which infor"&amp;"ms me that it is missing documents that I have transmitted to AMV for several months already.
There is really a management problem without counting the reminder promises not kept.
In the meantime, I have advanced medical costs and my motorcycle remains "&amp;"unusable to date.
Furious, I don't know what to do because I also have several vehicles insured at AMV (company and personal).
But what are you doing AMV?
")</f>
        <v>Hello,
Incredible, reading the various comments on this site (which I thank by the way), I read exactly what I have lived for more than 8 months.
My disaster dates from 10/22/2018 and I may relaunch regularly by phone or email, I always and always the same answer: we await the response of the opposing party. But how long should I wait? 8 months is not yet long enough?
Today, we are 05/07/2019, and I ask the interlocutor (who has replaced his colleague recently) who takes care of my file, when did you relaunch the opposing company for the last time? Answer: in April on your request. Thank you AMV !! I have the impression that my file is abandoned in a drawer.
Worse still, after this aberration, I decide to contact the opposing part directly which informs me that it is missing documents that I have transmitted to AMV for several months already.
There is really a management problem without counting the reminder promises not kept.
In the meantime, I have advanced medical costs and my motorcycle remains unusable to date.
Furious, I don't know what to do because I also have several vehicles insured at AMV (company and personal).
But what are you doing AMV?
</v>
      </c>
    </row>
    <row r="498" ht="15.75" customHeight="1">
      <c r="A498" s="2">
        <v>5.0</v>
      </c>
      <c r="B498" s="2" t="s">
        <v>1481</v>
      </c>
      <c r="C498" s="2" t="s">
        <v>1482</v>
      </c>
      <c r="D498" s="2" t="s">
        <v>571</v>
      </c>
      <c r="E498" s="2" t="s">
        <v>80</v>
      </c>
      <c r="F498" s="2" t="s">
        <v>15</v>
      </c>
      <c r="G498" s="2" t="s">
        <v>1483</v>
      </c>
      <c r="H498" s="2" t="s">
        <v>241</v>
      </c>
      <c r="I498" s="2" t="str">
        <f>IFERROR(__xludf.DUMMYFUNCTION("GOOGLETRANSLATE(C498,""fr"",""en"")"),"A very good levels of advice; An excellent quality of the relationship by phone. Exceptional speed of implementation.
I highly recommend")</f>
        <v>A very good levels of advice; An excellent quality of the relationship by phone. Exceptional speed of implementation.
I highly recommend</v>
      </c>
    </row>
    <row r="499" ht="15.75" customHeight="1">
      <c r="A499" s="2">
        <v>5.0</v>
      </c>
      <c r="B499" s="2" t="s">
        <v>1484</v>
      </c>
      <c r="C499" s="2" t="s">
        <v>1485</v>
      </c>
      <c r="D499" s="2" t="s">
        <v>449</v>
      </c>
      <c r="E499" s="2" t="s">
        <v>36</v>
      </c>
      <c r="F499" s="2" t="s">
        <v>15</v>
      </c>
      <c r="G499" s="2" t="s">
        <v>1486</v>
      </c>
      <c r="H499" s="2" t="s">
        <v>981</v>
      </c>
      <c r="I499" s="2" t="str">
        <f>IFERROR(__xludf.DUMMYFUNCTION("GOOGLETRANSLATE(C499,""fr"",""en"")"),"The advisor is very attentive and kind. She took her time to answer me well.
I am new and I find customer service quite well.
Thank you
Farah")</f>
        <v>The advisor is very attentive and kind. She took her time to answer me well.
I am new and I find customer service quite well.
Thank you
Farah</v>
      </c>
    </row>
    <row r="500" ht="15.75" customHeight="1">
      <c r="A500" s="2">
        <v>4.0</v>
      </c>
      <c r="B500" s="2" t="s">
        <v>1487</v>
      </c>
      <c r="C500" s="2" t="s">
        <v>1488</v>
      </c>
      <c r="D500" s="2" t="s">
        <v>50</v>
      </c>
      <c r="E500" s="2" t="s">
        <v>14</v>
      </c>
      <c r="F500" s="2" t="s">
        <v>15</v>
      </c>
      <c r="G500" s="2" t="s">
        <v>168</v>
      </c>
      <c r="H500" s="2" t="s">
        <v>52</v>
      </c>
      <c r="I500" s="2" t="str">
        <f>IFERROR(__xludf.DUMMYFUNCTION("GOOGLETRANSLATE(C500,""fr"",""en"")"),"Very good value for money. Easy phone contact. Competent persons and exact information. I recommend for their responsiveness and their seriousness.")</f>
        <v>Very good value for money. Easy phone contact. Competent persons and exact information. I recommend for their responsiveness and their seriousness.</v>
      </c>
    </row>
    <row r="501" ht="15.75" customHeight="1">
      <c r="A501" s="2">
        <v>3.0</v>
      </c>
      <c r="B501" s="2" t="s">
        <v>1489</v>
      </c>
      <c r="C501" s="2" t="s">
        <v>1490</v>
      </c>
      <c r="D501" s="2" t="s">
        <v>50</v>
      </c>
      <c r="E501" s="2" t="s">
        <v>14</v>
      </c>
      <c r="F501" s="2" t="s">
        <v>15</v>
      </c>
      <c r="G501" s="2" t="s">
        <v>330</v>
      </c>
      <c r="H501" s="2" t="s">
        <v>192</v>
      </c>
      <c r="I501" s="2" t="str">
        <f>IFERROR(__xludf.DUMMYFUNCTION("GOOGLETRANSLATE(C501,""fr"",""en"")"),"I, the undersigned Mr Nathan Steinbach, after my experience in your customer area. The finalization of documents and signing contracts is too long and complicated.")</f>
        <v>I, the undersigned Mr Nathan Steinbach, after my experience in your customer area. The finalization of documents and signing contracts is too long and complicated.</v>
      </c>
    </row>
    <row r="502" ht="15.75" customHeight="1">
      <c r="A502" s="2">
        <v>1.0</v>
      </c>
      <c r="B502" s="2" t="s">
        <v>1491</v>
      </c>
      <c r="C502" s="2" t="s">
        <v>1492</v>
      </c>
      <c r="D502" s="2" t="s">
        <v>30</v>
      </c>
      <c r="E502" s="2" t="s">
        <v>14</v>
      </c>
      <c r="F502" s="2" t="s">
        <v>15</v>
      </c>
      <c r="G502" s="2" t="s">
        <v>52</v>
      </c>
      <c r="H502" s="2" t="s">
        <v>52</v>
      </c>
      <c r="I502" s="2" t="str">
        <f>IFERROR(__xludf.DUMMYFUNCTION("GOOGLETRANSLATE(C502,""fr"",""en"")"),"The price does not suit me at all I intend to change insurance as soon as possible, I have found cheaper prices elsewhere and they offer better insurance")</f>
        <v>The price does not suit me at all I intend to change insurance as soon as possible, I have found cheaper prices elsewhere and they offer better insurance</v>
      </c>
    </row>
    <row r="503" ht="15.75" customHeight="1">
      <c r="A503" s="2">
        <v>3.0</v>
      </c>
      <c r="B503" s="2" t="s">
        <v>1493</v>
      </c>
      <c r="C503" s="2" t="s">
        <v>1494</v>
      </c>
      <c r="D503" s="2" t="s">
        <v>50</v>
      </c>
      <c r="E503" s="2" t="s">
        <v>14</v>
      </c>
      <c r="F503" s="2" t="s">
        <v>15</v>
      </c>
      <c r="G503" s="2" t="s">
        <v>1495</v>
      </c>
      <c r="H503" s="2" t="s">
        <v>22</v>
      </c>
      <c r="I503" s="2" t="str">
        <f>IFERROR(__xludf.DUMMYFUNCTION("GOOGLETRANSLATE(C503,""fr"",""en"")"),"bjr, I am happy with the price of the olive assurance, but very disappointed because I have still not received my sponsorship bonus as well as my godson (M.Yves Chailloux), for almost 1 year, what happens ?. Cdlt
Mr. Daniel Chailloux")</f>
        <v>bjr, I am happy with the price of the olive assurance, but very disappointed because I have still not received my sponsorship bonus as well as my godson (M.Yves Chailloux), for almost 1 year, what happens ?. Cdlt
Mr. Daniel Chailloux</v>
      </c>
    </row>
    <row r="504" ht="15.75" customHeight="1">
      <c r="A504" s="2">
        <v>2.0</v>
      </c>
      <c r="B504" s="2" t="s">
        <v>1496</v>
      </c>
      <c r="C504" s="2" t="s">
        <v>1497</v>
      </c>
      <c r="D504" s="2" t="s">
        <v>35</v>
      </c>
      <c r="E504" s="2" t="s">
        <v>36</v>
      </c>
      <c r="F504" s="2" t="s">
        <v>15</v>
      </c>
      <c r="G504" s="2" t="s">
        <v>1498</v>
      </c>
      <c r="H504" s="2" t="s">
        <v>305</v>
      </c>
      <c r="I504" s="2" t="str">
        <f>IFERROR(__xludf.DUMMYFUNCTION("GOOGLETRANSLATE(C504,""fr"",""en"")"),"Hello, After having called on an online mutual comparison La Societe Santiane Ma Telephoner in order to undergo a contract via the electronic signature, after verification of so -called dubious practices I have retracted the same day in order to danulle t"&amp;"hese Malakoff Sante and Neoliane Prévoyance contracts.")</f>
        <v>Hello, After having called on an online mutual comparison La Societe Santiane Ma Telephoner in order to undergo a contract via the electronic signature, after verification of so -called dubious practices I have retracted the same day in order to danulle these Malakoff Sante and Neoliane Prévoyance contracts.</v>
      </c>
    </row>
    <row r="505" ht="15.75" customHeight="1">
      <c r="A505" s="2">
        <v>1.0</v>
      </c>
      <c r="B505" s="2" t="s">
        <v>1499</v>
      </c>
      <c r="C505" s="2" t="s">
        <v>1500</v>
      </c>
      <c r="D505" s="2" t="s">
        <v>276</v>
      </c>
      <c r="E505" s="2" t="s">
        <v>90</v>
      </c>
      <c r="F505" s="2" t="s">
        <v>15</v>
      </c>
      <c r="G505" s="2" t="s">
        <v>1501</v>
      </c>
      <c r="H505" s="2" t="s">
        <v>155</v>
      </c>
      <c r="I505" s="2" t="str">
        <f>IFERROR(__xludf.DUMMYFUNCTION("GOOGLETRANSLATE(C505,""fr"",""en"")"),"I wish to buy my Lonessio Life at CNP Assurance. Several recommended sent but ask for documents already sent to block the procedure. Unable to recover your money. Ashamed.")</f>
        <v>I wish to buy my Lonessio Life at CNP Assurance. Several recommended sent but ask for documents already sent to block the procedure. Unable to recover your money. Ashamed.</v>
      </c>
    </row>
    <row r="506" ht="15.75" customHeight="1">
      <c r="A506" s="2">
        <v>5.0</v>
      </c>
      <c r="B506" s="2" t="s">
        <v>1502</v>
      </c>
      <c r="C506" s="2" t="s">
        <v>1503</v>
      </c>
      <c r="D506" s="2" t="s">
        <v>50</v>
      </c>
      <c r="E506" s="2" t="s">
        <v>14</v>
      </c>
      <c r="F506" s="2" t="s">
        <v>15</v>
      </c>
      <c r="G506" s="2" t="s">
        <v>289</v>
      </c>
      <c r="H506" s="2" t="s">
        <v>32</v>
      </c>
      <c r="I506" s="2" t="str">
        <f>IFERROR(__xludf.DUMMYFUNCTION("GOOGLETRANSLATE(C506,""fr"",""en"")"),"I am satisfied with the service.
The price suits me perfectly.
Very happy to have chosen the Olivier Insurance.
I will gladly recommend to my loved ones.
")</f>
        <v>I am satisfied with the service.
The price suits me perfectly.
Very happy to have chosen the Olivier Insurance.
I will gladly recommend to my loved ones.
</v>
      </c>
    </row>
    <row r="507" ht="15.75" customHeight="1">
      <c r="A507" s="2">
        <v>2.0</v>
      </c>
      <c r="B507" s="2" t="s">
        <v>1504</v>
      </c>
      <c r="C507" s="2" t="s">
        <v>1505</v>
      </c>
      <c r="D507" s="2" t="s">
        <v>296</v>
      </c>
      <c r="E507" s="2" t="s">
        <v>14</v>
      </c>
      <c r="F507" s="2" t="s">
        <v>15</v>
      </c>
      <c r="G507" s="2" t="s">
        <v>384</v>
      </c>
      <c r="H507" s="2" t="s">
        <v>229</v>
      </c>
      <c r="I507" s="2" t="str">
        <f>IFERROR(__xludf.DUMMYFUNCTION("GOOGLETRANSLATE(C507,""fr"",""en"")"),"Generally good insurance")</f>
        <v>Generally good insurance</v>
      </c>
    </row>
    <row r="508" ht="15.75" customHeight="1">
      <c r="A508" s="2">
        <v>5.0</v>
      </c>
      <c r="B508" s="2" t="s">
        <v>1506</v>
      </c>
      <c r="C508" s="2" t="s">
        <v>1507</v>
      </c>
      <c r="D508" s="2" t="s">
        <v>35</v>
      </c>
      <c r="E508" s="2" t="s">
        <v>36</v>
      </c>
      <c r="F508" s="2" t="s">
        <v>15</v>
      </c>
      <c r="G508" s="2" t="s">
        <v>1508</v>
      </c>
      <c r="H508" s="2" t="s">
        <v>150</v>
      </c>
      <c r="I508" s="2" t="str">
        <f>IFERROR(__xludf.DUMMYFUNCTION("GOOGLETRANSLATE(C508,""fr"",""en"")"),"Thank you to William for his advice and the contract he found for me meets all my needs and my budget ...
Customer service is very responsive and was able to put me in contact with him as soon as I needed.")</f>
        <v>Thank you to William for his advice and the contract he found for me meets all my needs and my budget ...
Customer service is very responsive and was able to put me in contact with him as soon as I needed.</v>
      </c>
    </row>
    <row r="509" ht="15.75" customHeight="1">
      <c r="A509" s="2">
        <v>5.0</v>
      </c>
      <c r="B509" s="2" t="s">
        <v>1509</v>
      </c>
      <c r="C509" s="2" t="s">
        <v>1510</v>
      </c>
      <c r="D509" s="2" t="s">
        <v>296</v>
      </c>
      <c r="E509" s="2" t="s">
        <v>14</v>
      </c>
      <c r="F509" s="2" t="s">
        <v>15</v>
      </c>
      <c r="G509" s="2" t="s">
        <v>1511</v>
      </c>
      <c r="H509" s="2" t="s">
        <v>107</v>
      </c>
      <c r="I509" s="2" t="str">
        <f>IFERROR(__xludf.DUMMYFUNCTION("GOOGLETRANSLATE(C509,""fr"",""en"")"),"Very satisfied there must be more than fifty years that I have been at the GMF and I think that I will not change less than you will change. Thank you")</f>
        <v>Very satisfied there must be more than fifty years that I have been at the GMF and I think that I will not change less than you will change. Thank you</v>
      </c>
    </row>
    <row r="510" ht="15.75" customHeight="1">
      <c r="A510" s="2">
        <v>1.0</v>
      </c>
      <c r="B510" s="2" t="s">
        <v>1512</v>
      </c>
      <c r="C510" s="2" t="s">
        <v>1513</v>
      </c>
      <c r="D510" s="2" t="s">
        <v>329</v>
      </c>
      <c r="E510" s="2" t="s">
        <v>14</v>
      </c>
      <c r="F510" s="2" t="s">
        <v>15</v>
      </c>
      <c r="G510" s="2" t="s">
        <v>1514</v>
      </c>
      <c r="H510" s="2" t="s">
        <v>298</v>
      </c>
      <c r="I510" s="2" t="str">
        <f>IFERROR(__xludf.DUMMYFUNCTION("GOOGLETRANSLATE(C510,""fr"",""en"")"),"Insured for years without accidents, never an advisor contacted me to see the contract; increase each year, insurance far too expensive compared to others with the same services therefore see for termination.")</f>
        <v>Insured for years without accidents, never an advisor contacted me to see the contract; increase each year, insurance far too expensive compared to others with the same services therefore see for termination.</v>
      </c>
    </row>
    <row r="511" ht="15.75" customHeight="1">
      <c r="A511" s="2">
        <v>2.0</v>
      </c>
      <c r="B511" s="2" t="s">
        <v>1515</v>
      </c>
      <c r="C511" s="2" t="s">
        <v>1516</v>
      </c>
      <c r="D511" s="2" t="s">
        <v>141</v>
      </c>
      <c r="E511" s="2" t="s">
        <v>68</v>
      </c>
      <c r="F511" s="2" t="s">
        <v>15</v>
      </c>
      <c r="G511" s="2" t="s">
        <v>1517</v>
      </c>
      <c r="H511" s="2" t="s">
        <v>22</v>
      </c>
      <c r="I511" s="2" t="str">
        <f>IFERROR(__xludf.DUMMYFUNCTION("GOOGLETRANSLATE(C511,""fr"",""en"")"),"Big disappointment: the maif wrongly accused me of not having paid my contribution in time, when I had paid, then while admitting this error and by reimbursing the amount that I had finally paid twice refused To restart my Raqvam contract without any just"&amp;"ification .... despite my emails and my calls no one could explain to me the cause of these acts which seem unfair. I do not understand this attitude which lacks respect and explanations.")</f>
        <v>Big disappointment: the maif wrongly accused me of not having paid my contribution in time, when I had paid, then while admitting this error and by reimbursing the amount that I had finally paid twice refused To restart my Raqvam contract without any justification .... despite my emails and my calls no one could explain to me the cause of these acts which seem unfair. I do not understand this attitude which lacks respect and explanations.</v>
      </c>
    </row>
    <row r="512" ht="15.75" customHeight="1">
      <c r="A512" s="2">
        <v>4.0</v>
      </c>
      <c r="B512" s="2" t="s">
        <v>1518</v>
      </c>
      <c r="C512" s="2" t="s">
        <v>1519</v>
      </c>
      <c r="D512" s="2" t="s">
        <v>296</v>
      </c>
      <c r="E512" s="2" t="s">
        <v>14</v>
      </c>
      <c r="F512" s="2" t="s">
        <v>15</v>
      </c>
      <c r="G512" s="2" t="s">
        <v>1520</v>
      </c>
      <c r="H512" s="2" t="s">
        <v>38</v>
      </c>
      <c r="I512" s="2" t="str">
        <f>IFERROR(__xludf.DUMMYFUNCTION("GOOGLETRANSLATE(C512,""fr"",""en"")"),"Lack of local office to replace the one who was Place des Pradettes in Toulouse; Personalized advice is desired by customers. For city offices, access is difficult.")</f>
        <v>Lack of local office to replace the one who was Place des Pradettes in Toulouse; Personalized advice is desired by customers. For city offices, access is difficult.</v>
      </c>
    </row>
    <row r="513" ht="15.75" customHeight="1">
      <c r="A513" s="2">
        <v>2.0</v>
      </c>
      <c r="B513" s="2" t="s">
        <v>1521</v>
      </c>
      <c r="C513" s="2" t="s">
        <v>1522</v>
      </c>
      <c r="D513" s="2" t="s">
        <v>20</v>
      </c>
      <c r="E513" s="2" t="s">
        <v>14</v>
      </c>
      <c r="F513" s="2" t="s">
        <v>15</v>
      </c>
      <c r="G513" s="2" t="s">
        <v>1523</v>
      </c>
      <c r="H513" s="2" t="s">
        <v>96</v>
      </c>
      <c r="I513" s="2" t="str">
        <f>IFERROR(__xludf.DUMMYFUNCTION("GOOGLETRANSLATE(C513,""fr"",""en"")"),"To flee! Contract n ° 275208, I was terminated without being warned for a missing document which I was not informed (4 photos of the vehicle) neither at the opening of the contract nor when I sent the other documents which they made ""good reception""! 3 "&amp;"months of subscription paid to be assured only 1 month and they ask me in addition to paying 2 months of subscription to be provided again! Refund is not even a possible thing for them and when the service is called the discussion revolves in circles and "&amp;"no recognition of the twists on their part is assumed !! I will therefore appeal to the prudential and resolution control authority!")</f>
        <v>To flee! Contract n ° 275208, I was terminated without being warned for a missing document which I was not informed (4 photos of the vehicle) neither at the opening of the contract nor when I sent the other documents which they made "good reception"! 3 months of subscription paid to be assured only 1 month and they ask me in addition to paying 2 months of subscription to be provided again! Refund is not even a possible thing for them and when the service is called the discussion revolves in circles and no recognition of the twists on their part is assumed !! I will therefore appeal to the prudential and resolution control authority!</v>
      </c>
    </row>
    <row r="514" ht="15.75" customHeight="1">
      <c r="A514" s="2">
        <v>3.0</v>
      </c>
      <c r="B514" s="2" t="s">
        <v>1524</v>
      </c>
      <c r="C514" s="2" t="s">
        <v>1525</v>
      </c>
      <c r="D514" s="2" t="s">
        <v>30</v>
      </c>
      <c r="E514" s="2" t="s">
        <v>14</v>
      </c>
      <c r="F514" s="2" t="s">
        <v>15</v>
      </c>
      <c r="G514" s="2" t="s">
        <v>202</v>
      </c>
      <c r="H514" s="2" t="s">
        <v>47</v>
      </c>
      <c r="I514" s="2" t="str">
        <f>IFERROR(__xludf.DUMMYFUNCTION("GOOGLETRANSLATE(C514,""fr"",""en"")"),"I am satisfied with the services you offer.
The prices are affordable and your staff meets present when you need them. So far everything is fine, we will see if one day I have an incident and that I really need care on your part ...")</f>
        <v>I am satisfied with the services you offer.
The prices are affordable and your staff meets present when you need them. So far everything is fine, we will see if one day I have an incident and that I really need care on your part ...</v>
      </c>
    </row>
    <row r="515" ht="15.75" customHeight="1">
      <c r="A515" s="2">
        <v>3.0</v>
      </c>
      <c r="B515" s="2" t="s">
        <v>1526</v>
      </c>
      <c r="C515" s="2" t="s">
        <v>1527</v>
      </c>
      <c r="D515" s="2" t="s">
        <v>50</v>
      </c>
      <c r="E515" s="2" t="s">
        <v>14</v>
      </c>
      <c r="F515" s="2" t="s">
        <v>15</v>
      </c>
      <c r="G515" s="2" t="s">
        <v>1528</v>
      </c>
      <c r="H515" s="2" t="s">
        <v>237</v>
      </c>
      <c r="I515" s="2" t="str">
        <f>IFERROR(__xludf.DUMMYFUNCTION("GOOGLETRANSLATE(C515,""fr"",""en"")"),"misery")</f>
        <v>misery</v>
      </c>
    </row>
    <row r="516" ht="15.75" customHeight="1">
      <c r="A516" s="2">
        <v>1.0</v>
      </c>
      <c r="B516" s="2" t="s">
        <v>1529</v>
      </c>
      <c r="C516" s="2" t="s">
        <v>1530</v>
      </c>
      <c r="D516" s="2" t="s">
        <v>20</v>
      </c>
      <c r="E516" s="2" t="s">
        <v>14</v>
      </c>
      <c r="F516" s="2" t="s">
        <v>15</v>
      </c>
      <c r="G516" s="2" t="s">
        <v>1531</v>
      </c>
      <c r="H516" s="2" t="s">
        <v>17</v>
      </c>
      <c r="I516" s="2" t="str">
        <f>IFERROR(__xludf.DUMMYFUNCTION("GOOGLETRANSLATE(C516,""fr"",""en"")"),"To advise customer service more than zero
No answer after four email sent
We write to you incomplete file and we do not tell you what is missing
When I phone I am told that the file is complete and that I will receive my green card
I'm still waiting
"&amp;"On the Incomplete file site
My provisional certificate ends and no one tells you anything")</f>
        <v>To advise customer service more than zero
No answer after four email sent
We write to you incomplete file and we do not tell you what is missing
When I phone I am told that the file is complete and that I will receive my green card
I'm still waiting
On the Incomplete file site
My provisional certificate ends and no one tells you anything</v>
      </c>
    </row>
    <row r="517" ht="15.75" customHeight="1">
      <c r="A517" s="2">
        <v>4.0</v>
      </c>
      <c r="B517" s="2" t="s">
        <v>1532</v>
      </c>
      <c r="C517" s="2" t="s">
        <v>1533</v>
      </c>
      <c r="D517" s="2" t="s">
        <v>94</v>
      </c>
      <c r="E517" s="2" t="s">
        <v>36</v>
      </c>
      <c r="F517" s="2" t="s">
        <v>15</v>
      </c>
      <c r="G517" s="2" t="s">
        <v>1534</v>
      </c>
      <c r="H517" s="2" t="s">
        <v>22</v>
      </c>
      <c r="I517" s="2" t="str">
        <f>IFERROR(__xludf.DUMMYFUNCTION("GOOGLETRANSLATE(C517,""fr"",""en"")"),"Contract adaptable as close as possible to his needs. Ease and security to reach a advisor. Exchange always pleasant.
Specific information.
Very fast reimbursement.")</f>
        <v>Contract adaptable as close as possible to his needs. Ease and security to reach a advisor. Exchange always pleasant.
Specific information.
Very fast reimbursement.</v>
      </c>
    </row>
    <row r="518" ht="15.75" customHeight="1">
      <c r="A518" s="2">
        <v>3.0</v>
      </c>
      <c r="B518" s="2" t="s">
        <v>1535</v>
      </c>
      <c r="C518" s="2" t="s">
        <v>1536</v>
      </c>
      <c r="D518" s="2" t="s">
        <v>145</v>
      </c>
      <c r="E518" s="2" t="s">
        <v>111</v>
      </c>
      <c r="F518" s="2" t="s">
        <v>15</v>
      </c>
      <c r="G518" s="2" t="s">
        <v>64</v>
      </c>
      <c r="H518" s="2" t="s">
        <v>64</v>
      </c>
      <c r="I518" s="2" t="str">
        <f>IFERROR(__xludf.DUMMYFUNCTION("GOOGLETRANSLATE(C518,""fr"",""en"")"),"Very satisfied with the service offered, I recommend for any motorcyclist wanting to make sure to come and do it at home.
For a person having no knowledge it is very simple and very fast.")</f>
        <v>Very satisfied with the service offered, I recommend for any motorcyclist wanting to make sure to come and do it at home.
For a person having no knowledge it is very simple and very fast.</v>
      </c>
    </row>
    <row r="519" ht="15.75" customHeight="1">
      <c r="A519" s="2">
        <v>2.0</v>
      </c>
      <c r="B519" s="2" t="s">
        <v>1537</v>
      </c>
      <c r="C519" s="2" t="s">
        <v>1538</v>
      </c>
      <c r="D519" s="2" t="s">
        <v>296</v>
      </c>
      <c r="E519" s="2" t="s">
        <v>14</v>
      </c>
      <c r="F519" s="2" t="s">
        <v>15</v>
      </c>
      <c r="G519" s="2" t="s">
        <v>1539</v>
      </c>
      <c r="H519" s="2" t="s">
        <v>38</v>
      </c>
      <c r="I519" s="2" t="str">
        <f>IFERROR(__xludf.DUMMYFUNCTION("GOOGLETRANSLATE(C519,""fr"",""en"")"),"Travel today to the GMF agency in Valenciennes (59) following an appointment (10:45 am) to ensure a new vehicle. Cordial welcome by an employee who asks me to sit and wait. Until then, normal. 11:45 am still nothing is 30 minutes late. The agency director"&amp;" having personally receive me, it doesn't matter, I have not asked him. 11:00 am, arrival of a couple with an appointment at 11:15 a.m., the same reception ceremonial and direct reception by another employee. But yes of course ... Ah well, this is 1/4 in "&amp;"advance on the scheduled schedule of the initial appointment, I find it hard to understand, I will inquire about the situation and try to understand, The 1st employee, all confused with this dysfunction, tries to save the furniture by receiving me at 11:2"&amp;"0 am. My departure at 11:35 am, the agency chief still on the appointment ... Do you think he would have worried this dysfunction, well no!!! I leave the agency, dumbfounded, frustrated and wrath. Today, the GMF company will not have to respect its motto "&amp;"""certainly human"" but rather ""certainly villain"" !!!")</f>
        <v>Travel today to the GMF agency in Valenciennes (59) following an appointment (10:45 am) to ensure a new vehicle. Cordial welcome by an employee who asks me to sit and wait. Until then, normal. 11:45 am still nothing is 30 minutes late. The agency director having personally receive me, it doesn't matter, I have not asked him. 11:00 am, arrival of a couple with an appointment at 11:15 a.m., the same reception ceremonial and direct reception by another employee. But yes of course ... Ah well, this is 1/4 in advance on the scheduled schedule of the initial appointment, I find it hard to understand, I will inquire about the situation and try to understand, The 1st employee, all confused with this dysfunction, tries to save the furniture by receiving me at 11:20 am. My departure at 11:35 am, the agency chief still on the appointment ... Do you think he would have worried this dysfunction, well no!!! I leave the agency, dumbfounded, frustrated and wrath. Today, the GMF company will not have to respect its motto "certainly human" but rather "certainly villain" !!!</v>
      </c>
    </row>
    <row r="520" ht="15.75" customHeight="1">
      <c r="A520" s="2">
        <v>1.0</v>
      </c>
      <c r="B520" s="2" t="s">
        <v>1540</v>
      </c>
      <c r="C520" s="2" t="s">
        <v>1541</v>
      </c>
      <c r="D520" s="2" t="s">
        <v>224</v>
      </c>
      <c r="E520" s="2" t="s">
        <v>14</v>
      </c>
      <c r="F520" s="2" t="s">
        <v>15</v>
      </c>
      <c r="G520" s="2" t="s">
        <v>475</v>
      </c>
      <c r="H520" s="2" t="s">
        <v>192</v>
      </c>
      <c r="I520" s="2" t="str">
        <f>IFERROR(__xludf.DUMMYFUNCTION("GOOGLETRANSLATE(C520,""fr"",""en"")"),"Hello, here is my opinion from the experience I just suffered:
My two vehicle insurance contracts were terminated without any prior information and especially without any justification on their part. I learned of this situation during an appointment to m"&amp;"y bank which could not give me a credible explanation except that I will have to attach my other vehicle contracts to Pacifica, which I did not want not. Faced with this situation, in an emergency, I had to contact my insurer with whom I am staying for th"&amp;"e other vehicles that took them over, no astonishment on his part since it is not the first time that this situation has happened with other customers.
These contracts were put in place when I update the loan interest rate on the purchase of my house or "&amp;"I have been asked, see a little forced I must say to take these contracts to argue with their management at having a more attractive reimbursement interest rate.
What I deplore the most in this situation is that I was put before the fait accompli during "&amp;"this meeting, the most unfortunate is that I was harassing on the phone several times for me Ask to make a letter mentioning the fact that it is I who is made this request for termination, of course what I did not do.
Despite everything, I received a let"&amp;"ter from Pacifica which mentions the termination at my request, which is completely false, is a shame")</f>
        <v>Hello, here is my opinion from the experience I just suffered:
My two vehicle insurance contracts were terminated without any prior information and especially without any justification on their part. I learned of this situation during an appointment to my bank which could not give me a credible explanation except that I will have to attach my other vehicle contracts to Pacifica, which I did not want not. Faced with this situation, in an emergency, I had to contact my insurer with whom I am staying for the other vehicles that took them over, no astonishment on his part since it is not the first time that this situation has happened with other customers.
These contracts were put in place when I update the loan interest rate on the purchase of my house or I have been asked, see a little forced I must say to take these contracts to argue with their management at having a more attractive reimbursement interest rate.
What I deplore the most in this situation is that I was put before the fait accompli during this meeting, the most unfortunate is that I was harassing on the phone several times for me Ask to make a letter mentioning the fact that it is I who is made this request for termination, of course what I did not do.
Despite everything, I received a letter from Pacifica which mentions the termination at my request, which is completely false, is a shame</v>
      </c>
    </row>
    <row r="521" ht="15.75" customHeight="1">
      <c r="A521" s="2">
        <v>1.0</v>
      </c>
      <c r="B521" s="2" t="s">
        <v>1542</v>
      </c>
      <c r="C521" s="2" t="s">
        <v>1543</v>
      </c>
      <c r="D521" s="2" t="s">
        <v>79</v>
      </c>
      <c r="E521" s="2" t="s">
        <v>116</v>
      </c>
      <c r="F521" s="2" t="s">
        <v>15</v>
      </c>
      <c r="G521" s="2" t="s">
        <v>554</v>
      </c>
      <c r="H521" s="2" t="s">
        <v>124</v>
      </c>
      <c r="I521" s="2" t="str">
        <f>IFERROR(__xludf.DUMMYFUNCTION("GOOGLETRANSLATE(C521,""fr"",""en"")"),"Good evening
Since December 2009, I have invested a large sum at the BNP Banque Privée in cardif life insurance.
My dividends and interests are absorbed by management fees + account costs + etc ...
Too much vast, too much staff, etc ...
Cordially")</f>
        <v>Good evening
Since December 2009, I have invested a large sum at the BNP Banque Privée in cardif life insurance.
My dividends and interests are absorbed by management fees + account costs + etc ...
Too much vast, too much staff, etc ...
Cordially</v>
      </c>
    </row>
    <row r="522" ht="15.75" customHeight="1">
      <c r="A522" s="2">
        <v>1.0</v>
      </c>
      <c r="B522" s="2" t="s">
        <v>1544</v>
      </c>
      <c r="C522" s="2" t="s">
        <v>1545</v>
      </c>
      <c r="D522" s="2" t="s">
        <v>329</v>
      </c>
      <c r="E522" s="2" t="s">
        <v>14</v>
      </c>
      <c r="F522" s="2" t="s">
        <v>15</v>
      </c>
      <c r="G522" s="2" t="s">
        <v>1546</v>
      </c>
      <c r="H522" s="2" t="s">
        <v>1196</v>
      </c>
      <c r="I522" s="2" t="str">
        <f>IFERROR(__xludf.DUMMYFUNCTION("GOOGLETRANSLATE(C522,""fr"",""en"")"),"Insurance to ban, no follow -up of their files, not capable of processing them especially when you solve, it continues to take. To banish .... Turn to other insurers, this is the best advice I can give you.")</f>
        <v>Insurance to ban, no follow -up of their files, not capable of processing them especially when you solve, it continues to take. To banish .... Turn to other insurers, this is the best advice I can give you.</v>
      </c>
    </row>
    <row r="523" ht="15.75" customHeight="1">
      <c r="A523" s="2">
        <v>4.0</v>
      </c>
      <c r="B523" s="2" t="s">
        <v>1547</v>
      </c>
      <c r="C523" s="2" t="s">
        <v>1548</v>
      </c>
      <c r="D523" s="2" t="s">
        <v>50</v>
      </c>
      <c r="E523" s="2" t="s">
        <v>14</v>
      </c>
      <c r="F523" s="2" t="s">
        <v>15</v>
      </c>
      <c r="G523" s="2" t="s">
        <v>1549</v>
      </c>
      <c r="H523" s="2" t="s">
        <v>107</v>
      </c>
      <c r="I523" s="2" t="str">
        <f>IFERROR(__xludf.DUMMYFUNCTION("GOOGLETRANSLATE(C523,""fr"",""en"")"),"I am satisfied because the price and the drivers guarantees are more beneficial than my old insurance. Thank you for your response. Best regards.")</f>
        <v>I am satisfied because the price and the drivers guarantees are more beneficial than my old insurance. Thank you for your response. Best regards.</v>
      </c>
    </row>
    <row r="524" ht="15.75" customHeight="1">
      <c r="A524" s="2">
        <v>1.0</v>
      </c>
      <c r="B524" s="2" t="s">
        <v>1550</v>
      </c>
      <c r="C524" s="2" t="s">
        <v>1551</v>
      </c>
      <c r="D524" s="2" t="s">
        <v>329</v>
      </c>
      <c r="E524" s="2" t="s">
        <v>14</v>
      </c>
      <c r="F524" s="2" t="s">
        <v>15</v>
      </c>
      <c r="G524" s="2" t="s">
        <v>1552</v>
      </c>
      <c r="H524" s="2" t="s">
        <v>1553</v>
      </c>
      <c r="I524" s="2" t="str">
        <f>IFERROR(__xludf.DUMMYFUNCTION("GOOGLETRANSLATE(C524,""fr"",""en"")"),"Scandalous
My stolen and burned car 3 weeks to have expertise and once this is the value given is based on the lowest prices on the market no contact with the expert who refuses to hear that it is more than 1000 euros Below width while my car was barely "&amp;"2 years old ... The Macif therefore proposes that I pay an expert then will be commissioned by a 3rd expert so still a month of galley without a vehicle loan ...")</f>
        <v>Scandalous
My stolen and burned car 3 weeks to have expertise and once this is the value given is based on the lowest prices on the market no contact with the expert who refuses to hear that it is more than 1000 euros Below width while my car was barely 2 years old ... The Macif therefore proposes that I pay an expert then will be commissioned by a 3rd expert so still a month of galley without a vehicle loan ...</v>
      </c>
    </row>
    <row r="525" ht="15.75" customHeight="1">
      <c r="A525" s="2">
        <v>2.0</v>
      </c>
      <c r="B525" s="2" t="s">
        <v>1554</v>
      </c>
      <c r="C525" s="2" t="s">
        <v>1555</v>
      </c>
      <c r="D525" s="2" t="s">
        <v>30</v>
      </c>
      <c r="E525" s="2" t="s">
        <v>14</v>
      </c>
      <c r="F525" s="2" t="s">
        <v>15</v>
      </c>
      <c r="G525" s="2" t="s">
        <v>1556</v>
      </c>
      <c r="H525" s="2" t="s">
        <v>91</v>
      </c>
      <c r="I525" s="2" t="str">
        <f>IFERROR(__xludf.DUMMYFUNCTION("GOOGLETRANSLATE(C525,""fr"",""en"")"),"Very badly covered, especially for troubleshooting, it is better not to break down. For example, if you are the victim of a puncture, do not count on Direct Assurance, even at night in the middle of nowhere.")</f>
        <v>Very badly covered, especially for troubleshooting, it is better not to break down. For example, if you are the victim of a puncture, do not count on Direct Assurance, even at night in the middle of nowhere.</v>
      </c>
    </row>
    <row r="526" ht="15.75" customHeight="1">
      <c r="A526" s="2">
        <v>1.0</v>
      </c>
      <c r="B526" s="2" t="s">
        <v>1557</v>
      </c>
      <c r="C526" s="2" t="s">
        <v>1558</v>
      </c>
      <c r="D526" s="2" t="s">
        <v>224</v>
      </c>
      <c r="E526" s="2" t="s">
        <v>14</v>
      </c>
      <c r="F526" s="2" t="s">
        <v>15</v>
      </c>
      <c r="G526" s="2" t="s">
        <v>1174</v>
      </c>
      <c r="H526" s="2" t="s">
        <v>52</v>
      </c>
      <c r="I526" s="2" t="str">
        <f>IFERROR(__xludf.DUMMYFUNCTION("GOOGLETRANSLATE(C526,""fr"",""en"")"),"Very disappointed I had a water damage not to find any emergency plumber I had to find it myself you wait for hours between insurance and assistance it refers the ball in short really disappointed I will look for another insurance!")</f>
        <v>Very disappointed I had a water damage not to find any emergency plumber I had to find it myself you wait for hours between insurance and assistance it refers the ball in short really disappointed I will look for another insurance!</v>
      </c>
    </row>
    <row r="527" ht="15.75" customHeight="1">
      <c r="A527" s="2">
        <v>1.0</v>
      </c>
      <c r="B527" s="2" t="s">
        <v>1559</v>
      </c>
      <c r="C527" s="2" t="s">
        <v>1560</v>
      </c>
      <c r="D527" s="2" t="s">
        <v>329</v>
      </c>
      <c r="E527" s="2" t="s">
        <v>68</v>
      </c>
      <c r="F527" s="2" t="s">
        <v>15</v>
      </c>
      <c r="G527" s="2" t="s">
        <v>1561</v>
      </c>
      <c r="H527" s="2" t="s">
        <v>486</v>
      </c>
      <c r="I527" s="2" t="str">
        <f>IFERROR(__xludf.DUMMYFUNCTION("GOOGLETRANSLATE(C527,""fr"",""en"")"),"Another catastrophic experience with the Macif.
Today I received 14 mail under folds and identical from the Macif to tell me that the mandate was well put in place.
My subscription is 147 euros for all my contracts.
Following an error on their part the"&amp;"y presented a levy from my 265 euros account that I obviously rejected.
After having contacted them, I am indicated that following this rejection I will receive a letter asking me the annual subscription to pay. More than 1200 euros.
Yet I have contacte"&amp;"d them several times before this rejection to be sure that there will be no error on the amount that will be deducted in August ... obviously each call a different advisor and a different speech for ultimately Put myself in a difficult situation.
I reall"&amp;"y advise people not to take out contracts to the Macif which highlights human values ​​and Bla Bla Bla to differentiate themselves from competitors.
They are worse than the others, they are not attentive to their member and they make fun of us.
The last"&amp;" advisor I had on the phone took me high, he didn't say anything on the phone anymore, he was just waiting for me to put communication myself.
Following the same health crisis, they did not even bother to reimburse part of the contributions taken during "&amp;"the 3 months of confinement, no gesture in favor of their member is shameful with the money they brew on Our back.
In short Macif to banish I advise you.")</f>
        <v>Another catastrophic experience with the Macif.
Today I received 14 mail under folds and identical from the Macif to tell me that the mandate was well put in place.
My subscription is 147 euros for all my contracts.
Following an error on their part they presented a levy from my 265 euros account that I obviously rejected.
After having contacted them, I am indicated that following this rejection I will receive a letter asking me the annual subscription to pay. More than 1200 euros.
Yet I have contacted them several times before this rejection to be sure that there will be no error on the amount that will be deducted in August ... obviously each call a different advisor and a different speech for ultimately Put myself in a difficult situation.
I really advise people not to take out contracts to the Macif which highlights human values ​​and Bla Bla Bla to differentiate themselves from competitors.
They are worse than the others, they are not attentive to their member and they make fun of us.
The last advisor I had on the phone took me high, he didn't say anything on the phone anymore, he was just waiting for me to put communication myself.
Following the same health crisis, they did not even bother to reimburse part of the contributions taken during the 3 months of confinement, no gesture in favor of their member is shameful with the money they brew on Our back.
In short Macif to banish I advise you.</v>
      </c>
    </row>
    <row r="528" ht="15.75" customHeight="1">
      <c r="A528" s="2">
        <v>2.0</v>
      </c>
      <c r="B528" s="2" t="s">
        <v>1562</v>
      </c>
      <c r="C528" s="2" t="s">
        <v>1563</v>
      </c>
      <c r="D528" s="2" t="s">
        <v>25</v>
      </c>
      <c r="E528" s="2" t="s">
        <v>68</v>
      </c>
      <c r="F528" s="2" t="s">
        <v>15</v>
      </c>
      <c r="G528" s="2" t="s">
        <v>1564</v>
      </c>
      <c r="H528" s="2" t="s">
        <v>173</v>
      </c>
      <c r="I528" s="2" t="str">
        <f>IFERROR(__xludf.DUMMYFUNCTION("GOOGLETRANSLATE(C528,""fr"",""en"")"),"Flee this insurance that does not ensure anything. Following water leak in Apt above also assured axa. No intervention possible by their emergency service because the disaster service is closed for the holidays")</f>
        <v>Flee this insurance that does not ensure anything. Following water leak in Apt above also assured axa. No intervention possible by their emergency service because the disaster service is closed for the holidays</v>
      </c>
    </row>
    <row r="529" ht="15.75" customHeight="1">
      <c r="A529" s="2">
        <v>1.0</v>
      </c>
      <c r="B529" s="2" t="s">
        <v>1565</v>
      </c>
      <c r="C529" s="2" t="s">
        <v>1566</v>
      </c>
      <c r="D529" s="2" t="s">
        <v>30</v>
      </c>
      <c r="E529" s="2" t="s">
        <v>14</v>
      </c>
      <c r="F529" s="2" t="s">
        <v>15</v>
      </c>
      <c r="G529" s="2" t="s">
        <v>1567</v>
      </c>
      <c r="H529" s="2" t="s">
        <v>82</v>
      </c>
      <c r="I529" s="2" t="str">
        <f>IFERROR(__xludf.DUMMYFUNCTION("GOOGLETRANSLATE(C529,""fr"",""en"")"),"Watch out for everyone, Direct Insurance is a company that does not keep its commitments
I have been insured at Direct Insurance for over 10 years, including in the last 5 years with the same vehicle.
I am in all risk, with a serenity pack and 51% bonus"&amp;", I have just had a second vehicle + a two wheels for more than 8 years
Last year, I am notified in my opinion that I will have 20% discount next year to reward my loyalty (5 years).
I receive my opinion on April and surprise, no 20% discount
I contact"&amp;" their customer service on 29-04, he confirms to me that it is an oversight, that they will go back the information to the accounting department and that I will have a return on their part the following week.
After a week, no news. I contact customer ser"&amp;"vice, always the same speech and after a week still nothing.
In the meantime, I declare a non -responsible disaster (a person rocked my bumper by backing)
I decide to write to them through my customer area, and there surprised it tells me that I am not "&amp;"entitled to my 20% discount because I declared a disaster.
This is an excuse because the disaster arrived afterwards and in addition not responsible
In short, here is how Direct Insurance rewards its customers.
They are liars and rings
I already knew "&amp;"that they had an aggressive price policy for new customers and then the prices are increasing, but this is still huge.
I did some research on the web and a priori I am not the only one:
For me it is decided, I will terminate all of my contracts at hom"&amp;"e
")</f>
        <v>Watch out for everyone, Direct Insurance is a company that does not keep its commitments
I have been insured at Direct Insurance for over 10 years, including in the last 5 years with the same vehicle.
I am in all risk, with a serenity pack and 51% bonus, I have just had a second vehicle + a two wheels for more than 8 years
Last year, I am notified in my opinion that I will have 20% discount next year to reward my loyalty (5 years).
I receive my opinion on April and surprise, no 20% discount
I contact their customer service on 29-04, he confirms to me that it is an oversight, that they will go back the information to the accounting department and that I will have a return on their part the following week.
After a week, no news. I contact customer service, always the same speech and after a week still nothing.
In the meantime, I declare a non -responsible disaster (a person rocked my bumper by backing)
I decide to write to them through my customer area, and there surprised it tells me that I am not entitled to my 20% discount because I declared a disaster.
This is an excuse because the disaster arrived afterwards and in addition not responsible
In short, here is how Direct Insurance rewards its customers.
They are liars and rings
I already knew that they had an aggressive price policy for new customers and then the prices are increasing, but this is still huge.
I did some research on the web and a priori I am not the only one:
For me it is decided, I will terminate all of my contracts at home
</v>
      </c>
    </row>
    <row r="530" ht="15.75" customHeight="1">
      <c r="A530" s="2">
        <v>5.0</v>
      </c>
      <c r="B530" s="2" t="s">
        <v>1568</v>
      </c>
      <c r="C530" s="2" t="s">
        <v>1569</v>
      </c>
      <c r="D530" s="2" t="s">
        <v>30</v>
      </c>
      <c r="E530" s="2" t="s">
        <v>14</v>
      </c>
      <c r="F530" s="2" t="s">
        <v>15</v>
      </c>
      <c r="G530" s="2" t="s">
        <v>1570</v>
      </c>
      <c r="H530" s="2" t="s">
        <v>32</v>
      </c>
      <c r="I530" s="2" t="str">
        <f>IFERROR(__xludf.DUMMYFUNCTION("GOOGLETRANSLATE(C530,""fr"",""en"")"),"TOP service and responsiveness, very competitive prices!
True to Direct Insurance for several years, I can only highly recommend this company :)")</f>
        <v>TOP service and responsiveness, very competitive prices!
True to Direct Insurance for several years, I can only highly recommend this company :)</v>
      </c>
    </row>
    <row r="531" ht="15.75" customHeight="1">
      <c r="A531" s="2">
        <v>5.0</v>
      </c>
      <c r="B531" s="2" t="s">
        <v>1571</v>
      </c>
      <c r="C531" s="2" t="s">
        <v>1572</v>
      </c>
      <c r="D531" s="2" t="s">
        <v>30</v>
      </c>
      <c r="E531" s="2" t="s">
        <v>14</v>
      </c>
      <c r="F531" s="2" t="s">
        <v>15</v>
      </c>
      <c r="G531" s="2" t="s">
        <v>1573</v>
      </c>
      <c r="H531" s="2" t="s">
        <v>131</v>
      </c>
      <c r="I531" s="2" t="str">
        <f>IFERROR(__xludf.DUMMYFUNCTION("GOOGLETRANSLATE(C531,""fr"",""en"")"),"I did my well detailed online insurance quote.
Including to make my contract and send the requested documents online.
as well as a very rapid direct insurance follow -up.
Everything is very well explained.
With a good return to my mailbox.
I will rec"&amp;"eive my certificate soon.
And the Hamon law is very practical.
So I will also do my housing contract including school insurance.
thank you.
Direct insurance see you soon.
Rémi ..
")</f>
        <v>I did my well detailed online insurance quote.
Including to make my contract and send the requested documents online.
as well as a very rapid direct insurance follow -up.
Everything is very well explained.
With a good return to my mailbox.
I will receive my certificate soon.
And the Hamon law is very practical.
So I will also do my housing contract including school insurance.
thank you.
Direct insurance see you soon.
Rémi ..
</v>
      </c>
    </row>
    <row r="532" ht="15.75" customHeight="1">
      <c r="A532" s="2">
        <v>4.0</v>
      </c>
      <c r="B532" s="2" t="s">
        <v>1574</v>
      </c>
      <c r="C532" s="2" t="s">
        <v>1575</v>
      </c>
      <c r="D532" s="2" t="s">
        <v>25</v>
      </c>
      <c r="E532" s="2" t="s">
        <v>14</v>
      </c>
      <c r="F532" s="2" t="s">
        <v>15</v>
      </c>
      <c r="G532" s="2" t="s">
        <v>117</v>
      </c>
      <c r="H532" s="2" t="s">
        <v>107</v>
      </c>
      <c r="I532" s="2" t="str">
        <f>IFERROR(__xludf.DUMMYFUNCTION("GOOGLETRANSLATE(C532,""fr"",""en"")"),"At AXA I have home insurance and legal protection, to return to AXA I had to take two insurances otherwise my entry was refused, in my agency it takes a contract to return to AXA. Other than that I have nothing to say I have no contact with them, he never"&amp;" contact me so I can't say if I am satisfied or not, except for the fact that I have the obligation to take a contract which is not normal but obviously is their")</f>
        <v>At AXA I have home insurance and legal protection, to return to AXA I had to take two insurances otherwise my entry was refused, in my agency it takes a contract to return to AXA. Other than that I have nothing to say I have no contact with them, he never contact me so I can't say if I am satisfied or not, except for the fact that I have the obligation to take a contract which is not normal but obviously is their</v>
      </c>
    </row>
    <row r="533" ht="15.75" customHeight="1">
      <c r="A533" s="2">
        <v>2.0</v>
      </c>
      <c r="B533" s="2" t="s">
        <v>1576</v>
      </c>
      <c r="C533" s="2" t="s">
        <v>1577</v>
      </c>
      <c r="D533" s="2" t="s">
        <v>141</v>
      </c>
      <c r="E533" s="2" t="s">
        <v>14</v>
      </c>
      <c r="F533" s="2" t="s">
        <v>15</v>
      </c>
      <c r="G533" s="2" t="s">
        <v>1578</v>
      </c>
      <c r="H533" s="2" t="s">
        <v>369</v>
      </c>
      <c r="I533" s="2" t="str">
        <f>IFERROR(__xludf.DUMMYFUNCTION("GOOGLETRANSLATE(C533,""fr"",""en"")"),"4 email sent to terminate an assumption since my handicap does not allow me the phone, no response. And this is not the first time it happens, I will send a 5th without much hope")</f>
        <v>4 email sent to terminate an assumption since my handicap does not allow me the phone, no response. And this is not the first time it happens, I will send a 5th without much hope</v>
      </c>
    </row>
    <row r="534" ht="15.75" customHeight="1">
      <c r="A534" s="2">
        <v>1.0</v>
      </c>
      <c r="B534" s="2" t="s">
        <v>1579</v>
      </c>
      <c r="C534" s="2" t="s">
        <v>1580</v>
      </c>
      <c r="D534" s="2" t="s">
        <v>329</v>
      </c>
      <c r="E534" s="2" t="s">
        <v>68</v>
      </c>
      <c r="F534" s="2" t="s">
        <v>15</v>
      </c>
      <c r="G534" s="2" t="s">
        <v>1581</v>
      </c>
      <c r="H534" s="2" t="s">
        <v>199</v>
      </c>
      <c r="I534" s="2" t="str">
        <f>IFERROR(__xludf.DUMMYFUNCTION("GOOGLETRANSLATE(C534,""fr"",""en"")"),"Following a water damage the craftsman want to repair that the ceiling while the expert according to the managers the work includes ceiling and wall, I refused the intervention of the craftsman to clarify things for about 4 months Move despite calls or co"&amp;"ntact with the Macif office, what I find abnormal is that I do not have the right to have neither the quote nor the invoice to know what kind of materials that the craft")</f>
        <v>Following a water damage the craftsman want to repair that the ceiling while the expert according to the managers the work includes ceiling and wall, I refused the intervention of the craftsman to clarify things for about 4 months Move despite calls or contact with the Macif office, what I find abnormal is that I do not have the right to have neither the quote nor the invoice to know what kind of materials that the craft</v>
      </c>
    </row>
    <row r="535" ht="15.75" customHeight="1">
      <c r="A535" s="2">
        <v>1.0</v>
      </c>
      <c r="B535" s="2" t="s">
        <v>1582</v>
      </c>
      <c r="C535" s="2" t="s">
        <v>1583</v>
      </c>
      <c r="D535" s="2" t="s">
        <v>709</v>
      </c>
      <c r="E535" s="2" t="s">
        <v>90</v>
      </c>
      <c r="F535" s="2" t="s">
        <v>15</v>
      </c>
      <c r="G535" s="2" t="s">
        <v>1584</v>
      </c>
      <c r="H535" s="2" t="s">
        <v>566</v>
      </c>
      <c r="I535" s="2" t="str">
        <f>IFERROR(__xludf.DUMMYFUNCTION("GOOGLETRANSLATE(C535,""fr"",""en"")"),"Hello, extremely disappointed, adherent for about ten years without any sick leave until a few months ago. In the whole not too much problem and then surprised the payment of March 20, 2019 impossible to have the payment .
The impact of this situation: n"&amp;"o longer being able to pay your rent, the bills, the meals then there we don't even talk about the vital minimum.")</f>
        <v>Hello, extremely disappointed, adherent for about ten years without any sick leave until a few months ago. In the whole not too much problem and then surprised the payment of March 20, 2019 impossible to have the payment .
The impact of this situation: no longer being able to pay your rent, the bills, the meals then there we don't even talk about the vital minimum.</v>
      </c>
    </row>
    <row r="536" ht="15.75" customHeight="1">
      <c r="A536" s="2">
        <v>1.0</v>
      </c>
      <c r="B536" s="2" t="s">
        <v>1585</v>
      </c>
      <c r="C536" s="2" t="s">
        <v>1586</v>
      </c>
      <c r="D536" s="2" t="s">
        <v>30</v>
      </c>
      <c r="E536" s="2" t="s">
        <v>68</v>
      </c>
      <c r="F536" s="2" t="s">
        <v>15</v>
      </c>
      <c r="G536" s="2" t="s">
        <v>46</v>
      </c>
      <c r="H536" s="2" t="s">
        <v>47</v>
      </c>
      <c r="I536" s="2" t="str">
        <f>IFERROR(__xludf.DUMMYFUNCTION("GOOGLETRANSLATE(C536,""fr"",""en"")"),"Very bad assurmer lacks amphatie when possibly we have a problem of money there is still the covid and does not hesitate to put you dand the hands of the covering business double the addition to be flee")</f>
        <v>Very bad assurmer lacks amphatie when possibly we have a problem of money there is still the covid and does not hesitate to put you dand the hands of the covering business double the addition to be flee</v>
      </c>
    </row>
    <row r="537" ht="15.75" customHeight="1">
      <c r="A537" s="2">
        <v>5.0</v>
      </c>
      <c r="B537" s="2" t="s">
        <v>1587</v>
      </c>
      <c r="C537" s="2" t="s">
        <v>1588</v>
      </c>
      <c r="D537" s="2" t="s">
        <v>13</v>
      </c>
      <c r="E537" s="2" t="s">
        <v>14</v>
      </c>
      <c r="F537" s="2" t="s">
        <v>15</v>
      </c>
      <c r="G537" s="2" t="s">
        <v>1589</v>
      </c>
      <c r="H537" s="2" t="s">
        <v>981</v>
      </c>
      <c r="I537" s="2" t="str">
        <f>IFERROR(__xludf.DUMMYFUNCTION("GOOGLETRANSLATE(C537,""fr"",""en"")"),"Very accessible staff, listening and responding very quickly to our request. Offers contracts adapted to our needs and do not insist on the signing of contracts.")</f>
        <v>Very accessible staff, listening and responding very quickly to our request. Offers contracts adapted to our needs and do not insist on the signing of contracts.</v>
      </c>
    </row>
    <row r="538" ht="15.75" customHeight="1">
      <c r="A538" s="2">
        <v>4.0</v>
      </c>
      <c r="B538" s="2" t="s">
        <v>1590</v>
      </c>
      <c r="C538" s="2" t="s">
        <v>1591</v>
      </c>
      <c r="D538" s="2" t="s">
        <v>94</v>
      </c>
      <c r="E538" s="2" t="s">
        <v>36</v>
      </c>
      <c r="F538" s="2" t="s">
        <v>15</v>
      </c>
      <c r="G538" s="2" t="s">
        <v>1592</v>
      </c>
      <c r="H538" s="2" t="s">
        <v>124</v>
      </c>
      <c r="I538" s="2" t="str">
        <f>IFERROR(__xludf.DUMMYFUNCTION("GOOGLETRANSLATE(C538,""fr"",""en"")"),"A member since October 1988, I never had to complain about my mutual that always gave me satisfaction whatsoever at the level of reimbursements that answers to the questions.")</f>
        <v>A member since October 1988, I never had to complain about my mutual that always gave me satisfaction whatsoever at the level of reimbursements that answers to the questions.</v>
      </c>
    </row>
    <row r="539" ht="15.75" customHeight="1">
      <c r="A539" s="2">
        <v>1.0</v>
      </c>
      <c r="B539" s="2" t="s">
        <v>1593</v>
      </c>
      <c r="C539" s="2" t="s">
        <v>1594</v>
      </c>
      <c r="D539" s="2" t="s">
        <v>50</v>
      </c>
      <c r="E539" s="2" t="s">
        <v>14</v>
      </c>
      <c r="F539" s="2" t="s">
        <v>15</v>
      </c>
      <c r="G539" s="2" t="s">
        <v>208</v>
      </c>
      <c r="H539" s="2" t="s">
        <v>47</v>
      </c>
      <c r="I539" s="2" t="str">
        <f>IFERROR(__xludf.DUMMYFUNCTION("GOOGLETRANSLATE(C539,""fr"",""en"")"),"Worst insurance that can have active at present,
You make sure for a contract for any risk, and when you are des rying your vehicle in a secure parking lot, this ""insurance"" does not take charge of the stolen parts.
Never seen")</f>
        <v>Worst insurance that can have active at present,
You make sure for a contract for any risk, and when you are des rying your vehicle in a secure parking lot, this "insurance" does not take charge of the stolen parts.
Never seen</v>
      </c>
    </row>
    <row r="540" ht="15.75" customHeight="1">
      <c r="A540" s="2">
        <v>5.0</v>
      </c>
      <c r="B540" s="2" t="s">
        <v>1595</v>
      </c>
      <c r="C540" s="2" t="s">
        <v>1596</v>
      </c>
      <c r="D540" s="2" t="s">
        <v>30</v>
      </c>
      <c r="E540" s="2" t="s">
        <v>14</v>
      </c>
      <c r="F540" s="2" t="s">
        <v>15</v>
      </c>
      <c r="G540" s="2" t="s">
        <v>264</v>
      </c>
      <c r="H540" s="2" t="s">
        <v>38</v>
      </c>
      <c r="I540" s="2" t="str">
        <f>IFERROR(__xludf.DUMMYFUNCTION("GOOGLETRANSLATE(C540,""fr"",""en"")"),"I am satisfied with the price and quality of service which is fast
Thank you, and I would not hesitate to recommend direct insurance to other people ...")</f>
        <v>I am satisfied with the price and quality of service which is fast
Thank you, and I would not hesitate to recommend direct insurance to other people ...</v>
      </c>
    </row>
    <row r="541" ht="15.75" customHeight="1">
      <c r="A541" s="2">
        <v>5.0</v>
      </c>
      <c r="B541" s="2" t="s">
        <v>1597</v>
      </c>
      <c r="C541" s="2" t="s">
        <v>1598</v>
      </c>
      <c r="D541" s="2" t="s">
        <v>50</v>
      </c>
      <c r="E541" s="2" t="s">
        <v>14</v>
      </c>
      <c r="F541" s="2" t="s">
        <v>15</v>
      </c>
      <c r="G541" s="2" t="s">
        <v>348</v>
      </c>
      <c r="H541" s="2" t="s">
        <v>47</v>
      </c>
      <c r="I541" s="2" t="str">
        <f>IFERROR(__xludf.DUMMYFUNCTION("GOOGLETRANSLATE(C541,""fr"",""en"")"),"Friendly staff! I just subscribed so I hope not to be disappointed and the prices are very competitive hence my interest in this insurance")</f>
        <v>Friendly staff! I just subscribed so I hope not to be disappointed and the prices are very competitive hence my interest in this insurance</v>
      </c>
    </row>
    <row r="542" ht="15.75" customHeight="1">
      <c r="A542" s="2">
        <v>4.0</v>
      </c>
      <c r="B542" s="2" t="s">
        <v>1599</v>
      </c>
      <c r="C542" s="2" t="s">
        <v>1600</v>
      </c>
      <c r="D542" s="2" t="s">
        <v>50</v>
      </c>
      <c r="E542" s="2" t="s">
        <v>14</v>
      </c>
      <c r="F542" s="2" t="s">
        <v>15</v>
      </c>
      <c r="G542" s="2" t="s">
        <v>205</v>
      </c>
      <c r="H542" s="2" t="s">
        <v>159</v>
      </c>
      <c r="I542" s="2" t="str">
        <f>IFERROR(__xludf.DUMMYFUNCTION("GOOGLETRANSLATE(C542,""fr"",""en"")"),"Very attentive staff and answers questions well. They take the time to put everything in order and make sure not to forget anything in relation to the insurance.")</f>
        <v>Very attentive staff and answers questions well. They take the time to put everything in order and make sure not to forget anything in relation to the insurance.</v>
      </c>
    </row>
    <row r="543" ht="15.75" customHeight="1">
      <c r="A543" s="2">
        <v>3.0</v>
      </c>
      <c r="B543" s="2" t="s">
        <v>1601</v>
      </c>
      <c r="C543" s="2" t="s">
        <v>1602</v>
      </c>
      <c r="D543" s="2" t="s">
        <v>30</v>
      </c>
      <c r="E543" s="2" t="s">
        <v>14</v>
      </c>
      <c r="F543" s="2" t="s">
        <v>15</v>
      </c>
      <c r="G543" s="2" t="s">
        <v>1603</v>
      </c>
      <c r="H543" s="2" t="s">
        <v>159</v>
      </c>
      <c r="I543" s="2" t="str">
        <f>IFERROR(__xludf.DUMMYFUNCTION("GOOGLETRANSLATE(C543,""fr"",""en"")"),"I am quite satisfied with this insurance not annoying and very responsive and practical, the small downside is in the event of suspension after the price changes!")</f>
        <v>I am quite satisfied with this insurance not annoying and very responsive and practical, the small downside is in the event of suspension after the price changes!</v>
      </c>
    </row>
    <row r="544" ht="15.75" customHeight="1">
      <c r="A544" s="2">
        <v>2.0</v>
      </c>
      <c r="B544" s="2" t="s">
        <v>1604</v>
      </c>
      <c r="C544" s="2" t="s">
        <v>1605</v>
      </c>
      <c r="D544" s="2" t="s">
        <v>329</v>
      </c>
      <c r="E544" s="2" t="s">
        <v>14</v>
      </c>
      <c r="F544" s="2" t="s">
        <v>15</v>
      </c>
      <c r="G544" s="2" t="s">
        <v>1606</v>
      </c>
      <c r="H544" s="2" t="s">
        <v>47</v>
      </c>
      <c r="I544" s="2" t="str">
        <f>IFERROR(__xludf.DUMMYFUNCTION("GOOGLETRANSLATE(C544,""fr"",""en"")"),"Insurance that rests too much on its laurels by thinking to be the best having very little consideration for its longtime customers. No communication between the services, one day we grant you a commercial flower that we hasten to cancel the next day.
Wh"&amp;"at more can be said? The result is so catastrophic that I have no words strong enough to reflect the disaster.
Cordially")</f>
        <v>Insurance that rests too much on its laurels by thinking to be the best having very little consideration for its longtime customers. No communication between the services, one day we grant you a commercial flower that we hasten to cancel the next day.
What more can be said? The result is so catastrophic that I have no words strong enough to reflect the disaster.
Cordially</v>
      </c>
    </row>
    <row r="545" ht="15.75" customHeight="1">
      <c r="A545" s="2">
        <v>5.0</v>
      </c>
      <c r="B545" s="2" t="s">
        <v>1607</v>
      </c>
      <c r="C545" s="2" t="s">
        <v>1608</v>
      </c>
      <c r="D545" s="2" t="s">
        <v>30</v>
      </c>
      <c r="E545" s="2" t="s">
        <v>14</v>
      </c>
      <c r="F545" s="2" t="s">
        <v>15</v>
      </c>
      <c r="G545" s="2" t="s">
        <v>1609</v>
      </c>
      <c r="H545" s="2" t="s">
        <v>52</v>
      </c>
      <c r="I545" s="2" t="str">
        <f>IFERROR(__xludf.DUMMYFUNCTION("GOOGLETRANSLATE(C545,""fr"",""en"")"),"I have all my insurance at home and I am very satisfied with your services, I do not hesitate to advise you on future, I hope for you, insured at home.")</f>
        <v>I have all my insurance at home and I am very satisfied with your services, I do not hesitate to advise you on future, I hope for you, insured at home.</v>
      </c>
    </row>
    <row r="546" ht="15.75" customHeight="1">
      <c r="A546" s="2">
        <v>2.0</v>
      </c>
      <c r="B546" s="2" t="s">
        <v>1610</v>
      </c>
      <c r="C546" s="2" t="s">
        <v>1611</v>
      </c>
      <c r="D546" s="2" t="s">
        <v>30</v>
      </c>
      <c r="E546" s="2" t="s">
        <v>14</v>
      </c>
      <c r="F546" s="2" t="s">
        <v>15</v>
      </c>
      <c r="G546" s="2" t="s">
        <v>498</v>
      </c>
      <c r="H546" s="2" t="s">
        <v>52</v>
      </c>
      <c r="I546" s="2" t="str">
        <f>IFERROR(__xludf.DUMMYFUNCTION("GOOGLETRANSLATE(C546,""fr"",""en"")"),"Really very disappointed with my return to Direct Insurance. This is the second time that I have a vehicle at Direct Insurance, and I was delighted with the service until recent days. Cause of negligence of teleoperator, Malpolis and accuser towards me. I"&amp;" sent a complaint to have an interview with a manager, no answer since. Being against I receive advertising every day. I am still waiting to be able to explain myself If that interests someone at home, otherwise I would terminate my contract and those of "&amp;"my knowledge.
")</f>
        <v>Really very disappointed with my return to Direct Insurance. This is the second time that I have a vehicle at Direct Insurance, and I was delighted with the service until recent days. Cause of negligence of teleoperator, Malpolis and accuser towards me. I sent a complaint to have an interview with a manager, no answer since. Being against I receive advertising every day. I am still waiting to be able to explain myself If that interests someone at home, otherwise I would terminate my contract and those of my knowledge.
</v>
      </c>
    </row>
    <row r="547" ht="15.75" customHeight="1">
      <c r="A547" s="2">
        <v>5.0</v>
      </c>
      <c r="B547" s="2" t="s">
        <v>1612</v>
      </c>
      <c r="C547" s="2" t="s">
        <v>1613</v>
      </c>
      <c r="D547" s="2" t="s">
        <v>481</v>
      </c>
      <c r="E547" s="2" t="s">
        <v>111</v>
      </c>
      <c r="F547" s="2" t="s">
        <v>15</v>
      </c>
      <c r="G547" s="2" t="s">
        <v>1614</v>
      </c>
      <c r="H547" s="2" t="s">
        <v>107</v>
      </c>
      <c r="I547" s="2" t="str">
        <f>IFERROR(__xludf.DUMMYFUNCTION("GOOGLETRANSLATE(C547,""fr"",""en"")"),"I am satisfied with customer service, I have never been disappointed because I have for several years, I recommend this insurance with my loved ones. .")</f>
        <v>I am satisfied with customer service, I have never been disappointed because I have for several years, I recommend this insurance with my loved ones. .</v>
      </c>
    </row>
    <row r="548" ht="15.75" customHeight="1">
      <c r="A548" s="2">
        <v>3.0</v>
      </c>
      <c r="B548" s="2" t="s">
        <v>1615</v>
      </c>
      <c r="C548" s="2" t="s">
        <v>1616</v>
      </c>
      <c r="D548" s="2" t="s">
        <v>145</v>
      </c>
      <c r="E548" s="2" t="s">
        <v>111</v>
      </c>
      <c r="F548" s="2" t="s">
        <v>15</v>
      </c>
      <c r="G548" s="2" t="s">
        <v>1617</v>
      </c>
      <c r="H548" s="2" t="s">
        <v>326</v>
      </c>
      <c r="I548" s="2" t="str">
        <f>IFERROR(__xludf.DUMMYFUNCTION("GOOGLETRANSLATE(C548,""fr"",""en"")"),"Fast service good understanding of needs
Discounts for multiple contracts")</f>
        <v>Fast service good understanding of needs
Discounts for multiple contracts</v>
      </c>
    </row>
    <row r="549" ht="15.75" customHeight="1">
      <c r="A549" s="2">
        <v>3.0</v>
      </c>
      <c r="B549" s="2" t="s">
        <v>1618</v>
      </c>
      <c r="C549" s="2" t="s">
        <v>1619</v>
      </c>
      <c r="D549" s="2" t="s">
        <v>134</v>
      </c>
      <c r="E549" s="2" t="s">
        <v>36</v>
      </c>
      <c r="F549" s="2" t="s">
        <v>15</v>
      </c>
      <c r="G549" s="2" t="s">
        <v>1620</v>
      </c>
      <c r="H549" s="2" t="s">
        <v>646</v>
      </c>
      <c r="I549" s="2" t="str">
        <f>IFERROR(__xludf.DUMMYFUNCTION("GOOGLETRANSLATE(C549,""fr"",""en"")"),"I have been a customer at Néoliane for 5 years, no concerns to declare, rapid reimbursements and services in line with the subscribed contract.")</f>
        <v>I have been a customer at Néoliane for 5 years, no concerns to declare, rapid reimbursements and services in line with the subscribed contract.</v>
      </c>
    </row>
    <row r="550" ht="15.75" customHeight="1">
      <c r="A550" s="2">
        <v>3.0</v>
      </c>
      <c r="B550" s="2" t="s">
        <v>1621</v>
      </c>
      <c r="C550" s="2" t="s">
        <v>1622</v>
      </c>
      <c r="D550" s="2" t="s">
        <v>30</v>
      </c>
      <c r="E550" s="2" t="s">
        <v>14</v>
      </c>
      <c r="F550" s="2" t="s">
        <v>15</v>
      </c>
      <c r="G550" s="2" t="s">
        <v>127</v>
      </c>
      <c r="H550" s="2" t="s">
        <v>64</v>
      </c>
      <c r="I550" s="2" t="str">
        <f>IFERROR(__xludf.DUMMYFUNCTION("GOOGLETRANSLATE(C550,""fr"",""en"")"),"Easy subscription, very good advisor contact, correct proposal ... This is the first time that I have been at Direct Insurance, so I hope that the procedures are always so simple")</f>
        <v>Easy subscription, very good advisor contact, correct proposal ... This is the first time that I have been at Direct Insurance, so I hope that the procedures are always so simple</v>
      </c>
    </row>
    <row r="551" ht="15.75" customHeight="1">
      <c r="A551" s="2">
        <v>1.0</v>
      </c>
      <c r="B551" s="2" t="s">
        <v>1623</v>
      </c>
      <c r="C551" s="2" t="s">
        <v>1624</v>
      </c>
      <c r="D551" s="2" t="s">
        <v>30</v>
      </c>
      <c r="E551" s="2" t="s">
        <v>14</v>
      </c>
      <c r="F551" s="2" t="s">
        <v>15</v>
      </c>
      <c r="G551" s="2" t="s">
        <v>722</v>
      </c>
      <c r="H551" s="2" t="s">
        <v>47</v>
      </c>
      <c r="I551" s="2" t="str">
        <f>IFERROR(__xludf.DUMMYFUNCTION("GOOGLETRANSLATE(C551,""fr"",""en"")"),"I contact to renegotiate my contract, I am hanging on the nose, obviously the speech is well learned. I have 4 insurance at home, I will go and see elsewhere if the grass is greener. We must wait until the deadline for the contract ...")</f>
        <v>I contact to renegotiate my contract, I am hanging on the nose, obviously the speech is well learned. I have 4 insurance at home, I will go and see elsewhere if the grass is greener. We must wait until the deadline for the contract ...</v>
      </c>
    </row>
    <row r="552" ht="15.75" customHeight="1">
      <c r="A552" s="2">
        <v>4.0</v>
      </c>
      <c r="B552" s="2" t="s">
        <v>1625</v>
      </c>
      <c r="C552" s="2" t="s">
        <v>1626</v>
      </c>
      <c r="D552" s="2" t="s">
        <v>30</v>
      </c>
      <c r="E552" s="2" t="s">
        <v>14</v>
      </c>
      <c r="F552" s="2" t="s">
        <v>15</v>
      </c>
      <c r="G552" s="2" t="s">
        <v>673</v>
      </c>
      <c r="H552" s="2" t="s">
        <v>107</v>
      </c>
      <c r="I552" s="2" t="str">
        <f>IFERROR(__xludf.DUMMYFUNCTION("GOOGLETRANSLATE(C552,""fr"",""en"")"),"Very happy with insurance and price level also I recommend your insurance direct insurance and you are very fast to ensure my car cordially Ms. Gibauts")</f>
        <v>Very happy with insurance and price level also I recommend your insurance direct insurance and you are very fast to ensure my car cordially Ms. Gibauts</v>
      </c>
    </row>
    <row r="553" ht="15.75" customHeight="1">
      <c r="A553" s="2">
        <v>4.0</v>
      </c>
      <c r="B553" s="2" t="s">
        <v>1627</v>
      </c>
      <c r="C553" s="2" t="s">
        <v>1628</v>
      </c>
      <c r="D553" s="2" t="s">
        <v>329</v>
      </c>
      <c r="E553" s="2" t="s">
        <v>14</v>
      </c>
      <c r="F553" s="2" t="s">
        <v>15</v>
      </c>
      <c r="G553" s="2" t="s">
        <v>1629</v>
      </c>
      <c r="H553" s="2" t="s">
        <v>298</v>
      </c>
      <c r="I553" s="2" t="str">
        <f>IFERROR(__xludf.DUMMYFUNCTION("GOOGLETRANSLATE(C553,""fr"",""en"")"),"25 years in this insurance for cars and also for housing. And since then can for a mutual
Has always normally assumed in claims without blocking or fuss and always has the advantage of its insured
Customer service always listening, takes the time and is"&amp;" pleasant and polite")</f>
        <v>25 years in this insurance for cars and also for housing. And since then can for a mutual
Has always normally assumed in claims without blocking or fuss and always has the advantage of its insured
Customer service always listening, takes the time and is pleasant and polite</v>
      </c>
    </row>
    <row r="554" ht="15.75" customHeight="1">
      <c r="A554" s="2">
        <v>1.0</v>
      </c>
      <c r="B554" s="2" t="s">
        <v>1630</v>
      </c>
      <c r="C554" s="2" t="s">
        <v>1631</v>
      </c>
      <c r="D554" s="2" t="s">
        <v>20</v>
      </c>
      <c r="E554" s="2" t="s">
        <v>14</v>
      </c>
      <c r="F554" s="2" t="s">
        <v>15</v>
      </c>
      <c r="G554" s="2" t="s">
        <v>1632</v>
      </c>
      <c r="H554" s="2" t="s">
        <v>249</v>
      </c>
      <c r="I554" s="2" t="str">
        <f>IFERROR(__xludf.DUMMYFUNCTION("GOOGLETRANSLATE(C554,""fr"",""en"")"),"Flee or never try to subscribe with Active Insurance.
Several problems.
I have taken out insurance with troubleshooting 0 km. Except that one day, I broke down on a Friday afternoon, so I contacted them and ensured that I had not taken out 0km insurance"&amp;". The joke, I was sure that I had this insurance and therefore asked me to check myself. What I did and as expected, I had this 0 km insurance.
I remind them (be careful, 80 cents per minute!) And tell me that they must check on their side but who is too"&amp;" late and that I have to wait on Monday, all that with my car in the street. They therefore asked me to advance the costs and if I actually had the assistance repair 0 km, they would reimburse me.
I find that unacceptable, so I send an email to have expl"&amp;"anations, I have never been answered, never excuses. But it doesn't stop there.
Given their total incompetence in insurance, customer services (also be careful, people who answer you on the phone are not located in France and sometimes express themselv"&amp;"es with approximate French), I asked for a termination according to the law Hamon because I am entitled to it. And there the problems begin. My termination is accepted and effective from June 24, 2019, I have already paid for the period from June 12, 2019"&amp;" to July 11, 2019, they must therefore reimburse me for 2 weeks of subscription. Not content with that, they also claim the subscription that goes from July 12 to August 11, 2019 by threatening me to lose the bonus I have with the new insurer or I don't k"&amp;"now. Even my new insurance is completely stunned by this story. I receive SMS and email that I am pretending to pay this subscription. I will never pay it with everything I endure with them. I specify that I never complain on the net but there they are so"&amp;" incompetent that I have to share my bad experience. They work with other insurers and changes your insurance during your contract, you are asked to sign a new contract with a new customer reference number, in short a border never seen before.")</f>
        <v>Flee or never try to subscribe with Active Insurance.
Several problems.
I have taken out insurance with troubleshooting 0 km. Except that one day, I broke down on a Friday afternoon, so I contacted them and ensured that I had not taken out 0km insurance. The joke, I was sure that I had this insurance and therefore asked me to check myself. What I did and as expected, I had this 0 km insurance.
I remind them (be careful, 80 cents per minute!) And tell me that they must check on their side but who is too late and that I have to wait on Monday, all that with my car in the street. They therefore asked me to advance the costs and if I actually had the assistance repair 0 km, they would reimburse me.
I find that unacceptable, so I send an email to have explanations, I have never been answered, never excuses. But it doesn't stop there.
Given their total incompetence in insurance, customer services (also be careful, people who answer you on the phone are not located in France and sometimes express themselves with approximate French), I asked for a termination according to the law Hamon because I am entitled to it. And there the problems begin. My termination is accepted and effective from June 24, 2019, I have already paid for the period from June 12, 2019 to July 11, 2019, they must therefore reimburse me for 2 weeks of subscription. Not content with that, they also claim the subscription that goes from July 12 to August 11, 2019 by threatening me to lose the bonus I have with the new insurer or I don't know. Even my new insurance is completely stunned by this story. I receive SMS and email that I am pretending to pay this subscription. I will never pay it with everything I endure with them. I specify that I never complain on the net but there they are so incompetent that I have to share my bad experience. They work with other insurers and changes your insurance during your contract, you are asked to sign a new contract with a new customer reference number, in short a border never seen before.</v>
      </c>
    </row>
    <row r="555" ht="15.75" customHeight="1">
      <c r="A555" s="2">
        <v>2.0</v>
      </c>
      <c r="B555" s="2" t="s">
        <v>1633</v>
      </c>
      <c r="C555" s="2" t="s">
        <v>1634</v>
      </c>
      <c r="D555" s="2" t="s">
        <v>481</v>
      </c>
      <c r="E555" s="2" t="s">
        <v>111</v>
      </c>
      <c r="F555" s="2" t="s">
        <v>15</v>
      </c>
      <c r="G555" s="2" t="s">
        <v>1635</v>
      </c>
      <c r="H555" s="2" t="s">
        <v>1196</v>
      </c>
      <c r="I555" s="2" t="str">
        <f>IFERROR(__xludf.DUMMYFUNCTION("GOOGLETRANSLATE(C555,""fr"",""en"")"),"Same as Charly, refund request made 2 times by email and telephone because they took me for the whole year when I had checked the monthly levy box. Deadline from 24 to 72 hours now it's been 15 days still not reimbursed! I recalled and they are unable to "&amp;"tell me when I will be reimbursed! Suddenly I have not yet sent the documents they ask me but it does not seem to stress them ... there are 15 days left and if I have no return, I cancel everything because I have very afraid that if it happens whatever it"&amp;" is likely to be complicated for the procedures .... JLP13")</f>
        <v>Same as Charly, refund request made 2 times by email and telephone because they took me for the whole year when I had checked the monthly levy box. Deadline from 24 to 72 hours now it's been 15 days still not reimbursed! I recalled and they are unable to tell me when I will be reimbursed! Suddenly I have not yet sent the documents they ask me but it does not seem to stress them ... there are 15 days left and if I have no return, I cancel everything because I have very afraid that if it happens whatever it is likely to be complicated for the procedures .... JLP13</v>
      </c>
    </row>
    <row r="556" ht="15.75" customHeight="1">
      <c r="A556" s="2">
        <v>1.0</v>
      </c>
      <c r="B556" s="2" t="s">
        <v>1636</v>
      </c>
      <c r="C556" s="2" t="s">
        <v>1637</v>
      </c>
      <c r="D556" s="2" t="s">
        <v>276</v>
      </c>
      <c r="E556" s="2" t="s">
        <v>90</v>
      </c>
      <c r="F556" s="2" t="s">
        <v>15</v>
      </c>
      <c r="G556" s="2" t="s">
        <v>682</v>
      </c>
      <c r="H556" s="2" t="s">
        <v>64</v>
      </c>
      <c r="I556" s="2" t="str">
        <f>IFERROR(__xludf.DUMMYFUNCTION("GOOGLETRANSLATE(C556,""fr"",""en"")"),"TO FLEE !!!!!!!!!!!!!!!!!
Insurance that treats its customers as less than nothing. Hold out requests. Asks for parts that are impossible to provide despite an email informing them. Is absolutely not serious. Forced to revive them systematically to have "&amp;"an answer. Current file for 2 months")</f>
        <v>TO FLEE !!!!!!!!!!!!!!!!!
Insurance that treats its customers as less than nothing. Hold out requests. Asks for parts that are impossible to provide despite an email informing them. Is absolutely not serious. Forced to revive them systematically to have an answer. Current file for 2 months</v>
      </c>
    </row>
    <row r="557" ht="15.75" customHeight="1">
      <c r="A557" s="2">
        <v>4.0</v>
      </c>
      <c r="B557" s="2" t="s">
        <v>1638</v>
      </c>
      <c r="C557" s="2" t="s">
        <v>1639</v>
      </c>
      <c r="D557" s="2" t="s">
        <v>296</v>
      </c>
      <c r="E557" s="2" t="s">
        <v>14</v>
      </c>
      <c r="F557" s="2" t="s">
        <v>15</v>
      </c>
      <c r="G557" s="2" t="s">
        <v>32</v>
      </c>
      <c r="H557" s="2" t="s">
        <v>32</v>
      </c>
      <c r="I557" s="2" t="str">
        <f>IFERROR(__xludf.DUMMYFUNCTION("GOOGLETRANSLATE(C557,""fr"",""en"")"),"I am satisfied by the GMF services
I am satisfied by the GMF services
I am satisfied by the GMF services
I am satisfied by the GMF services
")</f>
        <v>I am satisfied by the GMF services
I am satisfied by the GMF services
I am satisfied by the GMF services
I am satisfied by the GMF services
</v>
      </c>
    </row>
    <row r="558" ht="15.75" customHeight="1">
      <c r="A558" s="2">
        <v>3.0</v>
      </c>
      <c r="B558" s="2" t="s">
        <v>1640</v>
      </c>
      <c r="C558" s="2" t="s">
        <v>1641</v>
      </c>
      <c r="D558" s="2" t="s">
        <v>50</v>
      </c>
      <c r="E558" s="2" t="s">
        <v>14</v>
      </c>
      <c r="F558" s="2" t="s">
        <v>15</v>
      </c>
      <c r="G558" s="2" t="s">
        <v>907</v>
      </c>
      <c r="H558" s="2" t="s">
        <v>70</v>
      </c>
      <c r="I558" s="2" t="str">
        <f>IFERROR(__xludf.DUMMYFUNCTION("GOOGLETRANSLATE(C558,""fr"",""en"")"),"Fast membership, responsiveness for the processing of documents and the green card dispatched during the day.")</f>
        <v>Fast membership, responsiveness for the processing of documents and the green card dispatched during the day.</v>
      </c>
    </row>
    <row r="559" ht="15.75" customHeight="1">
      <c r="A559" s="2">
        <v>1.0</v>
      </c>
      <c r="B559" s="2" t="s">
        <v>1642</v>
      </c>
      <c r="C559" s="2" t="s">
        <v>1643</v>
      </c>
      <c r="D559" s="2" t="s">
        <v>247</v>
      </c>
      <c r="E559" s="2" t="s">
        <v>36</v>
      </c>
      <c r="F559" s="2" t="s">
        <v>15</v>
      </c>
      <c r="G559" s="2" t="s">
        <v>1644</v>
      </c>
      <c r="H559" s="2" t="s">
        <v>646</v>
      </c>
      <c r="I559" s="2" t="str">
        <f>IFERROR(__xludf.DUMMYFUNCTION("GOOGLETRANSLATE(C559,""fr"",""en"")"),"Impossible to reach them. Radiation made for me because new mutual, but they have forgotten to raft my 6 year old daughter that is attached to 2 mutuals currently.
Impossible to reach them but they send me the invoices to pay for my daughter.
I rela"&amp;"unched my old box to contact it because I do not arrive for any means.")</f>
        <v>Impossible to reach them. Radiation made for me because new mutual, but they have forgotten to raft my 6 year old daughter that is attached to 2 mutuals currently.
Impossible to reach them but they send me the invoices to pay for my daughter.
I relaunched my old box to contact it because I do not arrive for any means.</v>
      </c>
    </row>
    <row r="560" ht="15.75" customHeight="1">
      <c r="A560" s="2">
        <v>4.0</v>
      </c>
      <c r="B560" s="2" t="s">
        <v>1645</v>
      </c>
      <c r="C560" s="2" t="s">
        <v>1646</v>
      </c>
      <c r="D560" s="2" t="s">
        <v>30</v>
      </c>
      <c r="E560" s="2" t="s">
        <v>14</v>
      </c>
      <c r="F560" s="2" t="s">
        <v>15</v>
      </c>
      <c r="G560" s="2" t="s">
        <v>872</v>
      </c>
      <c r="H560" s="2" t="s">
        <v>38</v>
      </c>
      <c r="I560" s="2" t="str">
        <f>IFERROR(__xludf.DUMMYFUNCTION("GOOGLETRANSLATE(C560,""fr"",""en"")"),"Super satisfied university to make your quote on the site everything is well detailed bravo I recommend it to anyone more cases make the documents follow")</f>
        <v>Super satisfied university to make your quote on the site everything is well detailed bravo I recommend it to anyone more cases make the documents follow</v>
      </c>
    </row>
    <row r="561" ht="15.75" customHeight="1">
      <c r="A561" s="2">
        <v>5.0</v>
      </c>
      <c r="B561" s="2" t="s">
        <v>1647</v>
      </c>
      <c r="C561" s="2" t="s">
        <v>1648</v>
      </c>
      <c r="D561" s="2" t="s">
        <v>50</v>
      </c>
      <c r="E561" s="2" t="s">
        <v>14</v>
      </c>
      <c r="F561" s="2" t="s">
        <v>15</v>
      </c>
      <c r="G561" s="2" t="s">
        <v>1095</v>
      </c>
      <c r="H561" s="2" t="s">
        <v>38</v>
      </c>
      <c r="I561" s="2" t="str">
        <f>IFERROR(__xludf.DUMMYFUNCTION("GOOGLETRANSLATE(C561,""fr"",""en"")"),"Perfect, for speed of the quote and the contract offered and made of reception and price.
Ease of creating the customer account and its implementation.")</f>
        <v>Perfect, for speed of the quote and the contract offered and made of reception and price.
Ease of creating the customer account and its implementation.</v>
      </c>
    </row>
    <row r="562" ht="15.75" customHeight="1">
      <c r="A562" s="2">
        <v>5.0</v>
      </c>
      <c r="B562" s="2" t="s">
        <v>1649</v>
      </c>
      <c r="C562" s="2" t="s">
        <v>1650</v>
      </c>
      <c r="D562" s="2" t="s">
        <v>30</v>
      </c>
      <c r="E562" s="2" t="s">
        <v>14</v>
      </c>
      <c r="F562" s="2" t="s">
        <v>15</v>
      </c>
      <c r="G562" s="2" t="s">
        <v>181</v>
      </c>
      <c r="H562" s="2" t="s">
        <v>155</v>
      </c>
      <c r="I562" s="2" t="str">
        <f>IFERROR(__xludf.DUMMYFUNCTION("GOOGLETRANSLATE(C562,""fr"",""en"")"),"I am perfectly satisfied with the service because it is so simple to use and you can change the entry and then see the impact on the price of insurance directly. In addition the option of seeing it directly after entering data without the need to save the"&amp;" email is really a big positive point! Do not change anything, the service is perfect as it is!")</f>
        <v>I am perfectly satisfied with the service because it is so simple to use and you can change the entry and then see the impact on the price of insurance directly. In addition the option of seeing it directly after entering data without the need to save the email is really a big positive point! Do not change anything, the service is perfect as it is!</v>
      </c>
    </row>
    <row r="563" ht="15.75" customHeight="1">
      <c r="A563" s="2">
        <v>2.0</v>
      </c>
      <c r="B563" s="2" t="s">
        <v>1651</v>
      </c>
      <c r="C563" s="2" t="s">
        <v>1652</v>
      </c>
      <c r="D563" s="2" t="s">
        <v>50</v>
      </c>
      <c r="E563" s="2" t="s">
        <v>14</v>
      </c>
      <c r="F563" s="2" t="s">
        <v>15</v>
      </c>
      <c r="G563" s="2" t="s">
        <v>1653</v>
      </c>
      <c r="H563" s="2" t="s">
        <v>131</v>
      </c>
      <c r="I563" s="2" t="str">
        <f>IFERROR(__xludf.DUMMYFUNCTION("GOOGLETRANSLATE(C563,""fr"",""en"")"),"They are not late to take. To pay ... it's something else.
Following sinister on October 11, I make my declaration on 12 and I send all the requested documents the same day, via my customer area. The expert has passed during the week and my car is declar"&amp;"ed wreckage. I receive the transfer documents that I complete and refer by mail the same day. And now it drags. Whenever I call to find out where my file is, I am told that there is a step to validate, then that I will be reimbursed. And each call, a new "&amp;"step which I had not informed, with a new deadline.
For example, my last two calls: I called last Tuesday, I was told ""the transfer was seized, the money will arrive in your account"". As I still had nothing, I recalled today ""Yes, the transfer was sei"&amp;"zed last Tuesday. But it must be validated by the manager, and he is very busy so he has not yet had the Time, it takes 10 days to validate "". At each stage, a new step and a new delay.
4 weeks after the sale (October 20), still no reimbursement, and it"&amp;" will be necessary to wait a few days for validation, then bank deadlines.
Expertise: I changed my tires before in July. I rolled 2828 km between the change of tires and my accident. The expert assesses their wear at 30 %! I let you do your opinion.
"&amp;"
Another problem: I had my contract suspended, being without a car currently. Therefore, I no longer have access to my claim file on the customer area! So impossible to follow the progress. I informed my various interlocutors at the Olivier, their answer "&amp;"is ""it's weird"" and that's it. No one cares about having the bug adjusted.
Another point: there is no complaint service. Any note must be sent by registered mail with acknowledgment of receipt to the quality service, there is no other way to reach th"&amp;"em.")</f>
        <v>They are not late to take. To pay ... it's something else.
Following sinister on October 11, I make my declaration on 12 and I send all the requested documents the same day, via my customer area. The expert has passed during the week and my car is declared wreckage. I receive the transfer documents that I complete and refer by mail the same day. And now it drags. Whenever I call to find out where my file is, I am told that there is a step to validate, then that I will be reimbursed. And each call, a new step which I had not informed, with a new deadline.
For example, my last two calls: I called last Tuesday, I was told "the transfer was seized, the money will arrive in your account". As I still had nothing, I recalled today "Yes, the transfer was seized last Tuesday. But it must be validated by the manager, and he is very busy so he has not yet had the Time, it takes 10 days to validate ". At each stage, a new step and a new delay.
4 weeks after the sale (October 20), still no reimbursement, and it will be necessary to wait a few days for validation, then bank deadlines.
Expertise: I changed my tires before in July. I rolled 2828 km between the change of tires and my accident. The expert assesses their wear at 30 %! I let you do your opinion.
Another problem: I had my contract suspended, being without a car currently. Therefore, I no longer have access to my claim file on the customer area! So impossible to follow the progress. I informed my various interlocutors at the Olivier, their answer is "it's weird" and that's it. No one cares about having the bug adjusted.
Another point: there is no complaint service. Any note must be sent by registered mail with acknowledgment of receipt to the quality service, there is no other way to reach them.</v>
      </c>
    </row>
    <row r="564" ht="15.75" customHeight="1">
      <c r="A564" s="2">
        <v>1.0</v>
      </c>
      <c r="B564" s="2" t="s">
        <v>1654</v>
      </c>
      <c r="C564" s="2" t="s">
        <v>1655</v>
      </c>
      <c r="D564" s="2" t="s">
        <v>50</v>
      </c>
      <c r="E564" s="2" t="s">
        <v>14</v>
      </c>
      <c r="F564" s="2" t="s">
        <v>15</v>
      </c>
      <c r="G564" s="2" t="s">
        <v>1656</v>
      </c>
      <c r="H564" s="2" t="s">
        <v>32</v>
      </c>
      <c r="I564" s="2" t="str">
        <f>IFERROR(__xludf.DUMMYFUNCTION("GOOGLETRANSLATE(C564,""fr"",""en"")"),"Completely unnecessary and costly intervention: for an act of vandalism, I get it with € 620 costs including € 205 deductible for a repair which cost € 322 !!! After 15 days of ping pong with the insurer, assistance, repair service, I especially paid dysf"&amp;"unctions and communication errors more huge than the others. We thought quickly and they are there to take, that's for sure. But in the event of a problem: zero support, meaning of zero customer service, zero service. The staff tell you everything and its"&amp;" opposite, promises you things that never happen ... to flee. Rather call a friend.")</f>
        <v>Completely unnecessary and costly intervention: for an act of vandalism, I get it with € 620 costs including € 205 deductible for a repair which cost € 322 !!! After 15 days of ping pong with the insurer, assistance, repair service, I especially paid dysfunctions and communication errors more huge than the others. We thought quickly and they are there to take, that's for sure. But in the event of a problem: zero support, meaning of zero customer service, zero service. The staff tell you everything and its opposite, promises you things that never happen ... to flee. Rather call a friend.</v>
      </c>
    </row>
    <row r="565" ht="15.75" customHeight="1">
      <c r="A565" s="2">
        <v>3.0</v>
      </c>
      <c r="B565" s="2" t="s">
        <v>1657</v>
      </c>
      <c r="C565" s="2" t="s">
        <v>1658</v>
      </c>
      <c r="D565" s="2" t="s">
        <v>30</v>
      </c>
      <c r="E565" s="2" t="s">
        <v>14</v>
      </c>
      <c r="F565" s="2" t="s">
        <v>15</v>
      </c>
      <c r="G565" s="2" t="s">
        <v>1659</v>
      </c>
      <c r="H565" s="2" t="s">
        <v>32</v>
      </c>
      <c r="I565" s="2" t="str">
        <f>IFERROR(__xludf.DUMMYFUNCTION("GOOGLETRANSLATE(C565,""fr"",""en"")"),"The prices are a little more dear than competition and above all it increases every year. And so it's not terrible to increase prices when the cost of life decreases.")</f>
        <v>The prices are a little more dear than competition and above all it increases every year. And so it's not terrible to increase prices when the cost of life decreases.</v>
      </c>
    </row>
    <row r="566" ht="15.75" customHeight="1">
      <c r="A566" s="2">
        <v>2.0</v>
      </c>
      <c r="B566" s="2" t="s">
        <v>1660</v>
      </c>
      <c r="C566" s="2" t="s">
        <v>1661</v>
      </c>
      <c r="D566" s="2" t="s">
        <v>30</v>
      </c>
      <c r="E566" s="2" t="s">
        <v>14</v>
      </c>
      <c r="F566" s="2" t="s">
        <v>15</v>
      </c>
      <c r="G566" s="2" t="s">
        <v>1662</v>
      </c>
      <c r="H566" s="2" t="s">
        <v>107</v>
      </c>
      <c r="I566" s="2" t="str">
        <f>IFERROR(__xludf.DUMMYFUNCTION("GOOGLETRANSLATE(C566,""fr"",""en"")"),"Yes a little fed up to call them every year to lower the note,
On the phone they are limited enough, a tone that I do not like for some advisor for whom we wonder what their problem is, we feel that they recite a L and the famous ""I ask my manager"" or "&amp;"they leave to have a coffee And come back 10 minutes later with ""we can't do much""
This is the highlight of the show :-)
No great discount, well I am still for the moment but plans to leave them at the next deadline")</f>
        <v>Yes a little fed up to call them every year to lower the note,
On the phone they are limited enough, a tone that I do not like for some advisor for whom we wonder what their problem is, we feel that they recite a L and the famous "I ask my manager" or they leave to have a coffee And come back 10 minutes later with "we can't do much"
This is the highlight of the show :-)
No great discount, well I am still for the moment but plans to leave them at the next deadline</v>
      </c>
    </row>
    <row r="567" ht="15.75" customHeight="1">
      <c r="A567" s="2">
        <v>1.0</v>
      </c>
      <c r="B567" s="2" t="s">
        <v>1663</v>
      </c>
      <c r="C567" s="2" t="s">
        <v>1664</v>
      </c>
      <c r="D567" s="2" t="s">
        <v>292</v>
      </c>
      <c r="E567" s="2" t="s">
        <v>14</v>
      </c>
      <c r="F567" s="2" t="s">
        <v>15</v>
      </c>
      <c r="G567" s="2" t="s">
        <v>1100</v>
      </c>
      <c r="H567" s="2" t="s">
        <v>159</v>
      </c>
      <c r="I567" s="2" t="str">
        <f>IFERROR(__xludf.DUMMYFUNCTION("GOOGLETRANSLATE(C567,""fr"",""en"")"),"I am a Matmut client and their work is not happy - because the accident occurred 28.01.2021 No fault (the enemy struck me from behind) all the documents issued and submitted to the office During the time, the exam was carried out. 02/01/2021 Repenndant of"&amp;" insurance 50/50. I don't agree with that. It took 3 months and there is no action on their part.
 I do not see the professional work of society and an indifferent attitude towards customers. Consequently, I received in terms of insurance in the company "&amp;"MATMUT 980001473154U - PROLEMS, past time, a beaten car and a payment of 1,300.00 - just for the fact that I broke the car.
")</f>
        <v>I am a Matmut client and their work is not happy - because the accident occurred 28.01.2021 No fault (the enemy struck me from behind) all the documents issued and submitted to the office During the time, the exam was carried out. 02/01/2021 Repenndant of insurance 50/50. I don't agree with that. It took 3 months and there is no action on their part.
 I do not see the professional work of society and an indifferent attitude towards customers. Consequently, I received in terms of insurance in the company MATMUT 980001473154U - PROLEMS, past time, a beaten car and a payment of 1,300.00 - just for the fact that I broke the car.
</v>
      </c>
    </row>
    <row r="568" ht="15.75" customHeight="1">
      <c r="A568" s="2">
        <v>4.0</v>
      </c>
      <c r="B568" s="2" t="s">
        <v>1665</v>
      </c>
      <c r="C568" s="2" t="s">
        <v>1666</v>
      </c>
      <c r="D568" s="2" t="s">
        <v>35</v>
      </c>
      <c r="E568" s="2" t="s">
        <v>36</v>
      </c>
      <c r="F568" s="2" t="s">
        <v>15</v>
      </c>
      <c r="G568" s="2" t="s">
        <v>1667</v>
      </c>
      <c r="H568" s="2" t="s">
        <v>43</v>
      </c>
      <c r="I568" s="2" t="str">
        <f>IFERROR(__xludf.DUMMYFUNCTION("GOOGLETRANSLATE(C568,""fr"",""en"")"),"I found better guarantees for cheaper, the advisers take care of the termination of my contract.
I had all the answers to my questions.")</f>
        <v>I found better guarantees for cheaper, the advisers take care of the termination of my contract.
I had all the answers to my questions.</v>
      </c>
    </row>
    <row r="569" ht="15.75" customHeight="1">
      <c r="A569" s="2">
        <v>5.0</v>
      </c>
      <c r="B569" s="2" t="s">
        <v>1668</v>
      </c>
      <c r="C569" s="2" t="s">
        <v>1669</v>
      </c>
      <c r="D569" s="2" t="s">
        <v>50</v>
      </c>
      <c r="E569" s="2" t="s">
        <v>14</v>
      </c>
      <c r="F569" s="2" t="s">
        <v>15</v>
      </c>
      <c r="G569" s="2" t="s">
        <v>127</v>
      </c>
      <c r="H569" s="2" t="s">
        <v>64</v>
      </c>
      <c r="I569" s="2" t="str">
        <f>IFERROR(__xludf.DUMMYFUNCTION("GOOGLETRANSLATE(C569,""fr"",""en"")"),"Very happy with the price but also very easy and quick subscription. In traditional agencies, I would certainly have spent my afternoon doing the steps.")</f>
        <v>Very happy with the price but also very easy and quick subscription. In traditional agencies, I would certainly have spent my afternoon doing the steps.</v>
      </c>
    </row>
    <row r="570" ht="15.75" customHeight="1">
      <c r="A570" s="2">
        <v>2.0</v>
      </c>
      <c r="B570" s="2" t="s">
        <v>1670</v>
      </c>
      <c r="C570" s="2" t="s">
        <v>1671</v>
      </c>
      <c r="D570" s="2" t="s">
        <v>25</v>
      </c>
      <c r="E570" s="2" t="s">
        <v>14</v>
      </c>
      <c r="F570" s="2" t="s">
        <v>15</v>
      </c>
      <c r="G570" s="2" t="s">
        <v>202</v>
      </c>
      <c r="H570" s="2" t="s">
        <v>47</v>
      </c>
      <c r="I570" s="2" t="str">
        <f>IFERROR(__xludf.DUMMYFUNCTION("GOOGLETRANSLATE(C570,""fr"",""en"")"),"Insured at Axa for 5 years, I was delighted with my insurance until the moment when I had a first responsible accident (pedal of the gas remained blocked) big fright but fortunately I had the reflex to embrace and So pound nothing serious a bumper to repl"&amp;"ace in short!
I made contact with my insurance to return my observation, at the same time I informed Axa that I was eager to pay the repair of my pocket to avoid the increase in the penalty, AXA gave my agreement but that they were still waiting for the "&amp;"observation of the opposing party but that once received they would contact me to inform me the amount of the repair.
2 years (and 3 vehicle changes so 3 maj from my file) passed without new I thought of fraud of the opposing part which would have had "&amp;"an abandonment as a result (on a side fortunately for me)
A few months ago I make a request for another vehicle I realize that the penalty has increased, so I contact the insurance in order to see what it is, I am told then that normal that I I had an ac"&amp;"cident in 2018!
I then explain it to the fact that my bonus did not move during all this time and that in addition to that I had declared paid the costs, I still did not have an answer concerning the time that has put, and go so far as to deny the fact"&amp;" that I had the authorization to pay the costs of my pocket.
Despite the evidence of this no way to be able to defend myself except to take legal action.
So I strongly advise against this company!")</f>
        <v>Insured at Axa for 5 years, I was delighted with my insurance until the moment when I had a first responsible accident (pedal of the gas remained blocked) big fright but fortunately I had the reflex to embrace and So pound nothing serious a bumper to replace in short!
I made contact with my insurance to return my observation, at the same time I informed Axa that I was eager to pay the repair of my pocket to avoid the increase in the penalty, AXA gave my agreement but that they were still waiting for the observation of the opposing party but that once received they would contact me to inform me the amount of the repair.
2 years (and 3 vehicle changes so 3 maj from my file) passed without new I thought of fraud of the opposing part which would have had an abandonment as a result (on a side fortunately for me)
A few months ago I make a request for another vehicle I realize that the penalty has increased, so I contact the insurance in order to see what it is, I am told then that normal that I I had an accident in 2018!
I then explain it to the fact that my bonus did not move during all this time and that in addition to that I had declared paid the costs, I still did not have an answer concerning the time that has put, and go so far as to deny the fact that I had the authorization to pay the costs of my pocket.
Despite the evidence of this no way to be able to defend myself except to take legal action.
So I strongly advise against this company!</v>
      </c>
    </row>
    <row r="571" ht="15.75" customHeight="1">
      <c r="A571" s="2">
        <v>4.0</v>
      </c>
      <c r="B571" s="2" t="s">
        <v>1672</v>
      </c>
      <c r="C571" s="2" t="s">
        <v>1673</v>
      </c>
      <c r="D571" s="2" t="s">
        <v>134</v>
      </c>
      <c r="E571" s="2" t="s">
        <v>36</v>
      </c>
      <c r="F571" s="2" t="s">
        <v>15</v>
      </c>
      <c r="G571" s="2" t="s">
        <v>1674</v>
      </c>
      <c r="H571" s="2" t="s">
        <v>70</v>
      </c>
      <c r="I571" s="2" t="str">
        <f>IFERROR(__xludf.DUMMYFUNCTION("GOOGLETRANSLATE(C571,""fr"",""en"")"),"Very good contact with the reasonable price advisor pleasant reception with very kind patient and explains very well")</f>
        <v>Very good contact with the reasonable price advisor pleasant reception with very kind patient and explains very well</v>
      </c>
    </row>
    <row r="572" ht="15.75" customHeight="1">
      <c r="A572" s="2">
        <v>1.0</v>
      </c>
      <c r="B572" s="2" t="s">
        <v>1675</v>
      </c>
      <c r="C572" s="2" t="s">
        <v>1676</v>
      </c>
      <c r="D572" s="2" t="s">
        <v>67</v>
      </c>
      <c r="E572" s="2" t="s">
        <v>68</v>
      </c>
      <c r="F572" s="2" t="s">
        <v>15</v>
      </c>
      <c r="G572" s="2" t="s">
        <v>944</v>
      </c>
      <c r="H572" s="2" t="s">
        <v>945</v>
      </c>
      <c r="I572" s="2" t="str">
        <f>IFERROR(__xludf.DUMMYFUNCTION("GOOGLETRANSLATE(C572,""fr"",""en"")"),"Very bad communication - damage reported more than two weeks later a letter from the insurance company, for the expert -
The emails do not receive an answer. The objection against expertise is ignored. Too high deductions for valuables, due to the age - "&amp;"single parts - an increasing value with the old")</f>
        <v>Very bad communication - damage reported more than two weeks later a letter from the insurance company, for the expert -
The emails do not receive an answer. The objection against expertise is ignored. Too high deductions for valuables, due to the age - single parts - an increasing value with the old</v>
      </c>
    </row>
    <row r="573" ht="15.75" customHeight="1">
      <c r="A573" s="2">
        <v>1.0</v>
      </c>
      <c r="B573" s="2" t="s">
        <v>1677</v>
      </c>
      <c r="C573" s="2" t="s">
        <v>1678</v>
      </c>
      <c r="D573" s="2" t="s">
        <v>180</v>
      </c>
      <c r="E573" s="2" t="s">
        <v>14</v>
      </c>
      <c r="F573" s="2" t="s">
        <v>15</v>
      </c>
      <c r="G573" s="2" t="s">
        <v>1679</v>
      </c>
      <c r="H573" s="2" t="s">
        <v>270</v>
      </c>
      <c r="I573" s="2" t="str">
        <f>IFERROR(__xludf.DUMMYFUNCTION("GOOGLETRANSLATE(C573,""fr"",""en"")"),"Do not honor their quote, change the price by phone without agreement, 200 more on a snap of the fingers, 2/2 unpleasant telephonic advisers who do not answer your questions")</f>
        <v>Do not honor their quote, change the price by phone without agreement, 200 more on a snap of the fingers, 2/2 unpleasant telephonic advisers who do not answer your questions</v>
      </c>
    </row>
    <row r="574" ht="15.75" customHeight="1">
      <c r="A574" s="2">
        <v>2.0</v>
      </c>
      <c r="B574" s="2" t="s">
        <v>1680</v>
      </c>
      <c r="C574" s="2" t="s">
        <v>1681</v>
      </c>
      <c r="D574" s="2" t="s">
        <v>436</v>
      </c>
      <c r="E574" s="2" t="s">
        <v>36</v>
      </c>
      <c r="F574" s="2" t="s">
        <v>15</v>
      </c>
      <c r="G574" s="2" t="s">
        <v>580</v>
      </c>
      <c r="H574" s="2" t="s">
        <v>38</v>
      </c>
      <c r="I574" s="2" t="str">
        <f>IFERROR(__xludf.DUMMYFUNCTION("GOOGLETRANSLATE(C574,""fr"",""en"")"),"To flee !!
I have only been there since the end of May, and already my reimbursements have nothing to do with what I had been shown before my membership.
In only 2 reimbursements (thermal treatment + orthopedic soles), I lost € 242 compared to what I wo"&amp;"uld have had with my previous mutual!
I did not want to believe in the 95 % negative opinion online, but unfortunately, if, I now understand that I made a big mistake to join this mutual!
Very very disappointed, especially if I have to stay for 1 year f"&amp;"or this mutual which I am not satisfied at all! Flee, do not adhere. (and I specify that I have the highest option !!)")</f>
        <v>To flee !!
I have only been there since the end of May, and already my reimbursements have nothing to do with what I had been shown before my membership.
In only 2 reimbursements (thermal treatment + orthopedic soles), I lost € 242 compared to what I would have had with my previous mutual!
I did not want to believe in the 95 % negative opinion online, but unfortunately, if, I now understand that I made a big mistake to join this mutual!
Very very disappointed, especially if I have to stay for 1 year for this mutual which I am not satisfied at all! Flee, do not adhere. (and I specify that I have the highest option !!)</v>
      </c>
    </row>
    <row r="575" ht="15.75" customHeight="1">
      <c r="A575" s="2">
        <v>4.0</v>
      </c>
      <c r="B575" s="2" t="s">
        <v>1682</v>
      </c>
      <c r="C575" s="2" t="s">
        <v>1683</v>
      </c>
      <c r="D575" s="2" t="s">
        <v>50</v>
      </c>
      <c r="E575" s="2" t="s">
        <v>14</v>
      </c>
      <c r="F575" s="2" t="s">
        <v>15</v>
      </c>
      <c r="G575" s="2" t="s">
        <v>138</v>
      </c>
      <c r="H575" s="2" t="s">
        <v>64</v>
      </c>
      <c r="I575" s="2" t="str">
        <f>IFERROR(__xludf.DUMMYFUNCTION("GOOGLETRANSLATE(C575,""fr"",""en"")"),"I am satisfied with the services and the price displayed I had a problem with my contract and they all put in place to help me great team available to us")</f>
        <v>I am satisfied with the services and the price displayed I had a problem with my contract and they all put in place to help me great team available to us</v>
      </c>
    </row>
    <row r="576" ht="15.75" customHeight="1">
      <c r="A576" s="2">
        <v>1.0</v>
      </c>
      <c r="B576" s="2" t="s">
        <v>1684</v>
      </c>
      <c r="C576" s="2" t="s">
        <v>1685</v>
      </c>
      <c r="D576" s="2" t="s">
        <v>134</v>
      </c>
      <c r="E576" s="2" t="s">
        <v>36</v>
      </c>
      <c r="F576" s="2" t="s">
        <v>15</v>
      </c>
      <c r="G576" s="2" t="s">
        <v>378</v>
      </c>
      <c r="H576" s="2" t="s">
        <v>378</v>
      </c>
      <c r="I576" s="2" t="str">
        <f>IFERROR(__xludf.DUMMYFUNCTION("GOOGLETRANSLATE(C576,""fr"",""en"")"),"Hello everyone, if I can help you do not take a contract with this insurer, we have been there for several years and we have seen that it is very difficult to be reimbursed for the sums that exceed 200 euros. They owe us 1000 euros of reimbursement for or"&amp;"thodontics and I fear that unfortunately we would not recover them. Why did we stay? By negligence ...")</f>
        <v>Hello everyone, if I can help you do not take a contract with this insurer, we have been there for several years and we have seen that it is very difficult to be reimbursed for the sums that exceed 200 euros. They owe us 1000 euros of reimbursement for orthodontics and I fear that unfortunately we would not recover them. Why did we stay? By negligence ...</v>
      </c>
    </row>
    <row r="577" ht="15.75" customHeight="1">
      <c r="A577" s="2">
        <v>1.0</v>
      </c>
      <c r="B577" s="2" t="s">
        <v>1686</v>
      </c>
      <c r="C577" s="2" t="s">
        <v>1687</v>
      </c>
      <c r="D577" s="2" t="s">
        <v>67</v>
      </c>
      <c r="E577" s="2" t="s">
        <v>80</v>
      </c>
      <c r="F577" s="2" t="s">
        <v>15</v>
      </c>
      <c r="G577" s="2" t="s">
        <v>1688</v>
      </c>
      <c r="H577" s="2" t="s">
        <v>352</v>
      </c>
      <c r="I577" s="2" t="str">
        <f>IFERROR(__xludf.DUMMYFUNCTION("GOOGLETRANSLATE(C577,""fr"",""en"")"),"Request for assumption of my insurance on loan since 05/13, result on 07/22 a letter that is not sent to me and no other news. Tel Service claim 2 x 31 minutes and that hangs up. Then 4 different numbers for a complaint, it is never the right service.
")</f>
        <v>Request for assumption of my insurance on loan since 05/13, result on 07/22 a letter that is not sent to me and no other news. Tel Service claim 2 x 31 minutes and that hangs up. Then 4 different numbers for a complaint, it is never the right service.
</v>
      </c>
    </row>
    <row r="578" ht="15.75" customHeight="1">
      <c r="A578" s="2">
        <v>4.0</v>
      </c>
      <c r="B578" s="2" t="s">
        <v>1689</v>
      </c>
      <c r="C578" s="2" t="s">
        <v>1690</v>
      </c>
      <c r="D578" s="2" t="s">
        <v>30</v>
      </c>
      <c r="E578" s="2" t="s">
        <v>14</v>
      </c>
      <c r="F578" s="2" t="s">
        <v>15</v>
      </c>
      <c r="G578" s="2" t="s">
        <v>673</v>
      </c>
      <c r="H578" s="2" t="s">
        <v>107</v>
      </c>
      <c r="I578" s="2" t="str">
        <f>IFERROR(__xludf.DUMMYFUNCTION("GOOGLETRANSLATE(C578,""fr"",""en"")"),"I am very satisfied with the proposed price. The approach is simple and practical.
The site is clear and it is very easy to access, accessible to everyone!
")</f>
        <v>I am very satisfied with the proposed price. The approach is simple and practical.
The site is clear and it is very easy to access, accessible to everyone!
</v>
      </c>
    </row>
    <row r="579" ht="15.75" customHeight="1">
      <c r="A579" s="2">
        <v>2.0</v>
      </c>
      <c r="B579" s="2" t="s">
        <v>1691</v>
      </c>
      <c r="C579" s="2" t="s">
        <v>1692</v>
      </c>
      <c r="D579" s="2" t="s">
        <v>141</v>
      </c>
      <c r="E579" s="2" t="s">
        <v>68</v>
      </c>
      <c r="F579" s="2" t="s">
        <v>15</v>
      </c>
      <c r="G579" s="2" t="s">
        <v>1693</v>
      </c>
      <c r="H579" s="2" t="s">
        <v>630</v>
      </c>
      <c r="I579" s="2" t="str">
        <f>IFERROR(__xludf.DUMMYFUNCTION("GOOGLETRANSLATE(C579,""fr"",""en"")"),"Following a burglary, in addition to the difficulties in establishing the repayment request file due to particularly heterogeneous or even contradictory instructions, it was shabby compared to the damage suffered. Total contradiction between the mutual st"&amp;"ate of mind, based on the human (""we, to the maif ..."") and the realities. We also have the impression that people contacted through a telephone platform are particularly disconnected from reality, particularly in the case of burglary, with break -in, g"&amp;"endarmerie observation.")</f>
        <v>Following a burglary, in addition to the difficulties in establishing the repayment request file due to particularly heterogeneous or even contradictory instructions, it was shabby compared to the damage suffered. Total contradiction between the mutual state of mind, based on the human ("we, to the maif ...") and the realities. We also have the impression that people contacted through a telephone platform are particularly disconnected from reality, particularly in the case of burglary, with break -in, gendarmerie observation.</v>
      </c>
    </row>
    <row r="580" ht="15.75" customHeight="1">
      <c r="A580" s="2">
        <v>1.0</v>
      </c>
      <c r="B580" s="2" t="s">
        <v>1694</v>
      </c>
      <c r="C580" s="2" t="s">
        <v>1695</v>
      </c>
      <c r="D580" s="2" t="s">
        <v>134</v>
      </c>
      <c r="E580" s="2" t="s">
        <v>36</v>
      </c>
      <c r="F580" s="2" t="s">
        <v>15</v>
      </c>
      <c r="G580" s="2" t="s">
        <v>1196</v>
      </c>
      <c r="H580" s="2" t="s">
        <v>1196</v>
      </c>
      <c r="I580" s="2" t="str">
        <f>IFERROR(__xludf.DUMMYFUNCTION("GOOGLETRANSLATE(C580,""fr"",""en"")"),"Very unhappy with Neoliane! I get abused by phone because vulnerable !!! After three recommended to terminate and prohibit that I no answer. On the other hand, one more contract was even imposed on me. I plan to initiate procedures with competent organiza"&amp;"tions and consumer associations.")</f>
        <v>Very unhappy with Neoliane! I get abused by phone because vulnerable !!! After three recommended to terminate and prohibit that I no answer. On the other hand, one more contract was even imposed on me. I plan to initiate procedures with competent organizations and consumer associations.</v>
      </c>
    </row>
    <row r="581" ht="15.75" customHeight="1">
      <c r="A581" s="2">
        <v>2.0</v>
      </c>
      <c r="B581" s="2" t="s">
        <v>1696</v>
      </c>
      <c r="C581" s="2" t="s">
        <v>1697</v>
      </c>
      <c r="D581" s="2" t="s">
        <v>329</v>
      </c>
      <c r="E581" s="2" t="s">
        <v>90</v>
      </c>
      <c r="F581" s="2" t="s">
        <v>15</v>
      </c>
      <c r="G581" s="2" t="s">
        <v>1698</v>
      </c>
      <c r="H581" s="2" t="s">
        <v>249</v>
      </c>
      <c r="I581" s="2" t="str">
        <f>IFERROR(__xludf.DUMMYFUNCTION("GOOGLETRANSLATE(C581,""fr"",""en"")"),"Annuity which begins from 50/100 of disabilities.")</f>
        <v>Annuity which begins from 50/100 of disabilities.</v>
      </c>
    </row>
    <row r="582" ht="15.75" customHeight="1">
      <c r="A582" s="2">
        <v>2.0</v>
      </c>
      <c r="B582" s="2" t="s">
        <v>1699</v>
      </c>
      <c r="C582" s="2" t="s">
        <v>1700</v>
      </c>
      <c r="D582" s="2" t="s">
        <v>30</v>
      </c>
      <c r="E582" s="2" t="s">
        <v>14</v>
      </c>
      <c r="F582" s="2" t="s">
        <v>15</v>
      </c>
      <c r="G582" s="2" t="s">
        <v>1592</v>
      </c>
      <c r="H582" s="2" t="s">
        <v>124</v>
      </c>
      <c r="I582" s="2" t="str">
        <f>IFERROR(__xludf.DUMMYFUNCTION("GOOGLETRANSLATE(C582,""fr"",""en"")"),"Insured at Direct Assurances for Housing and Auto, I see myself facing a deplorable and unimportant customer service.
After ensuring my accommodation with them for 1 year, I send them a letter of termination with AR then to my surprise, he sends me an em"&amp;"ail a few days later to report to me that the mail was not signed ... false Because document signed by signature scanned numerically, but in short ... I contact them, I have on the phone, a man (or a robot with a strong accent), perfectly reciting his les"&amp;"son, not very understanding, not very human and who does not want Nothing to know.
I therefore return a letter with handwritten signature this time. Then again a return of the company, this time stipulating me that they cannot terminate because in the ma"&amp;"il itself there was not the contract number. I only stipulated it in the object ...
I decide to recall and my great happiness, a very friendly lady stipulates that I did not even need to return a letter and that the first was good and that the signature "&amp;"was indeed validated ... Thank you To this little competent gentleman (or incompetent I hesitate) to have made me waste my time and my money.
Then comes the termination of my vehicle for sale (to a professional). Simply, I reiterate my termination, AR "&amp;"letter, attached documents, I learned well on the address of sending upstream.
Then ... Back to the company by email (you doubt it) because ""the reason for termination indicated is not provided in the general conditions of your contract"" but they stipu"&amp;"late me further in the same email: ""You are 'Have more cars? In this case, we can suspend or terminate your contract. You just need to confirm it by registered mail, signed by the subscriber ""... Okay, I tell myself that it is a joke ... I call once, I "&amp;"am made to wait 15 min then their phone cuts ... I renew and this time I recognize a voice of my famous ""robot with a strong accent"" and I tell myself that it will be long . Finality, request for additional documents.
I inquire and the document he asks"&amp;" me is only valid for a sale from individuals, which is not my case since the vehicle was sold to a concession ... after having spent almost 45 'and 1 mail with AR, the vehicle is terminated, do not recognize their twists, no apology ...
Moral of the s"&amp;"tory, if you want to eat well, you pay more in a star restaurant. ;)")</f>
        <v>Insured at Direct Assurances for Housing and Auto, I see myself facing a deplorable and unimportant customer service.
After ensuring my accommodation with them for 1 year, I send them a letter of termination with AR then to my surprise, he sends me an email a few days later to report to me that the mail was not signed ... false Because document signed by signature scanned numerically, but in short ... I contact them, I have on the phone, a man (or a robot with a strong accent), perfectly reciting his lesson, not very understanding, not very human and who does not want Nothing to know.
I therefore return a letter with handwritten signature this time. Then again a return of the company, this time stipulating me that they cannot terminate because in the mail itself there was not the contract number. I only stipulated it in the object ...
I decide to recall and my great happiness, a very friendly lady stipulates that I did not even need to return a letter and that the first was good and that the signature was indeed validated ... Thank you To this little competent gentleman (or incompetent I hesitate) to have made me waste my time and my money.
Then comes the termination of my vehicle for sale (to a professional). Simply, I reiterate my termination, AR letter, attached documents, I learned well on the address of sending upstream.
Then ... Back to the company by email (you doubt it) because "the reason for termination indicated is not provided in the general conditions of your contract" but they stipulate me further in the same email: "You are 'Have more cars? In this case, we can suspend or terminate your contract. You just need to confirm it by registered mail, signed by the subscriber "... Okay, I tell myself that it is a joke ... I call once, I am made to wait 15 min then their phone cuts ... I renew and this time I recognize a voice of my famous "robot with a strong accent" and I tell myself that it will be long . Finality, request for additional documents.
I inquire and the document he asks me is only valid for a sale from individuals, which is not my case since the vehicle was sold to a concession ... after having spent almost 45 'and 1 mail with AR, the vehicle is terminated, do not recognize their twists, no apology ...
Moral of the story, if you want to eat well, you pay more in a star restaurant. ;)</v>
      </c>
    </row>
    <row r="583" ht="15.75" customHeight="1">
      <c r="A583" s="2">
        <v>3.0</v>
      </c>
      <c r="B583" s="2" t="s">
        <v>1701</v>
      </c>
      <c r="C583" s="2" t="s">
        <v>1702</v>
      </c>
      <c r="D583" s="2" t="s">
        <v>30</v>
      </c>
      <c r="E583" s="2" t="s">
        <v>14</v>
      </c>
      <c r="F583" s="2" t="s">
        <v>15</v>
      </c>
      <c r="G583" s="2" t="s">
        <v>1703</v>
      </c>
      <c r="H583" s="2" t="s">
        <v>64</v>
      </c>
      <c r="I583" s="2" t="str">
        <f>IFERROR(__xludf.DUMMYFUNCTION("GOOGLETRANSLATE(C583,""fr"",""en"")"),"I am satisfied with the prices and the service I will recommend this insurance to family friends of the neighbors of people who meet in the street or at the bakery")</f>
        <v>I am satisfied with the prices and the service I will recommend this insurance to family friends of the neighbors of people who meet in the street or at the bakery</v>
      </c>
    </row>
    <row r="584" ht="15.75" customHeight="1">
      <c r="A584" s="2">
        <v>5.0</v>
      </c>
      <c r="B584" s="2" t="s">
        <v>1704</v>
      </c>
      <c r="C584" s="2" t="s">
        <v>1705</v>
      </c>
      <c r="D584" s="2" t="s">
        <v>141</v>
      </c>
      <c r="E584" s="2" t="s">
        <v>14</v>
      </c>
      <c r="F584" s="2" t="s">
        <v>15</v>
      </c>
      <c r="G584" s="2" t="s">
        <v>1706</v>
      </c>
      <c r="H584" s="2" t="s">
        <v>687</v>
      </c>
      <c r="I584" s="2" t="str">
        <f>IFERROR(__xludf.DUMMYFUNCTION("GOOGLETRANSLATE(C584,""fr"",""en"")"),"Rather very happy with the services offered and customer service. When I was a student, I had a non -responsible accident with my car insured at the third party (without any options) in a parking lot (which generally gives a 50/50) with a service vehicle."&amp;" In view of the situation (he had his vehicle, me nothing at all), Maif agreed to lend me a substitution car during the expertise (which was done quickly in a week) and everything was Very well unrolled. Insurance that I recommend!")</f>
        <v>Rather very happy with the services offered and customer service. When I was a student, I had a non -responsible accident with my car insured at the third party (without any options) in a parking lot (which generally gives a 50/50) with a service vehicle. In view of the situation (he had his vehicle, me nothing at all), Maif agreed to lend me a substitution car during the expertise (which was done quickly in a week) and everything was Very well unrolled. Insurance that I recommend!</v>
      </c>
    </row>
    <row r="585" ht="15.75" customHeight="1">
      <c r="A585" s="2">
        <v>3.0</v>
      </c>
      <c r="B585" s="2" t="s">
        <v>1707</v>
      </c>
      <c r="C585" s="2" t="s">
        <v>1708</v>
      </c>
      <c r="D585" s="2" t="s">
        <v>481</v>
      </c>
      <c r="E585" s="2" t="s">
        <v>111</v>
      </c>
      <c r="F585" s="2" t="s">
        <v>15</v>
      </c>
      <c r="G585" s="2" t="s">
        <v>1709</v>
      </c>
      <c r="H585" s="2" t="s">
        <v>107</v>
      </c>
      <c r="I585" s="2" t="str">
        <f>IFERROR(__xludf.DUMMYFUNCTION("GOOGLETRANSLATE(C585,""fr"",""en"")"),"Hello,
Simple and understanding service. Possibility to take out online insurance quickly and for an affordable price.
Cordially,
Goodbye.")</f>
        <v>Hello,
Simple and understanding service. Possibility to take out online insurance quickly and for an affordable price.
Cordially,
Goodbye.</v>
      </c>
    </row>
    <row r="586" ht="15.75" customHeight="1">
      <c r="A586" s="2">
        <v>4.0</v>
      </c>
      <c r="B586" s="2" t="s">
        <v>1710</v>
      </c>
      <c r="C586" s="2" t="s">
        <v>1711</v>
      </c>
      <c r="D586" s="2" t="s">
        <v>30</v>
      </c>
      <c r="E586" s="2" t="s">
        <v>14</v>
      </c>
      <c r="F586" s="2" t="s">
        <v>15</v>
      </c>
      <c r="G586" s="2" t="s">
        <v>1659</v>
      </c>
      <c r="H586" s="2" t="s">
        <v>32</v>
      </c>
      <c r="I586" s="2" t="str">
        <f>IFERROR(__xludf.DUMMYFUNCTION("GOOGLETRANSLATE(C586,""fr"",""en"")"),"The prices are rather satisfactory and the services corresponds perfectly to my expectations. The site is easy and simple, very pleasant to navigate. No complaints!")</f>
        <v>The prices are rather satisfactory and the services corresponds perfectly to my expectations. The site is easy and simple, very pleasant to navigate. No complaints!</v>
      </c>
    </row>
    <row r="587" ht="15.75" customHeight="1">
      <c r="A587" s="2">
        <v>1.0</v>
      </c>
      <c r="B587" s="2" t="s">
        <v>1712</v>
      </c>
      <c r="C587" s="2" t="s">
        <v>1713</v>
      </c>
      <c r="D587" s="2" t="s">
        <v>219</v>
      </c>
      <c r="E587" s="2" t="s">
        <v>116</v>
      </c>
      <c r="F587" s="2" t="s">
        <v>15</v>
      </c>
      <c r="G587" s="2" t="s">
        <v>404</v>
      </c>
      <c r="H587" s="2" t="s">
        <v>397</v>
      </c>
      <c r="I587" s="2" t="str">
        <f>IFERROR(__xludf.DUMMYFUNCTION("GOOGLETRANSLATE(C587,""fr"",""en"")"),"The AGF advisers of this insurer made me subscribe to a life investment QD it was at the highest in 2008. A few years later by dint of mail, they took place to 3 to advise me to go to another contract to do it again. I did not know that by following their"&amp;" precious advice I was validating my losses and cutting my grass under the feet to later defend me.
They knew it.
(Don't wait for Jim)")</f>
        <v>The AGF advisers of this insurer made me subscribe to a life investment QD it was at the highest in 2008. A few years later by dint of mail, they took place to 3 to advise me to go to another contract to do it again. I did not know that by following their precious advice I was validating my losses and cutting my grass under the feet to later defend me.
They knew it.
(Don't wait for Jim)</v>
      </c>
    </row>
    <row r="588" ht="15.75" customHeight="1">
      <c r="A588" s="2">
        <v>4.0</v>
      </c>
      <c r="B588" s="2" t="s">
        <v>1714</v>
      </c>
      <c r="C588" s="2" t="s">
        <v>1715</v>
      </c>
      <c r="D588" s="2" t="s">
        <v>296</v>
      </c>
      <c r="E588" s="2" t="s">
        <v>14</v>
      </c>
      <c r="F588" s="2" t="s">
        <v>15</v>
      </c>
      <c r="G588" s="2" t="s">
        <v>1716</v>
      </c>
      <c r="H588" s="2" t="s">
        <v>52</v>
      </c>
      <c r="I588" s="2" t="str">
        <f>IFERROR(__xludf.DUMMYFUNCTION("GOOGLETRANSLATE(C588,""fr"",""en"")"),"satisfied with your responsiveness.
I recommend GMF as an assurance.
I think I come to you for next contracts.
Good day to you.
")</f>
        <v>satisfied with your responsiveness.
I recommend GMF as an assurance.
I think I come to you for next contracts.
Good day to you.
</v>
      </c>
    </row>
    <row r="589" ht="15.75" customHeight="1">
      <c r="A589" s="2">
        <v>1.0</v>
      </c>
      <c r="B589" s="2" t="s">
        <v>1717</v>
      </c>
      <c r="C589" s="2" t="s">
        <v>1718</v>
      </c>
      <c r="D589" s="2" t="s">
        <v>296</v>
      </c>
      <c r="E589" s="2" t="s">
        <v>14</v>
      </c>
      <c r="F589" s="2" t="s">
        <v>15</v>
      </c>
      <c r="G589" s="2" t="s">
        <v>1719</v>
      </c>
      <c r="H589" s="2" t="s">
        <v>155</v>
      </c>
      <c r="I589" s="2" t="str">
        <f>IFERROR(__xludf.DUMMYFUNCTION("GOOGLETRANSLATE(C589,""fr"",""en"")"),"GMF everything goes very long as there is no problem. Sinister service The aptly named of Noisy-le-Grand (93) 3 years that I patiently await a refund made by their expert. Put the fault on my landlord, then his insurance, then their own expert and asks me"&amp;" for the quotes drop, invoices, certificate for 3 years not € 1. It's decided I go to the action")</f>
        <v>GMF everything goes very long as there is no problem. Sinister service The aptly named of Noisy-le-Grand (93) 3 years that I patiently await a refund made by their expert. Put the fault on my landlord, then his insurance, then their own expert and asks me for the quotes drop, invoices, certificate for 3 years not € 1. It's decided I go to the action</v>
      </c>
    </row>
    <row r="590" ht="15.75" customHeight="1">
      <c r="A590" s="2">
        <v>5.0</v>
      </c>
      <c r="B590" s="2" t="s">
        <v>1720</v>
      </c>
      <c r="C590" s="2" t="s">
        <v>1721</v>
      </c>
      <c r="D590" s="2" t="s">
        <v>50</v>
      </c>
      <c r="E590" s="2" t="s">
        <v>14</v>
      </c>
      <c r="F590" s="2" t="s">
        <v>15</v>
      </c>
      <c r="G590" s="2" t="s">
        <v>1112</v>
      </c>
      <c r="H590" s="2" t="s">
        <v>47</v>
      </c>
      <c r="I590" s="2" t="str">
        <f>IFERROR(__xludf.DUMMYFUNCTION("GOOGLETRANSLATE(C590,""fr"",""en"")"),"Very satisfied.
Very pleasant staff.
No wait too long on the phone.
The amounts of the levy per month are reasonable.
Good luck to the team
")</f>
        <v>Very satisfied.
Very pleasant staff.
No wait too long on the phone.
The amounts of the levy per month are reasonable.
Good luck to the team
</v>
      </c>
    </row>
    <row r="591" ht="15.75" customHeight="1">
      <c r="A591" s="2">
        <v>5.0</v>
      </c>
      <c r="B591" s="2" t="s">
        <v>1722</v>
      </c>
      <c r="C591" s="2" t="s">
        <v>1723</v>
      </c>
      <c r="D591" s="2" t="s">
        <v>296</v>
      </c>
      <c r="E591" s="2" t="s">
        <v>14</v>
      </c>
      <c r="F591" s="2" t="s">
        <v>15</v>
      </c>
      <c r="G591" s="2" t="s">
        <v>107</v>
      </c>
      <c r="H591" s="2" t="s">
        <v>107</v>
      </c>
      <c r="I591" s="2" t="str">
        <f>IFERROR(__xludf.DUMMYFUNCTION("GOOGLETRANSLATE(C591,""fr"",""en"")"),"I am satisfied with the services.
The self -blocked price for this year is very appreciable.
Approach in the event of a claim is facilitated thanks to the computer tool.
")</f>
        <v>I am satisfied with the services.
The self -blocked price for this year is very appreciable.
Approach in the event of a claim is facilitated thanks to the computer tool.
</v>
      </c>
    </row>
    <row r="592" ht="15.75" customHeight="1">
      <c r="A592" s="2">
        <v>2.0</v>
      </c>
      <c r="B592" s="2" t="s">
        <v>1724</v>
      </c>
      <c r="C592" s="2" t="s">
        <v>1725</v>
      </c>
      <c r="D592" s="2" t="s">
        <v>30</v>
      </c>
      <c r="E592" s="2" t="s">
        <v>14</v>
      </c>
      <c r="F592" s="2" t="s">
        <v>15</v>
      </c>
      <c r="G592" s="2" t="s">
        <v>1570</v>
      </c>
      <c r="H592" s="2" t="s">
        <v>32</v>
      </c>
      <c r="I592" s="2" t="str">
        <f>IFERROR(__xludf.DUMMYFUNCTION("GOOGLETRANSLATE(C592,""fr"",""en"")"),"The garage that has taken care of my car to do a dirty job!
The insurance price is too far from a 45 -year -old person with 25 years the French experience and license since 2017.")</f>
        <v>The garage that has taken care of my car to do a dirty job!
The insurance price is too far from a 45 -year -old person with 25 years the French experience and license since 2017.</v>
      </c>
    </row>
    <row r="593" ht="15.75" customHeight="1">
      <c r="A593" s="2">
        <v>1.0</v>
      </c>
      <c r="B593" s="2" t="s">
        <v>1726</v>
      </c>
      <c r="C593" s="2" t="s">
        <v>1727</v>
      </c>
      <c r="D593" s="2" t="s">
        <v>219</v>
      </c>
      <c r="E593" s="2" t="s">
        <v>14</v>
      </c>
      <c r="F593" s="2" t="s">
        <v>15</v>
      </c>
      <c r="G593" s="2" t="s">
        <v>1539</v>
      </c>
      <c r="H593" s="2" t="s">
        <v>38</v>
      </c>
      <c r="I593" s="2" t="str">
        <f>IFERROR(__xludf.DUMMYFUNCTION("GOOGLETRANSLATE(C593,""fr"",""en"")"),"Following an accident occurring on February 25, 2021 with a person who has neither insurance nor driver's license I find myself without a vehicle or compensation and I fight every day at the end that my file is updated. Each Allianz Insurance interlocutor"&amp;" keeps walking from one service to another I find it deplorable. I had moral physical sequelae and financial damage because I am a liberal profession and I can no longer work since this accident. In the expectation of rapid compensation so that I can resu"&amp;"me a normal life because I need my Vehicle I will do that the unfavorable opinions to the Allianz Insurance group because of the slowness and the not taken into consideration of my situation.")</f>
        <v>Following an accident occurring on February 25, 2021 with a person who has neither insurance nor driver's license I find myself without a vehicle or compensation and I fight every day at the end that my file is updated. Each Allianz Insurance interlocutor keeps walking from one service to another I find it deplorable. I had moral physical sequelae and financial damage because I am a liberal profession and I can no longer work since this accident. In the expectation of rapid compensation so that I can resume a normal life because I need my Vehicle I will do that the unfavorable opinions to the Allianz Insurance group because of the slowness and the not taken into consideration of my situation.</v>
      </c>
    </row>
    <row r="594" ht="15.75" customHeight="1">
      <c r="A594" s="2">
        <v>5.0</v>
      </c>
      <c r="B594" s="2" t="s">
        <v>1728</v>
      </c>
      <c r="C594" s="2" t="s">
        <v>1729</v>
      </c>
      <c r="D594" s="2" t="s">
        <v>50</v>
      </c>
      <c r="E594" s="2" t="s">
        <v>14</v>
      </c>
      <c r="F594" s="2" t="s">
        <v>15</v>
      </c>
      <c r="G594" s="2" t="s">
        <v>1730</v>
      </c>
      <c r="H594" s="2" t="s">
        <v>159</v>
      </c>
      <c r="I594" s="2" t="str">
        <f>IFERROR(__xludf.DUMMYFUNCTION("GOOGLETRANSLATE(C594,""fr"",""en"")"),"The subscription is simple and quick. Competent, pleasant and attentive staff, not too much waiting on the phone. I am satisfied at the moment.")</f>
        <v>The subscription is simple and quick. Competent, pleasant and attentive staff, not too much waiting on the phone. I am satisfied at the moment.</v>
      </c>
    </row>
    <row r="595" ht="15.75" customHeight="1">
      <c r="A595" s="2">
        <v>4.0</v>
      </c>
      <c r="B595" s="2" t="s">
        <v>1731</v>
      </c>
      <c r="C595" s="2" t="s">
        <v>1732</v>
      </c>
      <c r="D595" s="2" t="s">
        <v>30</v>
      </c>
      <c r="E595" s="2" t="s">
        <v>14</v>
      </c>
      <c r="F595" s="2" t="s">
        <v>15</v>
      </c>
      <c r="G595" s="2" t="s">
        <v>904</v>
      </c>
      <c r="H595" s="2" t="s">
        <v>107</v>
      </c>
      <c r="I595" s="2" t="str">
        <f>IFERROR(__xludf.DUMMYFUNCTION("GOOGLETRANSLATE(C595,""fr"",""en"")"),"Prices suit me, good value for money, after satisfaction I will be able to give a favorable opinion")</f>
        <v>Prices suit me, good value for money, after satisfaction I will be able to give a favorable opinion</v>
      </c>
    </row>
    <row r="596" ht="15.75" customHeight="1">
      <c r="A596" s="2">
        <v>2.0</v>
      </c>
      <c r="B596" s="2" t="s">
        <v>1733</v>
      </c>
      <c r="C596" s="2" t="s">
        <v>1734</v>
      </c>
      <c r="D596" s="2" t="s">
        <v>41</v>
      </c>
      <c r="E596" s="2" t="s">
        <v>36</v>
      </c>
      <c r="F596" s="2" t="s">
        <v>15</v>
      </c>
      <c r="G596" s="2" t="s">
        <v>51</v>
      </c>
      <c r="H596" s="2" t="s">
        <v>52</v>
      </c>
      <c r="I596" s="2" t="str">
        <f>IFERROR(__xludf.DUMMYFUNCTION("GOOGLETRANSLATE(C596,""fr"",""en"")"),"Very disappointed with reimbursement times. 2 months for physiotheratic acts, I have been waiting since the answer to an optical quote since the beginning of April. What about the reimbursement period for my new glasses?
Unable to attach your services.")</f>
        <v>Very disappointed with reimbursement times. 2 months for physiotheratic acts, I have been waiting since the answer to an optical quote since the beginning of April. What about the reimbursement period for my new glasses?
Unable to attach your services.</v>
      </c>
    </row>
    <row r="597" ht="15.75" customHeight="1">
      <c r="A597" s="2">
        <v>1.0</v>
      </c>
      <c r="B597" s="2" t="s">
        <v>1735</v>
      </c>
      <c r="C597" s="2" t="s">
        <v>1736</v>
      </c>
      <c r="D597" s="2" t="s">
        <v>247</v>
      </c>
      <c r="E597" s="2" t="s">
        <v>36</v>
      </c>
      <c r="F597" s="2" t="s">
        <v>15</v>
      </c>
      <c r="G597" s="2" t="s">
        <v>1377</v>
      </c>
      <c r="H597" s="2" t="s">
        <v>47</v>
      </c>
      <c r="I597" s="2" t="str">
        <f>IFERROR(__xludf.DUMMYFUNCTION("GOOGLETRANSLATE(C597,""fr"",""en"")"),"A DISASTER!
Treatment deadlines for the processing of files has increased to 1 month (because of the COVID they say)
I have been waiting for payment since October! And I have no return since I call them every day I opened several complaints but nothing "&amp;"happens.
The icing on the cake I have just received a payment for my child on a 2020 quote concerning me….
Go your way.")</f>
        <v>A DISASTER!
Treatment deadlines for the processing of files has increased to 1 month (because of the COVID they say)
I have been waiting for payment since October! And I have no return since I call them every day I opened several complaints but nothing happens.
The icing on the cake I have just received a payment for my child on a 2020 quote concerning me….
Go your way.</v>
      </c>
    </row>
    <row r="598" ht="15.75" customHeight="1">
      <c r="A598" s="2">
        <v>5.0</v>
      </c>
      <c r="B598" s="2" t="s">
        <v>1737</v>
      </c>
      <c r="C598" s="2" t="s">
        <v>1738</v>
      </c>
      <c r="D598" s="2" t="s">
        <v>296</v>
      </c>
      <c r="E598" s="2" t="s">
        <v>14</v>
      </c>
      <c r="F598" s="2" t="s">
        <v>15</v>
      </c>
      <c r="G598" s="2" t="s">
        <v>1739</v>
      </c>
      <c r="H598" s="2" t="s">
        <v>38</v>
      </c>
      <c r="I598" s="2" t="str">
        <f>IFERROR(__xludf.DUMMYFUNCTION("GOOGLETRANSLATE(C598,""fr"",""en"")"),"The price suits me very well
I am trained to make the formalities to have an insurance certificate.")</f>
        <v>The price suits me very well
I am trained to make the formalities to have an insurance certificate.</v>
      </c>
    </row>
    <row r="599" ht="15.75" customHeight="1">
      <c r="A599" s="2">
        <v>1.0</v>
      </c>
      <c r="B599" s="2" t="s">
        <v>1740</v>
      </c>
      <c r="C599" s="2" t="s">
        <v>1741</v>
      </c>
      <c r="D599" s="2" t="s">
        <v>436</v>
      </c>
      <c r="E599" s="2" t="s">
        <v>36</v>
      </c>
      <c r="F599" s="2" t="s">
        <v>15</v>
      </c>
      <c r="G599" s="2" t="s">
        <v>1742</v>
      </c>
      <c r="H599" s="2" t="s">
        <v>221</v>
      </c>
      <c r="I599" s="2" t="str">
        <f>IFERROR(__xludf.DUMMYFUNCTION("GOOGLETRANSLATE(C599,""fr"",""en"")"),"A member of Harmonie for over 10 years, I will terminate this year because, after years of excellence, it is clear that the level has been widely lowered for a year.
I pay the max to be well covered.
Being forced to fight for 2 months to be reimbursed f"&amp;"or an inlay onlay up to 400% of the BSR (H.M. had reimbursed me royally 15 euros arguing that it was not an inlay onlay).
3 months of waiting to affiliate a child
Deletion of remote transmission with the CPAM for 2 of my rights holders.
Party paying no"&amp;"nexistent (forced to send the invoices of practitioners while it is supposed to operate).
Urchy and incompetence of the vast majority of ""customer advisers"" (the latest has completely fucked up).
Being obliged to go through the sales department to hav"&amp;"e a customer advisor (they never answer on the phone).
Absence of responses to emails (or so, full of spelling mistakes)
In short, inhuman mutual and become incompetent as possible.
Review emergency recruitment !!!!!!!!!!!")</f>
        <v>A member of Harmonie for over 10 years, I will terminate this year because, after years of excellence, it is clear that the level has been widely lowered for a year.
I pay the max to be well covered.
Being forced to fight for 2 months to be reimbursed for an inlay onlay up to 400% of the BSR (H.M. had reimbursed me royally 15 euros arguing that it was not an inlay onlay).
3 months of waiting to affiliate a child
Deletion of remote transmission with the CPAM for 2 of my rights holders.
Party paying nonexistent (forced to send the invoices of practitioners while it is supposed to operate).
Urchy and incompetence of the vast majority of "customer advisers" (the latest has completely fucked up).
Being obliged to go through the sales department to have a customer advisor (they never answer on the phone).
Absence of responses to emails (or so, full of spelling mistakes)
In short, inhuman mutual and become incompetent as possible.
Review emergency recruitment !!!!!!!!!!!</v>
      </c>
    </row>
    <row r="600" ht="15.75" customHeight="1">
      <c r="A600" s="2">
        <v>1.0</v>
      </c>
      <c r="B600" s="2" t="s">
        <v>1743</v>
      </c>
      <c r="C600" s="2" t="s">
        <v>1744</v>
      </c>
      <c r="D600" s="2" t="s">
        <v>329</v>
      </c>
      <c r="E600" s="2" t="s">
        <v>14</v>
      </c>
      <c r="F600" s="2" t="s">
        <v>15</v>
      </c>
      <c r="G600" s="2" t="s">
        <v>51</v>
      </c>
      <c r="H600" s="2" t="s">
        <v>52</v>
      </c>
      <c r="I600" s="2" t="str">
        <f>IFERROR(__xludf.DUMMYFUNCTION("GOOGLETRANSLATE(C600,""fr"",""en"")"),"I acquired the Citroën Friend, a small electric car without a license.
A month before delivery I call the Macif to find out the insurance rates. I am given an interesting price and I am told that I will be made without problem. I have to recall the day o"&amp;"f my delivery. The day I remind you .. you have to move to an agency. I move and there a crazy world the advisor calls her superior.
I am told that you need the driver's license to ensure a car without a license: (
Allowed that I have not had no more re"&amp;"ason for which I turned to the Citroën Ami for 15 years. And of course I was born before 88 ..
I thought it was a hidden camera. Even the advisor was embarrassed by explaining the reason for her refusal.")</f>
        <v>I acquired the Citroën Friend, a small electric car without a license.
A month before delivery I call the Macif to find out the insurance rates. I am given an interesting price and I am told that I will be made without problem. I have to recall the day of my delivery. The day I remind you .. you have to move to an agency. I move and there a crazy world the advisor calls her superior.
I am told that you need the driver's license to ensure a car without a license: (
Allowed that I have not had no more reason for which I turned to the Citroën Ami for 15 years. And of course I was born before 88 ..
I thought it was a hidden camera. Even the advisor was embarrassed by explaining the reason for her refusal.</v>
      </c>
    </row>
    <row r="601" ht="15.75" customHeight="1">
      <c r="A601" s="2">
        <v>2.0</v>
      </c>
      <c r="B601" s="2" t="s">
        <v>1745</v>
      </c>
      <c r="C601" s="2" t="s">
        <v>1746</v>
      </c>
      <c r="D601" s="2" t="s">
        <v>296</v>
      </c>
      <c r="E601" s="2" t="s">
        <v>14</v>
      </c>
      <c r="F601" s="2" t="s">
        <v>15</v>
      </c>
      <c r="G601" s="2" t="s">
        <v>1747</v>
      </c>
      <c r="H601" s="2" t="s">
        <v>468</v>
      </c>
      <c r="I601" s="2" t="str">
        <f>IFERROR(__xludf.DUMMYFUNCTION("GOOGLETRANSLATE(C601,""fr"",""en"")"),"member for many years 3 claims not responsible for many years and we are terminated. A friend had already had the same case and I had trouble believing it now, I am fixed to flee!")</f>
        <v>member for many years 3 claims not responsible for many years and we are terminated. A friend had already had the same case and I had trouble believing it now, I am fixed to flee!</v>
      </c>
    </row>
    <row r="602" ht="15.75" customHeight="1">
      <c r="A602" s="2">
        <v>4.0</v>
      </c>
      <c r="B602" s="2" t="s">
        <v>1748</v>
      </c>
      <c r="C602" s="2" t="s">
        <v>1749</v>
      </c>
      <c r="D602" s="2" t="s">
        <v>94</v>
      </c>
      <c r="E602" s="2" t="s">
        <v>36</v>
      </c>
      <c r="F602" s="2" t="s">
        <v>15</v>
      </c>
      <c r="G602" s="2" t="s">
        <v>308</v>
      </c>
      <c r="H602" s="2" t="s">
        <v>192</v>
      </c>
      <c r="I602" s="2" t="str">
        <f>IFERROR(__xludf.DUMMYFUNCTION("GOOGLETRANSLATE(C602,""fr"",""en"")"),"Today by phone my complaint file was very well processed and lady I had on the phone explained everything to me in detail in relation to declaring my doctor attending the advantages and disadvantages. Also we treated")</f>
        <v>Today by phone my complaint file was very well processed and lady I had on the phone explained everything to me in detail in relation to declaring my doctor attending the advantages and disadvantages. Also we treated</v>
      </c>
    </row>
    <row r="603" ht="15.75" customHeight="1">
      <c r="A603" s="2">
        <v>5.0</v>
      </c>
      <c r="B603" s="2" t="s">
        <v>1750</v>
      </c>
      <c r="C603" s="2" t="s">
        <v>1751</v>
      </c>
      <c r="D603" s="2" t="s">
        <v>50</v>
      </c>
      <c r="E603" s="2" t="s">
        <v>14</v>
      </c>
      <c r="F603" s="2" t="s">
        <v>15</v>
      </c>
      <c r="G603" s="2" t="s">
        <v>1078</v>
      </c>
      <c r="H603" s="2" t="s">
        <v>64</v>
      </c>
      <c r="I603" s="2" t="str">
        <f>IFERROR(__xludf.DUMMYFUNCTION("GOOGLETRANSLATE(C603,""fr"",""en"")"),"Simple, fast, cheap ... All procedures can be done online, which is a plus for me. Now see if one day I have a problem with my vehicle")</f>
        <v>Simple, fast, cheap ... All procedures can be done online, which is a plus for me. Now see if one day I have a problem with my vehicle</v>
      </c>
    </row>
    <row r="604" ht="15.75" customHeight="1">
      <c r="A604" s="2">
        <v>1.0</v>
      </c>
      <c r="B604" s="2" t="s">
        <v>1752</v>
      </c>
      <c r="C604" s="2" t="s">
        <v>1753</v>
      </c>
      <c r="D604" s="2" t="s">
        <v>1434</v>
      </c>
      <c r="E604" s="2" t="s">
        <v>90</v>
      </c>
      <c r="F604" s="2" t="s">
        <v>15</v>
      </c>
      <c r="G604" s="2" t="s">
        <v>1100</v>
      </c>
      <c r="H604" s="2" t="s">
        <v>159</v>
      </c>
      <c r="I604" s="2" t="str">
        <f>IFERROR(__xludf.DUMMYFUNCTION("GOOGLETRANSLATE(C604,""fr"",""en"")"),"I have had a pension contract for 3 and a half years
The first months no problem
For 6 months impossible to have an answer
I called them several times
Each time we explain things ever to the same person
 telework and covid on a good back
 We have to"&amp;" remind you but I am still waiting for an answer
they sent them several emails
Sorry but when we want to be the best mutual
You have to give yourself the means ..............
hearing
A not satisfied customer")</f>
        <v>I have had a pension contract for 3 and a half years
The first months no problem
For 6 months impossible to have an answer
I called them several times
Each time we explain things ever to the same person
 telework and covid on a good back
 We have to remind you but I am still waiting for an answer
they sent them several emails
Sorry but when we want to be the best mutual
You have to give yourself the means ..............
hearing
A not satisfied customer</v>
      </c>
    </row>
    <row r="605" ht="15.75" customHeight="1">
      <c r="A605" s="2">
        <v>5.0</v>
      </c>
      <c r="B605" s="2" t="s">
        <v>1754</v>
      </c>
      <c r="C605" s="2" t="s">
        <v>1755</v>
      </c>
      <c r="D605" s="2" t="s">
        <v>50</v>
      </c>
      <c r="E605" s="2" t="s">
        <v>14</v>
      </c>
      <c r="F605" s="2" t="s">
        <v>15</v>
      </c>
      <c r="G605" s="2" t="s">
        <v>1061</v>
      </c>
      <c r="H605" s="2" t="s">
        <v>131</v>
      </c>
      <c r="I605" s="2" t="str">
        <f>IFERROR(__xludf.DUMMYFUNCTION("GOOGLETRANSLATE(C605,""fr"",""en"")"),"I recently subscribed to a new car contract with the Olivier Insurance and I am extremely satisfied with prices as well as contact on a pleasant and professional phone. I appreciated the simplicity to send the documents and receive the green card very qui"&amp;"ckly. I highly recommend them.")</f>
        <v>I recently subscribed to a new car contract with the Olivier Insurance and I am extremely satisfied with prices as well as contact on a pleasant and professional phone. I appreciated the simplicity to send the documents and receive the green card very quickly. I highly recommend them.</v>
      </c>
    </row>
    <row r="606" ht="15.75" customHeight="1">
      <c r="A606" s="2">
        <v>4.0</v>
      </c>
      <c r="B606" s="2" t="s">
        <v>1756</v>
      </c>
      <c r="C606" s="2" t="s">
        <v>1757</v>
      </c>
      <c r="D606" s="2" t="s">
        <v>145</v>
      </c>
      <c r="E606" s="2" t="s">
        <v>111</v>
      </c>
      <c r="F606" s="2" t="s">
        <v>15</v>
      </c>
      <c r="G606" s="2" t="s">
        <v>1709</v>
      </c>
      <c r="H606" s="2" t="s">
        <v>107</v>
      </c>
      <c r="I606" s="2" t="str">
        <f>IFERROR(__xludf.DUMMYFUNCTION("GOOGLETRANSLATE(C606,""fr"",""en"")"),"I will not say that it is the cheapest but it is in the cheapest ... and at least you have interlocutors who advise you at best and following a disaster I am amazed at follow -up, explanations and appointments 2 times directly at my home to explain the co"&amp;"nsequences of my file to me. Really, a real care.")</f>
        <v>I will not say that it is the cheapest but it is in the cheapest ... and at least you have interlocutors who advise you at best and following a disaster I am amazed at follow -up, explanations and appointments 2 times directly at my home to explain the consequences of my file to me. Really, a real care.</v>
      </c>
    </row>
    <row r="607" ht="15.75" customHeight="1">
      <c r="A607" s="2">
        <v>2.0</v>
      </c>
      <c r="B607" s="2" t="s">
        <v>1758</v>
      </c>
      <c r="C607" s="2" t="s">
        <v>1759</v>
      </c>
      <c r="D607" s="2" t="s">
        <v>13</v>
      </c>
      <c r="E607" s="2" t="s">
        <v>14</v>
      </c>
      <c r="F607" s="2" t="s">
        <v>15</v>
      </c>
      <c r="G607" s="2" t="s">
        <v>1760</v>
      </c>
      <c r="H607" s="2" t="s">
        <v>369</v>
      </c>
      <c r="I607" s="2" t="str">
        <f>IFERROR(__xludf.DUMMYFUNCTION("GOOGLETRANSLATE(C607,""fr"",""en"")"),"TO AVOID ! 30 years of driving - 0.52 of bonuses - 3 claims broken ice non -responsible over 2 years (windshield impacts) and hop la maaf refuses to ensure my new vehicle !!!! Ashamed
I have never been informed of this risk, I find myself the beak in the"&amp;" water ...")</f>
        <v>TO AVOID ! 30 years of driving - 0.52 of bonuses - 3 claims broken ice non -responsible over 2 years (windshield impacts) and hop la maaf refuses to ensure my new vehicle !!!! Ashamed
I have never been informed of this risk, I find myself the beak in the water ...</v>
      </c>
    </row>
    <row r="608" ht="15.75" customHeight="1">
      <c r="A608" s="2">
        <v>5.0</v>
      </c>
      <c r="B608" s="2" t="s">
        <v>1761</v>
      </c>
      <c r="C608" s="2" t="s">
        <v>1762</v>
      </c>
      <c r="D608" s="2" t="s">
        <v>30</v>
      </c>
      <c r="E608" s="2" t="s">
        <v>14</v>
      </c>
      <c r="F608" s="2" t="s">
        <v>15</v>
      </c>
      <c r="G608" s="2" t="s">
        <v>1739</v>
      </c>
      <c r="H608" s="2" t="s">
        <v>38</v>
      </c>
      <c r="I608" s="2" t="str">
        <f>IFERROR(__xludf.DUMMYFUNCTION("GOOGLETRANSLATE(C608,""fr"",""en"")"),"It is simply fantastic insurance
Thank you for so much attention and offers so attractive.
See you soon for all my fleet of vehicles !!!!!!")</f>
        <v>It is simply fantastic insurance
Thank you for so much attention and offers so attractive.
See you soon for all my fleet of vehicles !!!!!!</v>
      </c>
    </row>
    <row r="609" ht="15.75" customHeight="1">
      <c r="A609" s="2">
        <v>1.0</v>
      </c>
      <c r="B609" s="2" t="s">
        <v>1763</v>
      </c>
      <c r="C609" s="2" t="s">
        <v>1764</v>
      </c>
      <c r="D609" s="2" t="s">
        <v>30</v>
      </c>
      <c r="E609" s="2" t="s">
        <v>14</v>
      </c>
      <c r="F609" s="2" t="s">
        <v>15</v>
      </c>
      <c r="G609" s="2" t="s">
        <v>1765</v>
      </c>
      <c r="H609" s="2" t="s">
        <v>47</v>
      </c>
      <c r="I609" s="2" t="str">
        <f>IFERROR(__xludf.DUMMYFUNCTION("GOOGLETRANSLATE(C609,""fr"",""en"")"),"Increase of 70 euros! It is too much all the more since I never had a claim, responsible or not. I am very disappointed with this increase that I find unjustified. I")</f>
        <v>Increase of 70 euros! It is too much all the more since I never had a claim, responsible or not. I am very disappointed with this increase that I find unjustified. I</v>
      </c>
    </row>
    <row r="610" ht="15.75" customHeight="1">
      <c r="A610" s="2">
        <v>1.0</v>
      </c>
      <c r="B610" s="2" t="s">
        <v>1766</v>
      </c>
      <c r="C610" s="2" t="s">
        <v>1767</v>
      </c>
      <c r="D610" s="2" t="s">
        <v>79</v>
      </c>
      <c r="E610" s="2" t="s">
        <v>116</v>
      </c>
      <c r="F610" s="2" t="s">
        <v>15</v>
      </c>
      <c r="G610" s="2" t="s">
        <v>1768</v>
      </c>
      <c r="H610" s="2" t="s">
        <v>305</v>
      </c>
      <c r="I610" s="2" t="str">
        <f>IFERROR(__xludf.DUMMYFUNCTION("GOOGLETRANSLATE(C610,""fr"",""en"")"),"Lamentable! Beneficiaries of the life insurance of our grandfather's woman, my sisters and I each received, at the end of November 2016 a check from Cardif (which, moreover, was 11 years to find the beneficiaries , proof of active research!).
Living abro"&amp;"ad, I immediately warned Cardif that this check had reached me at an address to which I no longer live. Cardif communicated to me, on December 9, 2016, the letter of withdrawal and the request for opposition to this check, specifying in its letter the num"&amp;"ber of the check, its date of issue, November 28, 2016 and the amount of the sum that comes back to me. In accordance with the indications of Cardif, I duly completed this letter of withdrawal and request for an opposition, attached my RIB and sent the co"&amp;"mplete file several times by mail and by email.
We are early April 2017, and for 4 months the agents of the telephone service have been walking in large widths telling me that my file is complete, that I should already be paid, that I will be but that "&amp;"they cannot To say when and that he will be put back on top of the battery ... In short the scandalously usual refrain of Cardif, as shown by the testimonies of his other victims on the Opinion Assurance site and on other Internet forums.
Cardif therefor"&amp;"e pursues the illegal practices which earned him a conviction in 2014 to pay a fine of 10 million euros (see on the Internet the article N ° 1097) due to insufficiencies and delays to comply with his Legal obligations which have resulted in ""the conserva"&amp;"tion of the sums which should have been paid to the beneficiaries"".
Faced with this calculated and repeat laxity, a report to the prudential control authority and resolution (ACPR) the only recourse to review the color of the capital that is due to me b"&amp;"y Cardif?
")</f>
        <v>Lamentable! Beneficiaries of the life insurance of our grandfather's woman, my sisters and I each received, at the end of November 2016 a check from Cardif (which, moreover, was 11 years to find the beneficiaries , proof of active research!).
Living abroad, I immediately warned Cardif that this check had reached me at an address to which I no longer live. Cardif communicated to me, on December 9, 2016, the letter of withdrawal and the request for opposition to this check, specifying in its letter the number of the check, its date of issue, November 28, 2016 and the amount of the sum that comes back to me. In accordance with the indications of Cardif, I duly completed this letter of withdrawal and request for an opposition, attached my RIB and sent the complete file several times by mail and by email.
We are early April 2017, and for 4 months the agents of the telephone service have been walking in large widths telling me that my file is complete, that I should already be paid, that I will be but that they cannot To say when and that he will be put back on top of the battery ... In short the scandalously usual refrain of Cardif, as shown by the testimonies of his other victims on the Opinion Assurance site and on other Internet forums.
Cardif therefore pursues the illegal practices which earned him a conviction in 2014 to pay a fine of 10 million euros (see on the Internet the article N ° 1097) due to insufficiencies and delays to comply with his Legal obligations which have resulted in "the conservation of the sums which should have been paid to the beneficiaries".
Faced with this calculated and repeat laxity, a report to the prudential control authority and resolution (ACPR) the only recourse to review the color of the capital that is due to me by Cardif?
</v>
      </c>
    </row>
    <row r="611" ht="15.75" customHeight="1">
      <c r="A611" s="2">
        <v>1.0</v>
      </c>
      <c r="B611" s="2" t="s">
        <v>1769</v>
      </c>
      <c r="C611" s="2" t="s">
        <v>1770</v>
      </c>
      <c r="D611" s="2" t="s">
        <v>30</v>
      </c>
      <c r="E611" s="2" t="s">
        <v>14</v>
      </c>
      <c r="F611" s="2" t="s">
        <v>15</v>
      </c>
      <c r="G611" s="2" t="s">
        <v>1771</v>
      </c>
      <c r="H611" s="2" t="s">
        <v>424</v>
      </c>
      <c r="I611" s="2" t="str">
        <f>IFERROR(__xludf.DUMMYFUNCTION("GOOGLETRANSLATE(C611,""fr"",""en"")"),"Insurance to flee! I do not recommend it!
I want to share my experience with the insurance company Diressurance. I subscribed a contract 4 years ago with more than 800th annual for a 206 !! During the last two years, I have not stopped relaunching insura"&amp;"nce on the prices he makes me pay ( +dear by +20% than other insurance - online quotes for comparison), without any gesture of their go.
This year I bought a motorcycle is I found a super interesting car/motorcycle offer elsewhere.
I planned my blow wel"&amp;"l and we made (with new insurance) a request for termination within 20 days after receipt of the deadline (Chatel law -&gt; which allows me to stop the contract, nothing pay direct and break me) and I find myself getting stuck because direct insurance refuse"&amp;"s termination with a reason (non -receipt of the mandate) !!!! I send them the document, then the same -&gt; Refusal of the request !!! In short, I spent two months (transition to the Hamon law) to struggle between the two insurances to stop the bullshit of "&amp;"this insurance (loss of time, energy ...)
In short, this insurance is your friend as long as you ask for nothing and pay you super expensive ... but once you want to leave they do anything what good what you are disgusting !!")</f>
        <v>Insurance to flee! I do not recommend it!
I want to share my experience with the insurance company Diressurance. I subscribed a contract 4 years ago with more than 800th annual for a 206 !! During the last two years, I have not stopped relaunching insurance on the prices he makes me pay ( +dear by +20% than other insurance - online quotes for comparison), without any gesture of their go.
This year I bought a motorcycle is I found a super interesting car/motorcycle offer elsewhere.
I planned my blow well and we made (with new insurance) a request for termination within 20 days after receipt of the deadline (Chatel law -&gt; which allows me to stop the contract, nothing pay direct and break me) and I find myself getting stuck because direct insurance refuses termination with a reason (non -receipt of the mandate) !!!! I send them the document, then the same -&gt; Refusal of the request !!! In short, I spent two months (transition to the Hamon law) to struggle between the two insurances to stop the bullshit of this insurance (loss of time, energy ...)
In short, this insurance is your friend as long as you ask for nothing and pay you super expensive ... but once you want to leave they do anything what good what you are disgusting !!</v>
      </c>
    </row>
    <row r="612" ht="15.75" customHeight="1">
      <c r="A612" s="2">
        <v>5.0</v>
      </c>
      <c r="B612" s="2" t="s">
        <v>1772</v>
      </c>
      <c r="C612" s="2" t="s">
        <v>1773</v>
      </c>
      <c r="D612" s="2" t="s">
        <v>50</v>
      </c>
      <c r="E612" s="2" t="s">
        <v>14</v>
      </c>
      <c r="F612" s="2" t="s">
        <v>15</v>
      </c>
      <c r="G612" s="2" t="s">
        <v>1340</v>
      </c>
      <c r="H612" s="2" t="s">
        <v>64</v>
      </c>
      <c r="I612" s="2" t="str">
        <f>IFERROR(__xludf.DUMMYFUNCTION("GOOGLETRANSLATE(C612,""fr"",""en"")"),"Very good prices, simple and quick.
I am very satisfied with the simplicity with which I was able to subscribe to my contract.
Being able to do everything by the Internet, including signing documents greatly facilitated me.")</f>
        <v>Very good prices, simple and quick.
I am very satisfied with the simplicity with which I was able to subscribe to my contract.
Being able to do everything by the Internet, including signing documents greatly facilitated me.</v>
      </c>
    </row>
    <row r="613" ht="15.75" customHeight="1">
      <c r="A613" s="2">
        <v>3.0</v>
      </c>
      <c r="B613" s="2" t="s">
        <v>1774</v>
      </c>
      <c r="C613" s="2" t="s">
        <v>1775</v>
      </c>
      <c r="D613" s="2" t="s">
        <v>30</v>
      </c>
      <c r="E613" s="2" t="s">
        <v>14</v>
      </c>
      <c r="F613" s="2" t="s">
        <v>15</v>
      </c>
      <c r="G613" s="2" t="s">
        <v>1776</v>
      </c>
      <c r="H613" s="2" t="s">
        <v>270</v>
      </c>
      <c r="I613" s="2" t="str">
        <f>IFERROR(__xludf.DUMMYFUNCTION("GOOGLETRANSLATE(C613,""fr"",""en"")"),"inexpensive insurance my customer service no response or just normal the car is when we tell them how we do because not the sub bah the answer makes a credit or ask your loved one or friend bravo to earn new clients")</f>
        <v>inexpensive insurance my customer service no response or just normal the car is when we tell them how we do because not the sub bah the answer makes a credit or ask your loved one or friend bravo to earn new clients</v>
      </c>
    </row>
    <row r="614" ht="15.75" customHeight="1">
      <c r="A614" s="2">
        <v>2.0</v>
      </c>
      <c r="B614" s="2" t="s">
        <v>1777</v>
      </c>
      <c r="C614" s="2" t="s">
        <v>1778</v>
      </c>
      <c r="D614" s="2" t="s">
        <v>416</v>
      </c>
      <c r="E614" s="2" t="s">
        <v>116</v>
      </c>
      <c r="F614" s="2" t="s">
        <v>15</v>
      </c>
      <c r="G614" s="2" t="s">
        <v>202</v>
      </c>
      <c r="H614" s="2" t="s">
        <v>47</v>
      </c>
      <c r="I614" s="2" t="str">
        <f>IFERROR(__xludf.DUMMYFUNCTION("GOOGLETRANSLATE(C614,""fr"",""en"")"),"AFER's administrative management is incredibly slow. It's been 3 weeks since I asked for an arbitration to go from a ""Euro"" background to more dynamic supports! I always wait for it to be done ... I do not understand their slowness which makes me want t"&amp;"o go see elsewhere.")</f>
        <v>AFER's administrative management is incredibly slow. It's been 3 weeks since I asked for an arbitration to go from a "Euro" background to more dynamic supports! I always wait for it to be done ... I do not understand their slowness which makes me want to go see elsewhere.</v>
      </c>
    </row>
    <row r="615" ht="15.75" customHeight="1">
      <c r="A615" s="2">
        <v>4.0</v>
      </c>
      <c r="B615" s="2" t="s">
        <v>1779</v>
      </c>
      <c r="C615" s="2" t="s">
        <v>1780</v>
      </c>
      <c r="D615" s="2" t="s">
        <v>145</v>
      </c>
      <c r="E615" s="2" t="s">
        <v>111</v>
      </c>
      <c r="F615" s="2" t="s">
        <v>15</v>
      </c>
      <c r="G615" s="2" t="s">
        <v>1781</v>
      </c>
      <c r="H615" s="2" t="s">
        <v>486</v>
      </c>
      <c r="I615" s="2" t="str">
        <f>IFERROR(__xludf.DUMMYFUNCTION("GOOGLETRANSLATE(C615,""fr"",""en"")"),"The team that manages my file in my region (Bordeaux) is competent, responsive and sympathetic and it is not a really a platform. thanks to them")</f>
        <v>The team that manages my file in my region (Bordeaux) is competent, responsive and sympathetic and it is not a really a platform. thanks to them</v>
      </c>
    </row>
    <row r="616" ht="15.75" customHeight="1">
      <c r="A616" s="2">
        <v>5.0</v>
      </c>
      <c r="B616" s="2" t="s">
        <v>1782</v>
      </c>
      <c r="C616" s="2" t="s">
        <v>1783</v>
      </c>
      <c r="D616" s="2" t="s">
        <v>30</v>
      </c>
      <c r="E616" s="2" t="s">
        <v>14</v>
      </c>
      <c r="F616" s="2" t="s">
        <v>15</v>
      </c>
      <c r="G616" s="2" t="s">
        <v>1784</v>
      </c>
      <c r="H616" s="2" t="s">
        <v>52</v>
      </c>
      <c r="I616" s="2" t="str">
        <f>IFERROR(__xludf.DUMMYFUNCTION("GOOGLETRANSLATE(C616,""fr"",""en"")"),"I am satisfied with the service, friendly and attentive advisers, fast management in the event of a claim, simple and practical insurance.
Thanks to the Direct Assurance team")</f>
        <v>I am satisfied with the service, friendly and attentive advisers, fast management in the event of a claim, simple and practical insurance.
Thanks to the Direct Assurance team</v>
      </c>
    </row>
    <row r="617" ht="15.75" customHeight="1">
      <c r="A617" s="2">
        <v>1.0</v>
      </c>
      <c r="B617" s="2" t="s">
        <v>1785</v>
      </c>
      <c r="C617" s="2" t="s">
        <v>1786</v>
      </c>
      <c r="D617" s="2" t="s">
        <v>20</v>
      </c>
      <c r="E617" s="2" t="s">
        <v>14</v>
      </c>
      <c r="F617" s="2" t="s">
        <v>15</v>
      </c>
      <c r="G617" s="2" t="s">
        <v>1787</v>
      </c>
      <c r="H617" s="2" t="s">
        <v>229</v>
      </c>
      <c r="I617" s="2" t="str">
        <f>IFERROR(__xludf.DUMMYFUNCTION("GOOGLETRANSLATE(C617,""fr"",""en"")"),"Insured since 08/03/2014, I only encountered management problems with this intermediary. Already for the registration of the documents necessary for the contract, up to the regulations of the receipts. The claims of: security, quality, transparency and si"&amp;"mplicity are absolutely nonexistent. It is necessary to use the surcharged number to solve the problems that this ""broker"" is not able to manage. All his communications, in addition to being ineffective, are your responsibility and do not hope for refun"&amp;"d. Fortunately, there was no claim because it would have been necessary to devote a certain budget to deal with the prices of communications. Even recommended letters are without actions on this intermediary.")</f>
        <v>Insured since 08/03/2014, I only encountered management problems with this intermediary. Already for the registration of the documents necessary for the contract, up to the regulations of the receipts. The claims of: security, quality, transparency and simplicity are absolutely nonexistent. It is necessary to use the surcharged number to solve the problems that this "broker" is not able to manage. All his communications, in addition to being ineffective, are your responsibility and do not hope for refund. Fortunately, there was no claim because it would have been necessary to devote a certain budget to deal with the prices of communications. Even recommended letters are without actions on this intermediary.</v>
      </c>
    </row>
    <row r="618" ht="15.75" customHeight="1">
      <c r="A618" s="2">
        <v>1.0</v>
      </c>
      <c r="B618" s="2" t="s">
        <v>1788</v>
      </c>
      <c r="C618" s="2" t="s">
        <v>1789</v>
      </c>
      <c r="D618" s="2" t="s">
        <v>224</v>
      </c>
      <c r="E618" s="2" t="s">
        <v>14</v>
      </c>
      <c r="F618" s="2" t="s">
        <v>15</v>
      </c>
      <c r="G618" s="2" t="s">
        <v>1790</v>
      </c>
      <c r="H618" s="2" t="s">
        <v>47</v>
      </c>
      <c r="I618" s="2" t="str">
        <f>IFERROR(__xludf.DUMMYFUNCTION("GOOGLETRANSLATE(C618,""fr"",""en"")"),"I have just received a recommended that you go to terminate my car insurance after three claims on the other hand there are two claims that I am not responsible and it is not with this car. You mark that my car has been ensured since 2019 while this car I"&amp;" bought it in 2020.")</f>
        <v>I have just received a recommended that you go to terminate my car insurance after three claims on the other hand there are two claims that I am not responsible and it is not with this car. You mark that my car has been ensured since 2019 while this car I bought it in 2020.</v>
      </c>
    </row>
    <row r="619" ht="15.75" customHeight="1">
      <c r="A619" s="2">
        <v>1.0</v>
      </c>
      <c r="B619" s="2" t="s">
        <v>1791</v>
      </c>
      <c r="C619" s="2" t="s">
        <v>1792</v>
      </c>
      <c r="D619" s="2" t="s">
        <v>329</v>
      </c>
      <c r="E619" s="2" t="s">
        <v>14</v>
      </c>
      <c r="F619" s="2" t="s">
        <v>15</v>
      </c>
      <c r="G619" s="2" t="s">
        <v>1793</v>
      </c>
      <c r="H619" s="2" t="s">
        <v>369</v>
      </c>
      <c r="I619" s="2" t="str">
        <f>IFERROR(__xludf.DUMMYFUNCTION("GOOGLETRANSLATE(C619,""fr"",""en"")"),"Despite that I have been a customer for more than thirty years when I wanted to have my son insured who himself had a 2 wheels assured at home they refused to take him too much likely to assure a young person.
 So easy to provide a customer who has 50% b"&amp;"onuses.")</f>
        <v>Despite that I have been a customer for more than thirty years when I wanted to have my son insured who himself had a 2 wheels assured at home they refused to take him too much likely to assure a young person.
 So easy to provide a customer who has 50% bonuses.</v>
      </c>
    </row>
    <row r="620" ht="15.75" customHeight="1">
      <c r="A620" s="2">
        <v>1.0</v>
      </c>
      <c r="B620" s="2" t="s">
        <v>1794</v>
      </c>
      <c r="C620" s="2" t="s">
        <v>1795</v>
      </c>
      <c r="D620" s="2" t="s">
        <v>30</v>
      </c>
      <c r="E620" s="2" t="s">
        <v>14</v>
      </c>
      <c r="F620" s="2" t="s">
        <v>15</v>
      </c>
      <c r="G620" s="2" t="s">
        <v>722</v>
      </c>
      <c r="H620" s="2" t="s">
        <v>47</v>
      </c>
      <c r="I620" s="2" t="str">
        <f>IFERROR(__xludf.DUMMYFUNCTION("GOOGLETRANSLATE(C620,""fr"",""en"")"),"I am not very satisfied because I was told a monthly direct debit and that I was taken a large sum this month which puts me really bad in my financial management ...")</f>
        <v>I am not very satisfied because I was told a monthly direct debit and that I was taken a large sum this month which puts me really bad in my financial management ...</v>
      </c>
    </row>
    <row r="621" ht="15.75" customHeight="1">
      <c r="A621" s="2">
        <v>1.0</v>
      </c>
      <c r="B621" s="2" t="s">
        <v>1796</v>
      </c>
      <c r="C621" s="2" t="s">
        <v>1797</v>
      </c>
      <c r="D621" s="2" t="s">
        <v>25</v>
      </c>
      <c r="E621" s="2" t="s">
        <v>68</v>
      </c>
      <c r="F621" s="2" t="s">
        <v>15</v>
      </c>
      <c r="G621" s="2" t="s">
        <v>1798</v>
      </c>
      <c r="H621" s="2" t="s">
        <v>221</v>
      </c>
      <c r="I621" s="2" t="str">
        <f>IFERROR(__xludf.DUMMYFUNCTION("GOOGLETRANSLATE(C621,""fr"",""en"")"),"I wanted to subscribe to AXA following a move. The home insurance offers looked correct, which is why I wanted to subscribe to one of them on their site.
But unfortunately this is where my problems started.
The site only bugged and when, after several a"&amp;"ttempts, I was able to access the payment platform, I entered the numbers of my card to pay, I validated then a load was carried out. .... 15 minutes later, the page is acting and returns to the home reception.
I tried to reach customer service after tha"&amp;"t to find out where the creation of my file was and it is simply not found ... No online customer service number is highlighted on their site.
I had to go through an agency that redirected me to a number, then another to finally have the right service wh"&amp;"ich tells me that no file exists in my name and that nothing was debited.
The same evening I realize that the sample is in progress.
Today, 3 weeks later, I find myself without any contract or file number at home, but with a 10 -year levy.
Online custo"&amp;"mer service is completely incompetent and gives me any solution to my problem.
I expect a reaction from them.
It is the worst assistant that I have known in my whole life.")</f>
        <v>I wanted to subscribe to AXA following a move. The home insurance offers looked correct, which is why I wanted to subscribe to one of them on their site.
But unfortunately this is where my problems started.
The site only bugged and when, after several attempts, I was able to access the payment platform, I entered the numbers of my card to pay, I validated then a load was carried out. .... 15 minutes later, the page is acting and returns to the home reception.
I tried to reach customer service after that to find out where the creation of my file was and it is simply not found ... No online customer service number is highlighted on their site.
I had to go through an agency that redirected me to a number, then another to finally have the right service which tells me that no file exists in my name and that nothing was debited.
The same evening I realize that the sample is in progress.
Today, 3 weeks later, I find myself without any contract or file number at home, but with a 10 -year levy.
Online customer service is completely incompetent and gives me any solution to my problem.
I expect a reaction from them.
It is the worst assistant that I have known in my whole life.</v>
      </c>
    </row>
    <row r="622" ht="15.75" customHeight="1">
      <c r="A622" s="2">
        <v>1.0</v>
      </c>
      <c r="B622" s="2" t="s">
        <v>1799</v>
      </c>
      <c r="C622" s="2" t="s">
        <v>1800</v>
      </c>
      <c r="D622" s="2" t="s">
        <v>416</v>
      </c>
      <c r="E622" s="2" t="s">
        <v>116</v>
      </c>
      <c r="F622" s="2" t="s">
        <v>15</v>
      </c>
      <c r="G622" s="2" t="s">
        <v>1224</v>
      </c>
      <c r="H622" s="2" t="s">
        <v>22</v>
      </c>
      <c r="I622" s="2" t="str">
        <f>IFERROR(__xludf.DUMMYFUNCTION("GOOGLETRANSLATE(C622,""fr"",""en"")"),"To run away absolutely.
1. The euro fund no longer reports anything
2. AFER operating mess is general
3. No possible contact: they do not respond to such or emails
4. The local advisor is no longer useful because it is ineffective in relation to the r"&amp;"ecurring dysfunctions of AFER
5. Partial buyouts do not work: much more than a month of delay
6. My date of birth is wrong; It has been more than 3 years since my AFER advisor revived them without success
What about positive? It was until 2017. Since t"&amp;"hen it's the disaster !!!")</f>
        <v>To run away absolutely.
1. The euro fund no longer reports anything
2. AFER operating mess is general
3. No possible contact: they do not respond to such or emails
4. The local advisor is no longer useful because it is ineffective in relation to the recurring dysfunctions of AFER
5. Partial buyouts do not work: much more than a month of delay
6. My date of birth is wrong; It has been more than 3 years since my AFER advisor revived them without success
What about positive? It was until 2017. Since then it's the disaster !!!</v>
      </c>
    </row>
    <row r="623" ht="15.75" customHeight="1">
      <c r="A623" s="2">
        <v>1.0</v>
      </c>
      <c r="B623" s="2" t="s">
        <v>1801</v>
      </c>
      <c r="C623" s="2" t="s">
        <v>1802</v>
      </c>
      <c r="D623" s="2" t="s">
        <v>20</v>
      </c>
      <c r="E623" s="2" t="s">
        <v>14</v>
      </c>
      <c r="F623" s="2" t="s">
        <v>15</v>
      </c>
      <c r="G623" s="2" t="s">
        <v>1803</v>
      </c>
      <c r="H623" s="2" t="s">
        <v>249</v>
      </c>
      <c r="I623" s="2" t="str">
        <f>IFERROR(__xludf.DUMMYFUNCTION("GOOGLETRANSLATE(C623,""fr"",""en"")"),"Do not subscribe I put a questioning I go to the attacks if I need to explain to myself:
First year no concern, 2nd year increase of 20% for no reason no accident ... does not send the sticker that Apps requests and 2 and a half months later!
3rd year R"&amp;"esiliations Pattern Association assured and this without preventing and continuing the sets we understand Prq does not prevent and bonus which does not move which does not evolve without reason, I made a revocation, but frankly it is a height.
I will tak"&amp;"e a lawyer to pay 1000th if you need!
Goodbye")</f>
        <v>Do not subscribe I put a questioning I go to the attacks if I need to explain to myself:
First year no concern, 2nd year increase of 20% for no reason no accident ... does not send the sticker that Apps requests and 2 and a half months later!
3rd year Resiliations Pattern Association assured and this without preventing and continuing the sets we understand Prq does not prevent and bonus which does not move which does not evolve without reason, I made a revocation, but frankly it is a height.
I will take a lawyer to pay 1000th if you need!
Goodbye</v>
      </c>
    </row>
    <row r="624" ht="15.75" customHeight="1">
      <c r="A624" s="2">
        <v>5.0</v>
      </c>
      <c r="B624" s="2" t="s">
        <v>1804</v>
      </c>
      <c r="C624" s="2" t="s">
        <v>1805</v>
      </c>
      <c r="D624" s="2" t="s">
        <v>50</v>
      </c>
      <c r="E624" s="2" t="s">
        <v>14</v>
      </c>
      <c r="F624" s="2" t="s">
        <v>15</v>
      </c>
      <c r="G624" s="2" t="s">
        <v>301</v>
      </c>
      <c r="H624" s="2" t="s">
        <v>159</v>
      </c>
      <c r="I624" s="2" t="str">
        <f>IFERROR(__xludf.DUMMYFUNCTION("GOOGLETRANSLATE(C624,""fr"",""en"")"),"Very competitive price given the profile of my daughter (allowed less than two years and already a 100% responsible disaster). Perfect communication. Great ease in the filing of documents and managing the contracting of the contract. Quick, courteous and "&amp;"efficient telephone assistance. It remains to be seen whether the services in the event of a claim are up to the promise.
In any case at this stage of my interaction with the olive tree I recommend more than warmly.")</f>
        <v>Very competitive price given the profile of my daughter (allowed less than two years and already a 100% responsible disaster). Perfect communication. Great ease in the filing of documents and managing the contracting of the contract. Quick, courteous and efficient telephone assistance. It remains to be seen whether the services in the event of a claim are up to the promise.
In any case at this stage of my interaction with the olive tree I recommend more than warmly.</v>
      </c>
    </row>
    <row r="625" ht="15.75" customHeight="1">
      <c r="A625" s="2">
        <v>3.0</v>
      </c>
      <c r="B625" s="2" t="s">
        <v>1806</v>
      </c>
      <c r="C625" s="2" t="s">
        <v>1807</v>
      </c>
      <c r="D625" s="2" t="s">
        <v>35</v>
      </c>
      <c r="E625" s="2" t="s">
        <v>36</v>
      </c>
      <c r="F625" s="2" t="s">
        <v>15</v>
      </c>
      <c r="G625" s="2" t="s">
        <v>32</v>
      </c>
      <c r="H625" s="2" t="s">
        <v>32</v>
      </c>
      <c r="I625" s="2" t="str">
        <f>IFERROR(__xludf.DUMMYFUNCTION("GOOGLETRANSLATE(C625,""fr"",""en"")"),"Health insurance taken through a Santian advisor.
Complicated implementation of my personal space by Internet from confusion between my old and new contract.
Fortunately Maria was able to answer me and resolve the concern.
To see management in the futu"&amp;"re ??")</f>
        <v>Health insurance taken through a Santian advisor.
Complicated implementation of my personal space by Internet from confusion between my old and new contract.
Fortunately Maria was able to answer me and resolve the concern.
To see management in the future ??</v>
      </c>
    </row>
    <row r="626" ht="15.75" customHeight="1">
      <c r="A626" s="2">
        <v>1.0</v>
      </c>
      <c r="B626" s="2" t="s">
        <v>1808</v>
      </c>
      <c r="C626" s="2" t="s">
        <v>1809</v>
      </c>
      <c r="D626" s="2" t="s">
        <v>30</v>
      </c>
      <c r="E626" s="2" t="s">
        <v>14</v>
      </c>
      <c r="F626" s="2" t="s">
        <v>15</v>
      </c>
      <c r="G626" s="2" t="s">
        <v>225</v>
      </c>
      <c r="H626" s="2" t="s">
        <v>159</v>
      </c>
      <c r="I626" s="2" t="str">
        <f>IFERROR(__xludf.DUMMYFUNCTION("GOOGLETRANSLATE(C626,""fr"",""en"")"),"I made a request for a change of address, because my accommodation is accessible via 2 streets and on the lease only one of the two appears, a parallel street still in the same city and I was awarded a Increase of 0.94 €/month on the amount of my subscrip"&amp;"tion.
I thought Direct Insurance was in the most attractive insurance I am wrong.
Second contract with you and not at all desire to subscribe a third when you see the quality of your customer service on the phone who does not understand anything.
In sh"&amp;"ort want to terminate all the contracts I have at home")</f>
        <v>I made a request for a change of address, because my accommodation is accessible via 2 streets and on the lease only one of the two appears, a parallel street still in the same city and I was awarded a Increase of 0.94 €/month on the amount of my subscription.
I thought Direct Insurance was in the most attractive insurance I am wrong.
Second contract with you and not at all desire to subscribe a third when you see the quality of your customer service on the phone who does not understand anything.
In short want to terminate all the contracts I have at home</v>
      </c>
    </row>
    <row r="627" ht="15.75" customHeight="1">
      <c r="A627" s="2">
        <v>4.0</v>
      </c>
      <c r="B627" s="2" t="s">
        <v>1810</v>
      </c>
      <c r="C627" s="2" t="s">
        <v>1811</v>
      </c>
      <c r="D627" s="2" t="s">
        <v>718</v>
      </c>
      <c r="E627" s="2" t="s">
        <v>36</v>
      </c>
      <c r="F627" s="2" t="s">
        <v>15</v>
      </c>
      <c r="G627" s="2" t="s">
        <v>1812</v>
      </c>
      <c r="H627" s="2" t="s">
        <v>192</v>
      </c>
      <c r="I627" s="2" t="str">
        <f>IFERROR(__xludf.DUMMYFUNCTION("GOOGLETRANSLATE(C627,""fr"",""en"")"),"Satisfied with April I am already customer auto insurance ... thank you April
.")</f>
        <v>Satisfied with April I am already customer auto insurance ... thank you April
.</v>
      </c>
    </row>
    <row r="628" ht="15.75" customHeight="1">
      <c r="A628" s="2">
        <v>4.0</v>
      </c>
      <c r="B628" s="2" t="s">
        <v>1813</v>
      </c>
      <c r="C628" s="2" t="s">
        <v>1814</v>
      </c>
      <c r="D628" s="2" t="s">
        <v>30</v>
      </c>
      <c r="E628" s="2" t="s">
        <v>14</v>
      </c>
      <c r="F628" s="2" t="s">
        <v>15</v>
      </c>
      <c r="G628" s="2" t="s">
        <v>1300</v>
      </c>
      <c r="H628" s="2" t="s">
        <v>64</v>
      </c>
      <c r="I628" s="2" t="str">
        <f>IFERROR(__xludf.DUMMYFUNCTION("GOOGLETRANSLATE(C628,""fr"",""en"")"),"The cheapest finds on the step and fast to subscribe
Complete for young people
Advise him to young drivers like me who have no big salary")</f>
        <v>The cheapest finds on the step and fast to subscribe
Complete for young people
Advise him to young drivers like me who have no big salary</v>
      </c>
    </row>
    <row r="629" ht="15.75" customHeight="1">
      <c r="A629" s="2">
        <v>2.0</v>
      </c>
      <c r="B629" s="2" t="s">
        <v>1815</v>
      </c>
      <c r="C629" s="2" t="s">
        <v>1816</v>
      </c>
      <c r="D629" s="2" t="s">
        <v>296</v>
      </c>
      <c r="E629" s="2" t="s">
        <v>68</v>
      </c>
      <c r="F629" s="2" t="s">
        <v>15</v>
      </c>
      <c r="G629" s="2" t="s">
        <v>1817</v>
      </c>
      <c r="H629" s="2" t="s">
        <v>27</v>
      </c>
      <c r="I629" s="2" t="str">
        <f>IFERROR(__xludf.DUMMYFUNCTION("GOOGLETRANSLATE(C629,""fr"",""en"")"),"DOSSIER DOSSIBLE TO THE STUDY For 3 months without other indications ???")</f>
        <v>DOSSIER DOSSIBLE TO THE STUDY For 3 months without other indications ???</v>
      </c>
    </row>
    <row r="630" ht="15.75" customHeight="1">
      <c r="A630" s="2">
        <v>1.0</v>
      </c>
      <c r="B630" s="2" t="s">
        <v>1818</v>
      </c>
      <c r="C630" s="2" t="s">
        <v>1819</v>
      </c>
      <c r="D630" s="2" t="s">
        <v>481</v>
      </c>
      <c r="E630" s="2" t="s">
        <v>111</v>
      </c>
      <c r="F630" s="2" t="s">
        <v>15</v>
      </c>
      <c r="G630" s="2" t="s">
        <v>22</v>
      </c>
      <c r="H630" s="2" t="s">
        <v>22</v>
      </c>
      <c r="I630" s="2" t="str">
        <f>IFERROR(__xludf.DUMMYFUNCTION("GOOGLETRANSLATE(C630,""fr"",""en"")"),"Do not take this insurer, for a new scooter that I was stolen purchase price 2600 euros, reimbursement 812 euros, I was still in running.")</f>
        <v>Do not take this insurer, for a new scooter that I was stolen purchase price 2600 euros, reimbursement 812 euros, I was still in running.</v>
      </c>
    </row>
    <row r="631" ht="15.75" customHeight="1">
      <c r="A631" s="2">
        <v>4.0</v>
      </c>
      <c r="B631" s="2" t="s">
        <v>1820</v>
      </c>
      <c r="C631" s="2" t="s">
        <v>1821</v>
      </c>
      <c r="D631" s="2" t="s">
        <v>50</v>
      </c>
      <c r="E631" s="2" t="s">
        <v>14</v>
      </c>
      <c r="F631" s="2" t="s">
        <v>15</v>
      </c>
      <c r="G631" s="2" t="s">
        <v>1822</v>
      </c>
      <c r="H631" s="2" t="s">
        <v>47</v>
      </c>
      <c r="I631" s="2" t="str">
        <f>IFERROR(__xludf.DUMMYFUNCTION("GOOGLETRANSLATE(C631,""fr"",""en"")"),"I am satisfied with the prices
I am satisfied with the speed of the online service
I am satisfied with the simplicity of the site
I'm satisfied")</f>
        <v>I am satisfied with the prices
I am satisfied with the speed of the online service
I am satisfied with the simplicity of the site
I'm satisfied</v>
      </c>
    </row>
    <row r="632" ht="15.75" customHeight="1">
      <c r="A632" s="2">
        <v>4.0</v>
      </c>
      <c r="B632" s="2" t="s">
        <v>1823</v>
      </c>
      <c r="C632" s="2" t="s">
        <v>1824</v>
      </c>
      <c r="D632" s="2" t="s">
        <v>50</v>
      </c>
      <c r="E632" s="2" t="s">
        <v>14</v>
      </c>
      <c r="F632" s="2" t="s">
        <v>15</v>
      </c>
      <c r="G632" s="2" t="s">
        <v>1659</v>
      </c>
      <c r="H632" s="2" t="s">
        <v>32</v>
      </c>
      <c r="I632" s="2" t="str">
        <f>IFERROR(__xludf.DUMMYFUNCTION("GOOGLETRANSLATE(C632,""fr"",""en"")"),"I am satisfied with your insurance thank you
I highly recommend this insurance to other people I will talk to my entourage so that he can come to you")</f>
        <v>I am satisfied with your insurance thank you
I highly recommend this insurance to other people I will talk to my entourage so that he can come to you</v>
      </c>
    </row>
    <row r="633" ht="15.75" customHeight="1">
      <c r="A633" s="2">
        <v>1.0</v>
      </c>
      <c r="B633" s="2" t="s">
        <v>1825</v>
      </c>
      <c r="C633" s="2" t="s">
        <v>1826</v>
      </c>
      <c r="D633" s="2" t="s">
        <v>329</v>
      </c>
      <c r="E633" s="2" t="s">
        <v>14</v>
      </c>
      <c r="F633" s="2" t="s">
        <v>15</v>
      </c>
      <c r="G633" s="2" t="s">
        <v>1827</v>
      </c>
      <c r="H633" s="2" t="s">
        <v>613</v>
      </c>
      <c r="I633" s="2" t="str">
        <f>IFERROR(__xludf.DUMMYFUNCTION("GOOGLETRANSLATE(C633,""fr"",""en"")"),"Insured at the Macif for several years now and we have been robbed. They took more than 6 months to answer us that we will not be reimbursed for all our stolen items because a clause in the contract mentions that in the event of inhabitation of our home o"&amp;"f more than 60 days, there is no 'Compensation?! But what incompetence on the part of the claim! Managers never recall, you have to insist heavily to have an answer! They even mandated an expert to be heard that there was a clause ...
A word of advice, b"&amp;"e very careful with the clauses in the contracts because at the subscription, we do not mention them!")</f>
        <v>Insured at the Macif for several years now and we have been robbed. They took more than 6 months to answer us that we will not be reimbursed for all our stolen items because a clause in the contract mentions that in the event of inhabitation of our home of more than 60 days, there is no 'Compensation?! But what incompetence on the part of the claim! Managers never recall, you have to insist heavily to have an answer! They even mandated an expert to be heard that there was a clause ...
A word of advice, be very careful with the clauses in the contracts because at the subscription, we do not mention them!</v>
      </c>
    </row>
    <row r="634" ht="15.75" customHeight="1">
      <c r="A634" s="2">
        <v>1.0</v>
      </c>
      <c r="B634" s="2" t="s">
        <v>1828</v>
      </c>
      <c r="C634" s="2" t="s">
        <v>1829</v>
      </c>
      <c r="D634" s="2" t="s">
        <v>247</v>
      </c>
      <c r="E634" s="2" t="s">
        <v>36</v>
      </c>
      <c r="F634" s="2" t="s">
        <v>15</v>
      </c>
      <c r="G634" s="2" t="s">
        <v>1830</v>
      </c>
      <c r="H634" s="2" t="s">
        <v>241</v>
      </c>
      <c r="I634" s="2" t="str">
        <f>IFERROR(__xludf.DUMMYFUNCTION("GOOGLETRANSLATE(C634,""fr"",""en"")"),"Mutual below everything in terms of requests for requests, I have via their site sent an invoice paid for dental care, since 5/01/2021 it is indicated as received but untreated, despite 4 recovery email to know S 'He lacked documents on the file I never o"&amp;"btained an answer, it is a sum of 1600 euros as a retired it is obvious that this significantly strikes my budget, on the other hand the new schedule for 2021 as well as the contributions of contributions have never suffered from the slightest delay.
I w"&amp;"onder if it would not be possible to bring all our grievances to a consumer association.")</f>
        <v>Mutual below everything in terms of requests for requests, I have via their site sent an invoice paid for dental care, since 5/01/2021 it is indicated as received but untreated, despite 4 recovery email to know S 'He lacked documents on the file I never obtained an answer, it is a sum of 1600 euros as a retired it is obvious that this significantly strikes my budget, on the other hand the new schedule for 2021 as well as the contributions of contributions have never suffered from the slightest delay.
I wonder if it would not be possible to bring all our grievances to a consumer association.</v>
      </c>
    </row>
    <row r="635" ht="15.75" customHeight="1">
      <c r="A635" s="2">
        <v>1.0</v>
      </c>
      <c r="B635" s="2" t="s">
        <v>1831</v>
      </c>
      <c r="C635" s="2" t="s">
        <v>1832</v>
      </c>
      <c r="D635" s="2" t="s">
        <v>50</v>
      </c>
      <c r="E635" s="2" t="s">
        <v>14</v>
      </c>
      <c r="F635" s="2" t="s">
        <v>15</v>
      </c>
      <c r="G635" s="2" t="s">
        <v>869</v>
      </c>
      <c r="H635" s="2" t="s">
        <v>107</v>
      </c>
      <c r="I635" s="2" t="str">
        <f>IFERROR(__xludf.DUMMYFUNCTION("GOOGLETRANSLATE(C635,""fr"",""en"")"),"Insurance to flee!
They took advantage of my situation when I was in the penalty to be the only ones being able to ensure my vehicle and get paying 240 € of insurance/month! ??
I had two unfortunate clashes and a material accident and when I joined them"&amp;", they did not flinch and I paid 80 € when I had the sudden surprise of the increase in my price for in the end me Radio almost 6 months after without really valid reason (they were already aware of the claims)!
False advertising !")</f>
        <v>Insurance to flee!
They took advantage of my situation when I was in the penalty to be the only ones being able to ensure my vehicle and get paying 240 € of insurance/month! ??
I had two unfortunate clashes and a material accident and when I joined them, they did not flinch and I paid 80 € when I had the sudden surprise of the increase in my price for in the end me Radio almost 6 months after without really valid reason (they were already aware of the claims)!
False advertising !</v>
      </c>
    </row>
    <row r="636" ht="15.75" customHeight="1">
      <c r="A636" s="2">
        <v>1.0</v>
      </c>
      <c r="B636" s="2" t="s">
        <v>1833</v>
      </c>
      <c r="C636" s="2" t="s">
        <v>1834</v>
      </c>
      <c r="D636" s="2" t="s">
        <v>30</v>
      </c>
      <c r="E636" s="2" t="s">
        <v>14</v>
      </c>
      <c r="F636" s="2" t="s">
        <v>15</v>
      </c>
      <c r="G636" s="2" t="s">
        <v>1090</v>
      </c>
      <c r="H636" s="2" t="s">
        <v>91</v>
      </c>
      <c r="I636" s="2" t="str">
        <f>IFERROR(__xludf.DUMMYFUNCTION("GOOGLETRANSLATE(C636,""fr"",""en"")"),"Avoid at all costs, relocated customer service &amp; rigid and non -professional advisers including their manager. 3 complaints to untreated customer service. 10 months of waiting for car repair following a non -responsible disaster.")</f>
        <v>Avoid at all costs, relocated customer service &amp; rigid and non -professional advisers including their manager. 3 complaints to untreated customer service. 10 months of waiting for car repair following a non -responsible disaster.</v>
      </c>
    </row>
    <row r="637" ht="15.75" customHeight="1">
      <c r="A637" s="2">
        <v>2.0</v>
      </c>
      <c r="B637" s="2" t="s">
        <v>1835</v>
      </c>
      <c r="C637" s="2" t="s">
        <v>1836</v>
      </c>
      <c r="D637" s="2" t="s">
        <v>219</v>
      </c>
      <c r="E637" s="2" t="s">
        <v>90</v>
      </c>
      <c r="F637" s="2" t="s">
        <v>15</v>
      </c>
      <c r="G637" s="2" t="s">
        <v>770</v>
      </c>
      <c r="H637" s="2" t="s">
        <v>52</v>
      </c>
      <c r="I637" s="2" t="str">
        <f>IFERROR(__xludf.DUMMYFUNCTION("GOOGLETRANSLATE(C637,""fr"",""en"")"),"Following a stroke occurred on 12/27/2020, my mother is in a state of extreme dependence. 1 month later, I ask for the medical file to be filled by his doctor. My mother died on February 23. The file was only returned complete on March 20. (Available doct"&amp;"or, postal transfer time, obtaining hospital documents ..).
Refusal to compensate the doctor's advice doctor because the file arrived after the death of the insured ...... non -admissible and abusive argument. Nothing in the contract imposes any delay. I"&amp;" will not give up on the unscrupulous people. My mother contributed for 20 years without the slightest delay. And they try not to pay compensation for a period of 7 weeks when her doctor clearly indicates that she was in a state of dependence Gir 1. A sha"&amp;"me !!")</f>
        <v>Following a stroke occurred on 12/27/2020, my mother is in a state of extreme dependence. 1 month later, I ask for the medical file to be filled by his doctor. My mother died on February 23. The file was only returned complete on March 20. (Available doctor, postal transfer time, obtaining hospital documents ..).
Refusal to compensate the doctor's advice doctor because the file arrived after the death of the insured ...... non -admissible and abusive argument. Nothing in the contract imposes any delay. I will not give up on the unscrupulous people. My mother contributed for 20 years without the slightest delay. And they try not to pay compensation for a period of 7 weeks when her doctor clearly indicates that she was in a state of dependence Gir 1. A shame !!</v>
      </c>
    </row>
    <row r="638" ht="15.75" customHeight="1">
      <c r="A638" s="2">
        <v>2.0</v>
      </c>
      <c r="B638" s="2" t="s">
        <v>1837</v>
      </c>
      <c r="C638" s="2" t="s">
        <v>1838</v>
      </c>
      <c r="D638" s="2" t="s">
        <v>85</v>
      </c>
      <c r="E638" s="2" t="s">
        <v>36</v>
      </c>
      <c r="F638" s="2" t="s">
        <v>15</v>
      </c>
      <c r="G638" s="2" t="s">
        <v>1839</v>
      </c>
      <c r="H638" s="2" t="s">
        <v>360</v>
      </c>
      <c r="I638" s="2" t="str">
        <f>IFERROR(__xludf.DUMMYFUNCTION("GOOGLETRANSLATE(C638,""fr"",""en"")"),"Currently employed, this is my mutual company. Time to draw the files for any changes in diets, they were put back on the basis. Instead of the level 1. diet that I then resumed. Except that the prorata of my medical expenses were refused ... outside I di"&amp;"d not choose to be on the basis of the time of the paper ... and my employer said that normally there was a pro rata ...
In addition I made a request by email for another reason. My employer does not know how to answer me ... The response of the Mutual's"&amp;" email. Return to your employer ... I really turn in a watery with this mutual.")</f>
        <v>Currently employed, this is my mutual company. Time to draw the files for any changes in diets, they were put back on the basis. Instead of the level 1. diet that I then resumed. Except that the prorata of my medical expenses were refused ... outside I did not choose to be on the basis of the time of the paper ... and my employer said that normally there was a pro rata ...
In addition I made a request by email for another reason. My employer does not know how to answer me ... The response of the Mutual's email. Return to your employer ... I really turn in a watery with this mutual.</v>
      </c>
    </row>
    <row r="639" ht="15.75" customHeight="1">
      <c r="A639" s="2">
        <v>2.0</v>
      </c>
      <c r="B639" s="2" t="s">
        <v>1840</v>
      </c>
      <c r="C639" s="2" t="s">
        <v>1841</v>
      </c>
      <c r="D639" s="2" t="s">
        <v>292</v>
      </c>
      <c r="E639" s="2" t="s">
        <v>68</v>
      </c>
      <c r="F639" s="2" t="s">
        <v>15</v>
      </c>
      <c r="G639" s="2" t="s">
        <v>1842</v>
      </c>
      <c r="H639" s="2" t="s">
        <v>369</v>
      </c>
      <c r="I639" s="2" t="str">
        <f>IFERROR(__xludf.DUMMYFUNCTION("GOOGLETRANSLATE(C639,""fr"",""en"")"),"I strongly advise against this insurer, which systematically refuses to grant the guarantee linked to claims and does not comply with the conditions provided for in the contract within the framework of the legal protection of customers. Indeed, even follo"&amp;"wing the matmut PJ complaints is doing everything to refuse to take care of your costs. To flee!")</f>
        <v>I strongly advise against this insurer, which systematically refuses to grant the guarantee linked to claims and does not comply with the conditions provided for in the contract within the framework of the legal protection of customers. Indeed, even following the matmut PJ complaints is doing everything to refuse to take care of your costs. To flee!</v>
      </c>
    </row>
    <row r="640" ht="15.75" customHeight="1">
      <c r="A640" s="2">
        <v>4.0</v>
      </c>
      <c r="B640" s="2" t="s">
        <v>1843</v>
      </c>
      <c r="C640" s="2" t="s">
        <v>1844</v>
      </c>
      <c r="D640" s="2" t="s">
        <v>50</v>
      </c>
      <c r="E640" s="2" t="s">
        <v>14</v>
      </c>
      <c r="F640" s="2" t="s">
        <v>15</v>
      </c>
      <c r="G640" s="2" t="s">
        <v>1845</v>
      </c>
      <c r="H640" s="2" t="s">
        <v>221</v>
      </c>
      <c r="I640" s="2" t="str">
        <f>IFERROR(__xludf.DUMMYFUNCTION("GOOGLETRANSLATE(C640,""fr"",""en"")"),"I was insured with the olive tree for a year and I was very satisfied with their service. Party living abroad I was forced to re -represent my car and even this departure was rapid and painless. I sincerely recommend!")</f>
        <v>I was insured with the olive tree for a year and I was very satisfied with their service. Party living abroad I was forced to re -represent my car and even this departure was rapid and painless. I sincerely recommend!</v>
      </c>
    </row>
    <row r="641" ht="15.75" customHeight="1">
      <c r="A641" s="2">
        <v>4.0</v>
      </c>
      <c r="B641" s="2" t="s">
        <v>1846</v>
      </c>
      <c r="C641" s="2" t="s">
        <v>1847</v>
      </c>
      <c r="D641" s="2" t="s">
        <v>30</v>
      </c>
      <c r="E641" s="2" t="s">
        <v>14</v>
      </c>
      <c r="F641" s="2" t="s">
        <v>15</v>
      </c>
      <c r="G641" s="2" t="s">
        <v>255</v>
      </c>
      <c r="H641" s="2" t="s">
        <v>199</v>
      </c>
      <c r="I641" s="2" t="str">
        <f>IFERROR(__xludf.DUMMYFUNCTION("GOOGLETRANSLATE(C641,""fr"",""en"")"),"Satisfied with the services, the speed of processing my requests, the prices offered to us. The advisers are listening to us
We advise direct insurance around us.")</f>
        <v>Satisfied with the services, the speed of processing my requests, the prices offered to us. The advisers are listening to us
We advise direct insurance around us.</v>
      </c>
    </row>
    <row r="642" ht="15.75" customHeight="1">
      <c r="A642" s="2">
        <v>5.0</v>
      </c>
      <c r="B642" s="2" t="s">
        <v>1848</v>
      </c>
      <c r="C642" s="2" t="s">
        <v>1849</v>
      </c>
      <c r="D642" s="2" t="s">
        <v>50</v>
      </c>
      <c r="E642" s="2" t="s">
        <v>14</v>
      </c>
      <c r="F642" s="2" t="s">
        <v>15</v>
      </c>
      <c r="G642" s="2" t="s">
        <v>76</v>
      </c>
      <c r="H642" s="2" t="s">
        <v>52</v>
      </c>
      <c r="I642" s="2" t="str">
        <f>IFERROR(__xludf.DUMMYFUNCTION("GOOGLETRANSLATE(C642,""fr"",""en"")"),"#I am satisfied with the service, quick exchange by email, professional team, a price adapted to my needs I recommend.
#Bien to you#.... ... .........
")</f>
        <v>#I am satisfied with the service, quick exchange by email, professional team, a price adapted to my needs I recommend.
#Bien to you#.... ... .........
</v>
      </c>
    </row>
    <row r="643" ht="15.75" customHeight="1">
      <c r="A643" s="2">
        <v>5.0</v>
      </c>
      <c r="B643" s="2" t="s">
        <v>1850</v>
      </c>
      <c r="C643" s="2" t="s">
        <v>1851</v>
      </c>
      <c r="D643" s="2" t="s">
        <v>571</v>
      </c>
      <c r="E643" s="2" t="s">
        <v>80</v>
      </c>
      <c r="F643" s="2" t="s">
        <v>15</v>
      </c>
      <c r="G643" s="2" t="s">
        <v>1284</v>
      </c>
      <c r="H643" s="2" t="s">
        <v>124</v>
      </c>
      <c r="I643" s="2" t="str">
        <f>IFERROR(__xludf.DUMMYFUNCTION("GOOGLETRANSLATE(C643,""fr"",""en"")"),"I am very satisfied with the service, we have been very well advised with a professional person who had throughout the process took the time to explain to us what was not clear for us.
I will recommend this site without hesitation.
")</f>
        <v>I am very satisfied with the service, we have been very well advised with a professional person who had throughout the process took the time to explain to us what was not clear for us.
I will recommend this site without hesitation.
</v>
      </c>
    </row>
    <row r="644" ht="15.75" customHeight="1">
      <c r="A644" s="2">
        <v>5.0</v>
      </c>
      <c r="B644" s="2" t="s">
        <v>1852</v>
      </c>
      <c r="C644" s="2" t="s">
        <v>1853</v>
      </c>
      <c r="D644" s="2" t="s">
        <v>296</v>
      </c>
      <c r="E644" s="2" t="s">
        <v>14</v>
      </c>
      <c r="F644" s="2" t="s">
        <v>15</v>
      </c>
      <c r="G644" s="2" t="s">
        <v>866</v>
      </c>
      <c r="H644" s="2" t="s">
        <v>38</v>
      </c>
      <c r="I644" s="2" t="str">
        <f>IFERROR(__xludf.DUMMYFUNCTION("GOOGLETRANSLATE(C644,""fr"",""en"")"),"Very satisfied for several years
Very good value for money
I recommend this insurance for all existing contracts: health, housing, car etc")</f>
        <v>Very satisfied for several years
Very good value for money
I recommend this insurance for all existing contracts: health, housing, car etc</v>
      </c>
    </row>
    <row r="645" ht="15.75" customHeight="1">
      <c r="A645" s="2">
        <v>1.0</v>
      </c>
      <c r="B645" s="2" t="s">
        <v>1854</v>
      </c>
      <c r="C645" s="2" t="s">
        <v>1855</v>
      </c>
      <c r="D645" s="2" t="s">
        <v>219</v>
      </c>
      <c r="E645" s="2" t="s">
        <v>14</v>
      </c>
      <c r="F645" s="2" t="s">
        <v>15</v>
      </c>
      <c r="G645" s="2" t="s">
        <v>1856</v>
      </c>
      <c r="H645" s="2" t="s">
        <v>305</v>
      </c>
      <c r="I645" s="2" t="str">
        <f>IFERROR(__xludf.DUMMYFUNCTION("GOOGLETRANSLATE(C645,""fr"",""en"")"),"I do not recommend at all. Incompetence. Total hassle to make a loss. It takes a lot of patience. And to say that we think they are insurance experts! Do not take care of it")</f>
        <v>I do not recommend at all. Incompetence. Total hassle to make a loss. It takes a lot of patience. And to say that we think they are insurance experts! Do not take care of it</v>
      </c>
    </row>
    <row r="646" ht="15.75" customHeight="1">
      <c r="A646" s="2">
        <v>4.0</v>
      </c>
      <c r="B646" s="2" t="s">
        <v>1857</v>
      </c>
      <c r="C646" s="2" t="s">
        <v>1858</v>
      </c>
      <c r="D646" s="2" t="s">
        <v>481</v>
      </c>
      <c r="E646" s="2" t="s">
        <v>111</v>
      </c>
      <c r="F646" s="2" t="s">
        <v>15</v>
      </c>
      <c r="G646" s="2" t="s">
        <v>591</v>
      </c>
      <c r="H646" s="2" t="s">
        <v>64</v>
      </c>
      <c r="I646" s="2" t="str">
        <f>IFERROR(__xludf.DUMMYFUNCTION("GOOGLETRANSLATE(C646,""fr"",""en"")"),"The price suits me
I asked to call me 3 days ago but still was not called, that's why I put a 4 star for satisfaction.")</f>
        <v>The price suits me
I asked to call me 3 days ago but still was not called, that's why I put a 4 star for satisfaction.</v>
      </c>
    </row>
    <row r="647" ht="15.75" customHeight="1">
      <c r="A647" s="2">
        <v>4.0</v>
      </c>
      <c r="B647" s="2" t="s">
        <v>1859</v>
      </c>
      <c r="C647" s="2" t="s">
        <v>1860</v>
      </c>
      <c r="D647" s="2" t="s">
        <v>134</v>
      </c>
      <c r="E647" s="2" t="s">
        <v>36</v>
      </c>
      <c r="F647" s="2" t="s">
        <v>15</v>
      </c>
      <c r="G647" s="2" t="s">
        <v>1204</v>
      </c>
      <c r="H647" s="2" t="s">
        <v>124</v>
      </c>
      <c r="I647" s="2" t="str">
        <f>IFERROR(__xludf.DUMMYFUNCTION("GOOGLETRANSLATE(C647,""fr"",""en"")"),"I am very satisfied with the services of Néoliane Santors and very well oriented by Mr. Rawane on his contract where I had encountered a difficult problem for me to solve
I do not want to leave this mutual therefore so I am happy with its services
Thank"&amp;" you very much Rawane and to all the team that directed me to this advisor.")</f>
        <v>I am very satisfied with the services of Néoliane Santors and very well oriented by Mr. Rawane on his contract where I had encountered a difficult problem for me to solve
I do not want to leave this mutual therefore so I am happy with its services
Thank you very much Rawane and to all the team that directed me to this advisor.</v>
      </c>
    </row>
    <row r="648" ht="15.75" customHeight="1">
      <c r="A648" s="2">
        <v>3.0</v>
      </c>
      <c r="B648" s="2" t="s">
        <v>1861</v>
      </c>
      <c r="C648" s="2" t="s">
        <v>1862</v>
      </c>
      <c r="D648" s="2" t="s">
        <v>85</v>
      </c>
      <c r="E648" s="2" t="s">
        <v>90</v>
      </c>
      <c r="F648" s="2" t="s">
        <v>15</v>
      </c>
      <c r="G648" s="2" t="s">
        <v>1863</v>
      </c>
      <c r="H648" s="2" t="s">
        <v>1007</v>
      </c>
      <c r="I648" s="2" t="str">
        <f>IFERROR(__xludf.DUMMYFUNCTION("GOOGLETRANSLATE(C648,""fr"",""en"")"),"File sent in early September and still not pay for the proof that I have already sent additional wages of the month of August still not paying")</f>
        <v>File sent in early September and still not pay for the proof that I have already sent additional wages of the month of August still not paying</v>
      </c>
    </row>
    <row r="649" ht="15.75" customHeight="1">
      <c r="A649" s="2">
        <v>2.0</v>
      </c>
      <c r="B649" s="2" t="s">
        <v>1864</v>
      </c>
      <c r="C649" s="2" t="s">
        <v>1865</v>
      </c>
      <c r="D649" s="2" t="s">
        <v>329</v>
      </c>
      <c r="E649" s="2" t="s">
        <v>68</v>
      </c>
      <c r="F649" s="2" t="s">
        <v>15</v>
      </c>
      <c r="G649" s="2" t="s">
        <v>821</v>
      </c>
      <c r="H649" s="2" t="s">
        <v>177</v>
      </c>
      <c r="I649" s="2" t="str">
        <f>IFERROR(__xludf.DUMMYFUNCTION("GOOGLETRANSLATE(C649,""fr"",""en"")"),"Member for 42 years. This is my first disaster of water damage in my apartment for more than a month. I have no contact to follow my file. I am returned to an expert cabinet. I live with my problem despite several reminders.
Is the mutualist spirit being"&amp;" sacrificed?")</f>
        <v>Member for 42 years. This is my first disaster of water damage in my apartment for more than a month. I have no contact to follow my file. I am returned to an expert cabinet. I live with my problem despite several reminders.
Is the mutualist spirit being sacrificed?</v>
      </c>
    </row>
    <row r="650" ht="15.75" customHeight="1">
      <c r="A650" s="2">
        <v>1.0</v>
      </c>
      <c r="B650" s="2" t="s">
        <v>1866</v>
      </c>
      <c r="C650" s="2" t="s">
        <v>1867</v>
      </c>
      <c r="D650" s="2" t="s">
        <v>85</v>
      </c>
      <c r="E650" s="2" t="s">
        <v>36</v>
      </c>
      <c r="F650" s="2" t="s">
        <v>15</v>
      </c>
      <c r="G650" s="2" t="s">
        <v>1868</v>
      </c>
      <c r="H650" s="2" t="s">
        <v>113</v>
      </c>
      <c r="I650" s="2" t="str">
        <f>IFERROR(__xludf.DUMMYFUNCTION("GOOGLETRANSLATE(C650,""fr"",""en"")"),"The right mutual insurance for losing your mental health
This is the title of the two -page note that I had written in December 2016 following the cancellation of my two beneficiaries, despite the sending to Marseille of their respective school certifica"&amp;"te (they were still students) after returning Once again all the documents, they had restored one but forgot the second ...
In the end, 6 blows of threads and several postal shipments to have the cards in extremis at the end of December 2016.
This year,"&amp;" my two children were hired about the same period.
One end of September, I therefore asked for its radiation because it has a compulsory group group. No response from AG2R. I had tried to connect to their site with my identifiers, nothing was walking ..."&amp;"! I finally called and I was told that the site has been in maintenance since ... 3 weeks !!
That I had to send compulsory mutual certificates ... still it was necessary to know, but as AG2R had not responded to my request ...
Meanwhile, my second son w"&amp;"ho has right also won a position in early November with a compulsory group group.
I therefore make a rar letter with as ""beneficiary cancellation"" object I give the name and references of my two children who have law with the name of their company, I a"&amp;"ttach the two compulsory mutual certificates group and I ask that AG2R makes me (I resume my text) ""reach the new state of my contract and the new amount of my subscription following the deletion of my"" family ""contract since, following the radiation o"&amp;"f my children, my contract became individual.
Answer this morning (verbatim):
We have registered the termination of your membership in the supplementary health insurance that ends on December 1, 2017.
We remind you that your health costs incurred from "&amp;"this date will no longer be covered by Viassante.
In addition, if you are still in possession of your health card, we thank you for returning it to us.
No reference to my children for whom I asked for a beneficiary cancellation and I am canceled, withou"&amp;"t having asked for it !!!!!!!!!!!!
The reverse of last year, in worse !!!!
We really wonder if it is possible!
I do not yet know what I am going to do (probably change my mutual) but I will send to the ""Management"" center (word which is a huge misint"&amp;"erpretation) a RAR letter as well as at the general management of Ag2R.
There are no words to describe such a situation, it's grotesque! Not to mention the time spent redoing letters, impressions, photocopies and the money spent in RAR.
Someone on the f"&amp;"orum said she would contact the French Federation of Insurance Companies. I think it could be a good thing. I myself have managed several professional organizations at the national level for more than 35 years ... and I even lived (because leading a Confe"&amp;"deration of Crafts at the time) the imposition of AG2R in the sector of The bakery that didn't want to ...
The abolition of student mutuals is currently in the ramp fires. It was a real scandal actually. AG2R is not better ...
")</f>
        <v>The right mutual insurance for losing your mental health
This is the title of the two -page note that I had written in December 2016 following the cancellation of my two beneficiaries, despite the sending to Marseille of their respective school certificate (they were still students) after returning Once again all the documents, they had restored one but forgot the second ...
In the end, 6 blows of threads and several postal shipments to have the cards in extremis at the end of December 2016.
This year, my two children were hired about the same period.
One end of September, I therefore asked for its radiation because it has a compulsory group group. No response from AG2R. I had tried to connect to their site with my identifiers, nothing was walking ...! I finally called and I was told that the site has been in maintenance since ... 3 weeks !!
That I had to send compulsory mutual certificates ... still it was necessary to know, but as AG2R had not responded to my request ...
Meanwhile, my second son who has right also won a position in early November with a compulsory group group.
I therefore make a rar letter with as "beneficiary cancellation" object I give the name and references of my two children who have law with the name of their company, I attach the two compulsory mutual certificates group and I ask that AG2R makes me (I resume my text) "reach the new state of my contract and the new amount of my subscription following the deletion of my" family "contract since, following the radiation of my children, my contract became individual.
Answer this morning (verbatim):
We have registered the termination of your membership in the supplementary health insurance that ends on December 1, 2017.
We remind you that your health costs incurred from this date will no longer be covered by Viassante.
In addition, if you are still in possession of your health card, we thank you for returning it to us.
No reference to my children for whom I asked for a beneficiary cancellation and I am canceled, without having asked for it !!!!!!!!!!!!
The reverse of last year, in worse !!!!
We really wonder if it is possible!
I do not yet know what I am going to do (probably change my mutual) but I will send to the "Management" center (word which is a huge misinterpretation) a RAR letter as well as at the general management of Ag2R.
There are no words to describe such a situation, it's grotesque! Not to mention the time spent redoing letters, impressions, photocopies and the money spent in RAR.
Someone on the forum said she would contact the French Federation of Insurance Companies. I think it could be a good thing. I myself have managed several professional organizations at the national level for more than 35 years ... and I even lived (because leading a Confederation of Crafts at the time) the imposition of AG2R in the sector of The bakery that didn't want to ...
The abolition of student mutuals is currently in the ramp fires. It was a real scandal actually. AG2R is not better ...
</v>
      </c>
    </row>
    <row r="651" ht="15.75" customHeight="1">
      <c r="A651" s="2">
        <v>3.0</v>
      </c>
      <c r="B651" s="2" t="s">
        <v>1869</v>
      </c>
      <c r="C651" s="2" t="s">
        <v>1870</v>
      </c>
      <c r="D651" s="2" t="s">
        <v>481</v>
      </c>
      <c r="E651" s="2" t="s">
        <v>111</v>
      </c>
      <c r="F651" s="2" t="s">
        <v>15</v>
      </c>
      <c r="G651" s="2" t="s">
        <v>440</v>
      </c>
      <c r="H651" s="2" t="s">
        <v>52</v>
      </c>
      <c r="I651" s="2" t="str">
        <f>IFERROR(__xludf.DUMMYFUNCTION("GOOGLETRANSLATE(C651,""fr"",""en"")"),"Hello prices are very correct even with the supplementary objects chosen.
Compared to other large renowned insurance. I hope not to me.")</f>
        <v>Hello prices are very correct even with the supplementary objects chosen.
Compared to other large renowned insurance. I hope not to me.</v>
      </c>
    </row>
    <row r="652" ht="15.75" customHeight="1">
      <c r="A652" s="2">
        <v>1.0</v>
      </c>
      <c r="B652" s="2" t="s">
        <v>1871</v>
      </c>
      <c r="C652" s="2" t="s">
        <v>1872</v>
      </c>
      <c r="D652" s="2" t="s">
        <v>247</v>
      </c>
      <c r="E652" s="2" t="s">
        <v>36</v>
      </c>
      <c r="F652" s="2" t="s">
        <v>15</v>
      </c>
      <c r="G652" s="2" t="s">
        <v>76</v>
      </c>
      <c r="H652" s="2" t="s">
        <v>52</v>
      </c>
      <c r="I652" s="2" t="str">
        <f>IFERROR(__xludf.DUMMYFUNCTION("GOOGLETRANSLATE(C652,""fr"",""en"")"),"Happy at the start but the service to Mercer is largely degraded! The reimbursement times are extremely long (up to 2 months) when we deign to repay us (2 reimbursements have not been made and I still campaign after months !!!)
We frankly think of changi"&amp;"ng mutual insurance !!")</f>
        <v>Happy at the start but the service to Mercer is largely degraded! The reimbursement times are extremely long (up to 2 months) when we deign to repay us (2 reimbursements have not been made and I still campaign after months !!!)
We frankly think of changing mutual insurance !!</v>
      </c>
    </row>
    <row r="653" ht="15.75" customHeight="1">
      <c r="A653" s="2">
        <v>3.0</v>
      </c>
      <c r="B653" s="2" t="s">
        <v>1873</v>
      </c>
      <c r="C653" s="2" t="s">
        <v>1874</v>
      </c>
      <c r="D653" s="2" t="s">
        <v>296</v>
      </c>
      <c r="E653" s="2" t="s">
        <v>14</v>
      </c>
      <c r="F653" s="2" t="s">
        <v>15</v>
      </c>
      <c r="G653" s="2" t="s">
        <v>1656</v>
      </c>
      <c r="H653" s="2" t="s">
        <v>32</v>
      </c>
      <c r="I653" s="2" t="str">
        <f>IFERROR(__xludf.DUMMYFUNCTION("GOOGLETRANSLATE(C653,""fr"",""en"")"),"I am satisfied with the services. Reception and satisfactory information. I will recommend your agency to friends. Internet access is correct and allows me to access my freely documents")</f>
        <v>I am satisfied with the services. Reception and satisfactory information. I will recommend your agency to friends. Internet access is correct and allows me to access my freely documents</v>
      </c>
    </row>
    <row r="654" ht="15.75" customHeight="1">
      <c r="A654" s="2">
        <v>1.0</v>
      </c>
      <c r="B654" s="2" t="s">
        <v>1875</v>
      </c>
      <c r="C654" s="2" t="s">
        <v>1876</v>
      </c>
      <c r="D654" s="2" t="s">
        <v>13</v>
      </c>
      <c r="E654" s="2" t="s">
        <v>14</v>
      </c>
      <c r="F654" s="2" t="s">
        <v>15</v>
      </c>
      <c r="G654" s="2" t="s">
        <v>706</v>
      </c>
      <c r="H654" s="2" t="s">
        <v>397</v>
      </c>
      <c r="I654" s="2" t="str">
        <f>IFERROR(__xludf.DUMMYFUNCTION("GOOGLETRANSLATE(C654,""fr"",""en"")"),"hello yes the bonus for life is nigo catch all the planet the sound as you break and that you are in torr you must pay poins bar voila if not its will be trot baux does not say eh in which country we break and we give a bonus")</f>
        <v>hello yes the bonus for life is nigo catch all the planet the sound as you break and that you are in torr you must pay poins bar voila if not its will be trot baux does not say eh in which country we break and we give a bonus</v>
      </c>
    </row>
    <row r="655" ht="15.75" customHeight="1">
      <c r="A655" s="2">
        <v>2.0</v>
      </c>
      <c r="B655" s="2" t="s">
        <v>1877</v>
      </c>
      <c r="C655" s="2" t="s">
        <v>1878</v>
      </c>
      <c r="D655" s="2" t="s">
        <v>672</v>
      </c>
      <c r="E655" s="2" t="s">
        <v>90</v>
      </c>
      <c r="F655" s="2" t="s">
        <v>15</v>
      </c>
      <c r="G655" s="2" t="s">
        <v>1879</v>
      </c>
      <c r="H655" s="2" t="s">
        <v>340</v>
      </c>
      <c r="I655" s="2" t="str">
        <f>IFERROR(__xludf.DUMMYFUNCTION("GOOGLETRANSLATE(C655,""fr"",""en"")"),"To flee without hesitation")</f>
        <v>To flee without hesitation</v>
      </c>
    </row>
    <row r="656" ht="15.75" customHeight="1">
      <c r="A656" s="2">
        <v>1.0</v>
      </c>
      <c r="B656" s="2" t="s">
        <v>1880</v>
      </c>
      <c r="C656" s="2" t="s">
        <v>1881</v>
      </c>
      <c r="D656" s="2" t="s">
        <v>145</v>
      </c>
      <c r="E656" s="2" t="s">
        <v>111</v>
      </c>
      <c r="F656" s="2" t="s">
        <v>15</v>
      </c>
      <c r="G656" s="2" t="s">
        <v>1882</v>
      </c>
      <c r="H656" s="2" t="s">
        <v>229</v>
      </c>
      <c r="I656" s="2" t="str">
        <f>IFERROR(__xludf.DUMMYFUNCTION("GOOGLETRANSLATE(C656,""fr"",""en"")"),"My file does not advance I am told nothing. All this fact that I agree or not after a month still no report from the expert. Following my accident, I am always opas if it is taken 100% or other !!! AMV we can contract them that in the morning but to make "&amp;"the quotes to you it is all day ... there is a mi temp it is scandalous I will put the file in the hands of my lawyer there is a mart !!! AMV to flee .... a scooter 50 a motorcycle 500 and a 125 that I must ensure bah I will not go to you ... more motorcy"&amp;"cle my sample are well taken")</f>
        <v>My file does not advance I am told nothing. All this fact that I agree or not after a month still no report from the expert. Following my accident, I am always opas if it is taken 100% or other !!! AMV we can contract them that in the morning but to make the quotes to you it is all day ... there is a mi temp it is scandalous I will put the file in the hands of my lawyer there is a mart !!! AMV to flee .... a scooter 50 a motorcycle 500 and a 125 that I must ensure bah I will not go to you ... more motorcycle my sample are well taken</v>
      </c>
    </row>
    <row r="657" ht="15.75" customHeight="1">
      <c r="A657" s="2">
        <v>1.0</v>
      </c>
      <c r="B657" s="2" t="s">
        <v>1883</v>
      </c>
      <c r="C657" s="2" t="s">
        <v>1884</v>
      </c>
      <c r="D657" s="2" t="s">
        <v>30</v>
      </c>
      <c r="E657" s="2" t="s">
        <v>14</v>
      </c>
      <c r="F657" s="2" t="s">
        <v>15</v>
      </c>
      <c r="G657" s="2" t="s">
        <v>202</v>
      </c>
      <c r="H657" s="2" t="s">
        <v>47</v>
      </c>
      <c r="I657" s="2" t="str">
        <f>IFERROR(__xludf.DUMMYFUNCTION("GOOGLETRANSLATE(C657,""fr"",""en"")"),"Too bad for over 30 years I had trusted Direct Insurance.
1 sinister, and no one does it. Change of speech when the elements requested are transmitted ... You play on words so as not to cover the risk which is good however. Now I ask the juice assistance"&amp;" that I pay and there ... your service provider informs me that he is overwhelmed !!! I ask you to designate one that is available and to date no answer (sinister which dates from 12/2020 !!!)")</f>
        <v>Too bad for over 30 years I had trusted Direct Insurance.
1 sinister, and no one does it. Change of speech when the elements requested are transmitted ... You play on words so as not to cover the risk which is good however. Now I ask the juice assistance that I pay and there ... your service provider informs me that he is overwhelmed !!! I ask you to designate one that is available and to date no answer (sinister which dates from 12/2020 !!!)</v>
      </c>
    </row>
    <row r="658" ht="15.75" customHeight="1">
      <c r="A658" s="2">
        <v>2.0</v>
      </c>
      <c r="B658" s="2" t="s">
        <v>1885</v>
      </c>
      <c r="C658" s="2" t="s">
        <v>1886</v>
      </c>
      <c r="D658" s="2" t="s">
        <v>30</v>
      </c>
      <c r="E658" s="2" t="s">
        <v>14</v>
      </c>
      <c r="F658" s="2" t="s">
        <v>15</v>
      </c>
      <c r="G658" s="2" t="s">
        <v>95</v>
      </c>
      <c r="H658" s="2" t="s">
        <v>96</v>
      </c>
      <c r="I658" s="2" t="str">
        <f>IFERROR(__xludf.DUMMYFUNCTION("GOOGLETRANSLATE(C658,""fr"",""en"")"),"Flee ... a very effective subscription service that promises you very good promotion etc ... What to be optimistic for an insurance contract .... but very quickly get you that you are taught when you teach you that the reduction does not work and that by "&amp;"succeeding calls for call center in Morocco, a blow we tell you black, a blow we tell you white. Do not hold their speech I had the opportunity to terminate my contract after a month . To pay certainly more expensive but at least I am dealing with someone"&amp;" in his office and who does not tell me something different with each call or interview. If to forget the difficulties to meet my wife or his family for disaster reimbursements or other ... Besides, in my entourage no more no one is with Direct Insurance "&amp;"and everyone is much better")</f>
        <v>Flee ... a very effective subscription service that promises you very good promotion etc ... What to be optimistic for an insurance contract .... but very quickly get you that you are taught when you teach you that the reduction does not work and that by succeeding calls for call center in Morocco, a blow we tell you black, a blow we tell you white. Do not hold their speech I had the opportunity to terminate my contract after a month . To pay certainly more expensive but at least I am dealing with someone in his office and who does not tell me something different with each call or interview. If to forget the difficulties to meet my wife or his family for disaster reimbursements or other ... Besides, in my entourage no more no one is with Direct Insurance and everyone is much better</v>
      </c>
    </row>
    <row r="659" ht="15.75" customHeight="1">
      <c r="A659" s="2">
        <v>3.0</v>
      </c>
      <c r="B659" s="2" t="s">
        <v>1887</v>
      </c>
      <c r="C659" s="2" t="s">
        <v>1888</v>
      </c>
      <c r="D659" s="2" t="s">
        <v>481</v>
      </c>
      <c r="E659" s="2" t="s">
        <v>111</v>
      </c>
      <c r="F659" s="2" t="s">
        <v>15</v>
      </c>
      <c r="G659" s="2" t="s">
        <v>884</v>
      </c>
      <c r="H659" s="2" t="s">
        <v>107</v>
      </c>
      <c r="I659" s="2" t="str">
        <f>IFERROR(__xludf.DUMMYFUNCTION("GOOGLETRANSLATE(C659,""fr"",""en"")"),"Hello I am surprised by the ease and speed of registration The prices are very interesting but not by phone too much waiting")</f>
        <v>Hello I am surprised by the ease and speed of registration The prices are very interesting but not by phone too much waiting</v>
      </c>
    </row>
    <row r="660" ht="15.75" customHeight="1">
      <c r="A660" s="2">
        <v>5.0</v>
      </c>
      <c r="B660" s="2" t="s">
        <v>1889</v>
      </c>
      <c r="C660" s="2" t="s">
        <v>1890</v>
      </c>
      <c r="D660" s="2" t="s">
        <v>30</v>
      </c>
      <c r="E660" s="2" t="s">
        <v>14</v>
      </c>
      <c r="F660" s="2" t="s">
        <v>15</v>
      </c>
      <c r="G660" s="2" t="s">
        <v>1454</v>
      </c>
      <c r="H660" s="2" t="s">
        <v>38</v>
      </c>
      <c r="I660" s="2" t="str">
        <f>IFERROR(__xludf.DUMMYFUNCTION("GOOGLETRANSLATE(C660,""fr"",""en"")"),"Speed, efficiency, price of services are at the top at Direct Insurance. I do not hesitate to recommend to you and enhance your way of proceeding.")</f>
        <v>Speed, efficiency, price of services are at the top at Direct Insurance. I do not hesitate to recommend to you and enhance your way of proceeding.</v>
      </c>
    </row>
    <row r="661" ht="15.75" customHeight="1">
      <c r="A661" s="2">
        <v>4.0</v>
      </c>
      <c r="B661" s="2" t="s">
        <v>1891</v>
      </c>
      <c r="C661" s="2" t="s">
        <v>1892</v>
      </c>
      <c r="D661" s="2" t="s">
        <v>134</v>
      </c>
      <c r="E661" s="2" t="s">
        <v>36</v>
      </c>
      <c r="F661" s="2" t="s">
        <v>15</v>
      </c>
      <c r="G661" s="2" t="s">
        <v>1893</v>
      </c>
      <c r="H661" s="2" t="s">
        <v>131</v>
      </c>
      <c r="I661" s="2" t="str">
        <f>IFERROR(__xludf.DUMMYFUNCTION("GOOGLETRANSLATE(C661,""fr"",""en"")"),"Very happy I had a big thank you for his help and his professionalism. Whenever I call the service I have competent and listening advisers")</f>
        <v>Very happy I had a big thank you for his help and his professionalism. Whenever I call the service I have competent and listening advisers</v>
      </c>
    </row>
    <row r="662" ht="15.75" customHeight="1">
      <c r="A662" s="2">
        <v>5.0</v>
      </c>
      <c r="B662" s="2" t="s">
        <v>1894</v>
      </c>
      <c r="C662" s="2" t="s">
        <v>1895</v>
      </c>
      <c r="D662" s="2" t="s">
        <v>99</v>
      </c>
      <c r="E662" s="2" t="s">
        <v>100</v>
      </c>
      <c r="F662" s="2" t="s">
        <v>15</v>
      </c>
      <c r="G662" s="2" t="s">
        <v>981</v>
      </c>
      <c r="H662" s="2" t="s">
        <v>981</v>
      </c>
      <c r="I662" s="2" t="str">
        <f>IFERROR(__xludf.DUMMYFUNCTION("GOOGLETRANSLATE(C662,""fr"",""en"")"),"Thanks to Patricia for the clarity of the information given, and her kindness.
Excellent value
Insured today for my 2 year old German shepherd")</f>
        <v>Thanks to Patricia for the clarity of the information given, and her kindness.
Excellent value
Insured today for my 2 year old German shepherd</v>
      </c>
    </row>
    <row r="663" ht="15.75" customHeight="1">
      <c r="A663" s="2">
        <v>2.0</v>
      </c>
      <c r="B663" s="2" t="s">
        <v>1896</v>
      </c>
      <c r="C663" s="2" t="s">
        <v>1897</v>
      </c>
      <c r="D663" s="2" t="s">
        <v>718</v>
      </c>
      <c r="E663" s="2" t="s">
        <v>36</v>
      </c>
      <c r="F663" s="2" t="s">
        <v>15</v>
      </c>
      <c r="G663" s="2" t="s">
        <v>1898</v>
      </c>
      <c r="H663" s="2" t="s">
        <v>981</v>
      </c>
      <c r="I663" s="2" t="str">
        <f>IFERROR(__xludf.DUMMYFUNCTION("GOOGLETRANSLATE(C663,""fr"",""en"")"),"Entry -level contract for lords, too bad the price for seniors is only according to its age rather than its state of health. But too expensive when like me 78 years old I am in good health. The mutual insurance company intervenes in reimbursement for only"&amp;" 25% of my annual subscription.
The amount of my retirement has not increased for 10 years !!
For 2021 I am seriously thinking of changing insurance for real senior insurance.")</f>
        <v>Entry -level contract for lords, too bad the price for seniors is only according to its age rather than its state of health. But too expensive when like me 78 years old I am in good health. The mutual insurance company intervenes in reimbursement for only 25% of my annual subscription.
The amount of my retirement has not increased for 10 years !!
For 2021 I am seriously thinking of changing insurance for real senior insurance.</v>
      </c>
    </row>
    <row r="664" ht="15.75" customHeight="1">
      <c r="A664" s="2">
        <v>5.0</v>
      </c>
      <c r="B664" s="2" t="s">
        <v>1899</v>
      </c>
      <c r="C664" s="2" t="s">
        <v>1900</v>
      </c>
      <c r="D664" s="2" t="s">
        <v>35</v>
      </c>
      <c r="E664" s="2" t="s">
        <v>36</v>
      </c>
      <c r="F664" s="2" t="s">
        <v>15</v>
      </c>
      <c r="G664" s="2" t="s">
        <v>1901</v>
      </c>
      <c r="H664" s="2" t="s">
        <v>566</v>
      </c>
      <c r="I664" s="2" t="str">
        <f>IFERROR(__xludf.DUMMYFUNCTION("GOOGLETRANSLATE(C664,""fr"",""en"")"),"It's my insurer for 3 years. Always impeccable on everything")</f>
        <v>It's my insurer for 3 years. Always impeccable on everything</v>
      </c>
    </row>
    <row r="665" ht="15.75" customHeight="1">
      <c r="A665" s="2">
        <v>2.0</v>
      </c>
      <c r="B665" s="2" t="s">
        <v>1902</v>
      </c>
      <c r="C665" s="2" t="s">
        <v>1903</v>
      </c>
      <c r="D665" s="2" t="s">
        <v>329</v>
      </c>
      <c r="E665" s="2" t="s">
        <v>68</v>
      </c>
      <c r="F665" s="2" t="s">
        <v>15</v>
      </c>
      <c r="G665" s="2" t="s">
        <v>1904</v>
      </c>
      <c r="H665" s="2" t="s">
        <v>150</v>
      </c>
      <c r="I665" s="2" t="str">
        <f>IFERROR(__xludf.DUMMYFUNCTION("GOOGLETRANSLATE(C665,""fr"",""en"")"),"Following a sinister declaration, the designed expert clearly understood that my file would not be taken into account and even if it was the gentleman took us high then sorry the role of an insurance expert is also to avoid breaking the Society and tell u"&amp;"s that the Macif is a bit of low -end insurance No legal service I have ever seen such a odious expert, the expert of my neighbor was more attentive he even daring to say that his confreres was certainly wider than He is happy with him he managed to chang"&amp;"e my mind after 34 years of Macif societary and never any claim reimbursed I go to competition. And yes, they have experts who are there to get your morale.")</f>
        <v>Following a sinister declaration, the designed expert clearly understood that my file would not be taken into account and even if it was the gentleman took us high then sorry the role of an insurance expert is also to avoid breaking the Society and tell us that the Macif is a bit of low -end insurance No legal service I have ever seen such a odious expert, the expert of my neighbor was more attentive he even daring to say that his confreres was certainly wider than He is happy with him he managed to change my mind after 34 years of Macif societary and never any claim reimbursed I go to competition. And yes, they have experts who are there to get your morale.</v>
      </c>
    </row>
    <row r="666" ht="15.75" customHeight="1">
      <c r="A666" s="2">
        <v>1.0</v>
      </c>
      <c r="B666" s="2" t="s">
        <v>1905</v>
      </c>
      <c r="C666" s="2" t="s">
        <v>1906</v>
      </c>
      <c r="D666" s="2" t="s">
        <v>693</v>
      </c>
      <c r="E666" s="2" t="s">
        <v>100</v>
      </c>
      <c r="F666" s="2" t="s">
        <v>15</v>
      </c>
      <c r="G666" s="2" t="s">
        <v>1907</v>
      </c>
      <c r="H666" s="2" t="s">
        <v>22</v>
      </c>
      <c r="I666" s="2" t="str">
        <f>IFERROR(__xludf.DUMMYFUNCTION("GOOGLETRANSLATE(C666,""fr"",""en"")"),"Breach of confidence by phone ... no de facto contract is there an electronic signature !! ???
But they managed to take me 50 € 47 on my account ???
They are only rooters and unscrupulous people !! IT IS SHAMEFUL....!!")</f>
        <v>Breach of confidence by phone ... no de facto contract is there an electronic signature !! ???
But they managed to take me 50 € 47 on my account ???
They are only rooters and unscrupulous people !! IT IS SHAMEFUL....!!</v>
      </c>
    </row>
    <row r="667" ht="15.75" customHeight="1">
      <c r="A667" s="2">
        <v>4.0</v>
      </c>
      <c r="B667" s="2" t="s">
        <v>1908</v>
      </c>
      <c r="C667" s="2" t="s">
        <v>1909</v>
      </c>
      <c r="D667" s="2" t="s">
        <v>50</v>
      </c>
      <c r="E667" s="2" t="s">
        <v>14</v>
      </c>
      <c r="F667" s="2" t="s">
        <v>15</v>
      </c>
      <c r="G667" s="2" t="s">
        <v>697</v>
      </c>
      <c r="H667" s="2" t="s">
        <v>47</v>
      </c>
      <c r="I667" s="2" t="str">
        <f>IFERROR(__xludf.DUMMYFUNCTION("GOOGLETRANSLATE(C667,""fr"",""en"")"),"The welcome by the advisor was very friendly the only concern is not to have the same advisor each time what makes you waste a lot of time. To us and you")</f>
        <v>The welcome by the advisor was very friendly the only concern is not to have the same advisor each time what makes you waste a lot of time. To us and you</v>
      </c>
    </row>
    <row r="668" ht="15.75" customHeight="1">
      <c r="A668" s="2">
        <v>1.0</v>
      </c>
      <c r="B668" s="2" t="s">
        <v>1910</v>
      </c>
      <c r="C668" s="2" t="s">
        <v>1911</v>
      </c>
      <c r="D668" s="2" t="s">
        <v>30</v>
      </c>
      <c r="E668" s="2" t="s">
        <v>14</v>
      </c>
      <c r="F668" s="2" t="s">
        <v>15</v>
      </c>
      <c r="G668" s="2" t="s">
        <v>1912</v>
      </c>
      <c r="H668" s="2" t="s">
        <v>319</v>
      </c>
      <c r="I668" s="2" t="str">
        <f>IFERROR(__xludf.DUMMYFUNCTION("GOOGLETRANSLATE(C668,""fr"",""en"")"),"The price of the first year is attractive but increases in sight. Despite my bonus of 0.50 my subscription increased by 8 euros per month, and I was only warned 3 days before the levy by receiving the green card, the deductibles are exorbitant and it is i"&amp;"mpossible for me to consult my file on Internet. I call them in the morning to request an information statement and resume my old insurance that I should never have left.")</f>
        <v>The price of the first year is attractive but increases in sight. Despite my bonus of 0.50 my subscription increased by 8 euros per month, and I was only warned 3 days before the levy by receiving the green card, the deductibles are exorbitant and it is impossible for me to consult my file on Internet. I call them in the morning to request an information statement and resume my old insurance that I should never have left.</v>
      </c>
    </row>
    <row r="669" ht="15.75" customHeight="1">
      <c r="A669" s="2">
        <v>1.0</v>
      </c>
      <c r="B669" s="2" t="s">
        <v>1913</v>
      </c>
      <c r="C669" s="2" t="s">
        <v>1914</v>
      </c>
      <c r="D669" s="2" t="s">
        <v>13</v>
      </c>
      <c r="E669" s="2" t="s">
        <v>14</v>
      </c>
      <c r="F669" s="2" t="s">
        <v>15</v>
      </c>
      <c r="G669" s="2" t="s">
        <v>1915</v>
      </c>
      <c r="H669" s="2" t="s">
        <v>270</v>
      </c>
      <c r="I669" s="2" t="str">
        <f>IFERROR(__xludf.DUMMYFUNCTION("GOOGLETRANSLATE(C669,""fr"",""en"")"),"CAUTION: How to be fooled in large widths for lack of information !!!! Simply lamentable: I had a conventional housing contract with an extension for our 4 guest rooms which was classified ""pro"" without being informed, especially about the difference be"&amp;"tween the management of these two pieces of contract. I have just terminated this contract for another cheaper under the Hamont Ben law ..... Maaf has terminated the housing contract but causes the pro part to the pretext that this type of contract (pro) "&amp;"n 'is not subject to the Hamont law: delighted !!!!! How to punctuate a very small business with a ridiculous Ca which will have to pay another double thing when it hardly means the means and sought in this way to reduce its charges. Thank you Maaf !!!!")</f>
        <v>CAUTION: How to be fooled in large widths for lack of information !!!! Simply lamentable: I had a conventional housing contract with an extension for our 4 guest rooms which was classified "pro" without being informed, especially about the difference between the management of these two pieces of contract. I have just terminated this contract for another cheaper under the Hamont Ben law ..... Maaf has terminated the housing contract but causes the pro part to the pretext that this type of contract (pro) n 'is not subject to the Hamont law: delighted !!!!! How to punctuate a very small business with a ridiculous Ca which will have to pay another double thing when it hardly means the means and sought in this way to reduce its charges. Thank you Maaf !!!!</v>
      </c>
    </row>
    <row r="670" ht="15.75" customHeight="1">
      <c r="A670" s="2">
        <v>5.0</v>
      </c>
      <c r="B670" s="2" t="s">
        <v>1916</v>
      </c>
      <c r="C670" s="2" t="s">
        <v>1917</v>
      </c>
      <c r="D670" s="2" t="s">
        <v>13</v>
      </c>
      <c r="E670" s="2" t="s">
        <v>14</v>
      </c>
      <c r="F670" s="2" t="s">
        <v>15</v>
      </c>
      <c r="G670" s="2" t="s">
        <v>1918</v>
      </c>
      <c r="H670" s="2" t="s">
        <v>360</v>
      </c>
      <c r="I670" s="2" t="str">
        <f>IFERROR(__xludf.DUMMYFUNCTION("GOOGLETRANSLATE(C670,""fr"",""en"")"),"Hello
I was 7 years old insured at the MAAF.
I have always been well informed.
I don't have a lot of perspective on the management of their disaster because I only had a break in ice.
But they took care of making an appointment with their partner I "&amp;"was able to have a very well installed new windshield and my car was cleaned.
The agency was rather well available.
Former customer for the car still customer for housing.")</f>
        <v>Hello
I was 7 years old insured at the MAAF.
I have always been well informed.
I don't have a lot of perspective on the management of their disaster because I only had a break in ice.
But they took care of making an appointment with their partner I was able to have a very well installed new windshield and my car was cleaned.
The agency was rather well available.
Former customer for the car still customer for housing.</v>
      </c>
    </row>
    <row r="671" ht="15.75" customHeight="1">
      <c r="A671" s="2">
        <v>3.0</v>
      </c>
      <c r="B671" s="2" t="s">
        <v>1919</v>
      </c>
      <c r="C671" s="2" t="s">
        <v>1920</v>
      </c>
      <c r="D671" s="2" t="s">
        <v>50</v>
      </c>
      <c r="E671" s="2" t="s">
        <v>14</v>
      </c>
      <c r="F671" s="2" t="s">
        <v>15</v>
      </c>
      <c r="G671" s="2" t="s">
        <v>1921</v>
      </c>
      <c r="H671" s="2" t="s">
        <v>32</v>
      </c>
      <c r="I671" s="2" t="str">
        <f>IFERROR(__xludf.DUMMYFUNCTION("GOOGLETRANSLATE(C671,""fr"",""en"")"),"Price difference between quote and reality. A quote at 299 at the start to finish at 460 C is sure that it is attractive. Reduction of 50th via octopus nonexistent for good reduction code.")</f>
        <v>Price difference between quote and reality. A quote at 299 at the start to finish at 460 C is sure that it is attractive. Reduction of 50th via octopus nonexistent for good reduction code.</v>
      </c>
    </row>
    <row r="672" ht="15.75" customHeight="1">
      <c r="A672" s="2">
        <v>4.0</v>
      </c>
      <c r="B672" s="2" t="s">
        <v>1922</v>
      </c>
      <c r="C672" s="2" t="s">
        <v>1923</v>
      </c>
      <c r="D672" s="2" t="s">
        <v>50</v>
      </c>
      <c r="E672" s="2" t="s">
        <v>14</v>
      </c>
      <c r="F672" s="2" t="s">
        <v>15</v>
      </c>
      <c r="G672" s="2" t="s">
        <v>1921</v>
      </c>
      <c r="H672" s="2" t="s">
        <v>32</v>
      </c>
      <c r="I672" s="2" t="str">
        <f>IFERROR(__xludf.DUMMYFUNCTION("GOOGLETRANSLATE(C672,""fr"",""en"")"),"I satisfy the offered service,
A correct telephone quality.
Very satisfied taking and very fast efficiency.
Cordially
I recommend")</f>
        <v>I satisfy the offered service,
A correct telephone quality.
Very satisfied taking and very fast efficiency.
Cordially
I recommend</v>
      </c>
    </row>
    <row r="673" ht="15.75" customHeight="1">
      <c r="A673" s="2">
        <v>5.0</v>
      </c>
      <c r="B673" s="2" t="s">
        <v>1924</v>
      </c>
      <c r="C673" s="2" t="s">
        <v>1925</v>
      </c>
      <c r="D673" s="2" t="s">
        <v>50</v>
      </c>
      <c r="E673" s="2" t="s">
        <v>14</v>
      </c>
      <c r="F673" s="2" t="s">
        <v>15</v>
      </c>
      <c r="G673" s="2" t="s">
        <v>185</v>
      </c>
      <c r="H673" s="2" t="s">
        <v>96</v>
      </c>
      <c r="I673" s="2" t="str">
        <f>IFERROR(__xludf.DUMMYFUNCTION("GOOGLETRANSLATE(C673,""fr"",""en"")"),"I really recommend, the reception, the clarity of the offer, the guarantees and the price are perfectly good, it changes banks that want to be intermediaries in insurance.")</f>
        <v>I really recommend, the reception, the clarity of the offer, the guarantees and the price are perfectly good, it changes banks that want to be intermediaries in insurance.</v>
      </c>
    </row>
    <row r="674" ht="15.75" customHeight="1">
      <c r="A674" s="2">
        <v>1.0</v>
      </c>
      <c r="B674" s="2" t="s">
        <v>1926</v>
      </c>
      <c r="C674" s="2" t="s">
        <v>1927</v>
      </c>
      <c r="D674" s="2" t="s">
        <v>219</v>
      </c>
      <c r="E674" s="2" t="s">
        <v>68</v>
      </c>
      <c r="F674" s="2" t="s">
        <v>15</v>
      </c>
      <c r="G674" s="2" t="s">
        <v>1928</v>
      </c>
      <c r="H674" s="2" t="s">
        <v>911</v>
      </c>
      <c r="I674" s="2" t="str">
        <f>IFERROR(__xludf.DUMMYFUNCTION("GOOGLETRANSLATE(C674,""fr"",""en"")"),"It's been 2 months that I realized that I was still paying insurance for my old apartment. It's been more than 2 years that I moved and I kept the same insurance (a priori we can have 2 main residences in France by being single ??????).
I sent the missin"&amp;"g document and despite several reminders, to date no new and I continue to pay and have 2 insurances.")</f>
        <v>It's been 2 months that I realized that I was still paying insurance for my old apartment. It's been more than 2 years that I moved and I kept the same insurance (a priori we can have 2 main residences in France by being single ??????).
I sent the missing document and despite several reminders, to date no new and I continue to pay and have 2 insurances.</v>
      </c>
    </row>
    <row r="675" ht="15.75" customHeight="1">
      <c r="A675" s="2">
        <v>2.0</v>
      </c>
      <c r="B675" s="2" t="s">
        <v>1929</v>
      </c>
      <c r="C675" s="2" t="s">
        <v>1930</v>
      </c>
      <c r="D675" s="2" t="s">
        <v>13</v>
      </c>
      <c r="E675" s="2" t="s">
        <v>14</v>
      </c>
      <c r="F675" s="2" t="s">
        <v>15</v>
      </c>
      <c r="G675" s="2" t="s">
        <v>1931</v>
      </c>
      <c r="H675" s="2" t="s">
        <v>298</v>
      </c>
      <c r="I675" s="2" t="str">
        <f>IFERROR(__xludf.DUMMYFUNCTION("GOOGLETRANSLATE(C675,""fr"",""en"")"),"Insured Maaf for over 30 years with life bonus (0.50) + 8%winner bonus, we had our first accident called ""responsible"" because the real accident official fired and we did not Not had time to identify your vehicle too busy avoiding the shock of the colli"&amp;"sion. My wife struck the cemented terminals on the edge of the roundabout (December 31, 2016). Declaration made on January 2, 2017 at the Maaf office then 15 days of waiting so that the expert passes to see the vehicle and the expertise; 4,600 euros in re"&amp;"pair ??? We were therefore obliged to buy a new vehicle and waited for another 15 days more to have a reimbursement of MAAF for our insurance all risk. We were forced to call 4 times at the Maaf Assistance service (4 different people each time) and go to "&amp;"the agency three times to accelerate the expertise and reimbursement process !!! Disappointing, as long as everything is fine, there is no worries but as soon as we have a problem this is where we are surprised to really understand what the Maaf services "&amp;"are worth ...")</f>
        <v>Insured Maaf for over 30 years with life bonus (0.50) + 8%winner bonus, we had our first accident called "responsible" because the real accident official fired and we did not Not had time to identify your vehicle too busy avoiding the shock of the collision. My wife struck the cemented terminals on the edge of the roundabout (December 31, 2016). Declaration made on January 2, 2017 at the Maaf office then 15 days of waiting so that the expert passes to see the vehicle and the expertise; 4,600 euros in repair ??? We were therefore obliged to buy a new vehicle and waited for another 15 days more to have a reimbursement of MAAF for our insurance all risk. We were forced to call 4 times at the Maaf Assistance service (4 different people each time) and go to the agency three times to accelerate the expertise and reimbursement process !!! Disappointing, as long as everything is fine, there is no worries but as soon as we have a problem this is where we are surprised to really understand what the Maaf services are worth ...</v>
      </c>
    </row>
    <row r="676" ht="15.75" customHeight="1">
      <c r="A676" s="2">
        <v>4.0</v>
      </c>
      <c r="B676" s="2" t="s">
        <v>1932</v>
      </c>
      <c r="C676" s="2" t="s">
        <v>1933</v>
      </c>
      <c r="D676" s="2" t="s">
        <v>30</v>
      </c>
      <c r="E676" s="2" t="s">
        <v>14</v>
      </c>
      <c r="F676" s="2" t="s">
        <v>15</v>
      </c>
      <c r="G676" s="2" t="s">
        <v>64</v>
      </c>
      <c r="H676" s="2" t="s">
        <v>64</v>
      </c>
      <c r="I676" s="2" t="str">
        <f>IFERROR(__xludf.DUMMYFUNCTION("GOOGLETRANSLATE(C676,""fr"",""en"")"),"Good satisfaction overall. Fast and efficient and good value for money.
The site is fluid and the details of the different options are clear")</f>
        <v>Good satisfaction overall. Fast and efficient and good value for money.
The site is fluid and the details of the different options are clear</v>
      </c>
    </row>
    <row r="677" ht="15.75" customHeight="1">
      <c r="A677" s="2">
        <v>4.0</v>
      </c>
      <c r="B677" s="2" t="s">
        <v>1934</v>
      </c>
      <c r="C677" s="2" t="s">
        <v>1935</v>
      </c>
      <c r="D677" s="2" t="s">
        <v>296</v>
      </c>
      <c r="E677" s="2" t="s">
        <v>14</v>
      </c>
      <c r="F677" s="2" t="s">
        <v>15</v>
      </c>
      <c r="G677" s="2" t="s">
        <v>539</v>
      </c>
      <c r="H677" s="2" t="s">
        <v>70</v>
      </c>
      <c r="I677" s="2" t="str">
        <f>IFERROR(__xludf.DUMMYFUNCTION("GOOGLETRANSLATE(C677,""fr"",""en"")"),"No accidents so no insurance problem")</f>
        <v>No accidents so no insurance problem</v>
      </c>
    </row>
    <row r="678" ht="15.75" customHeight="1">
      <c r="A678" s="2">
        <v>4.0</v>
      </c>
      <c r="B678" s="2" t="s">
        <v>1936</v>
      </c>
      <c r="C678" s="2" t="s">
        <v>1937</v>
      </c>
      <c r="D678" s="2" t="s">
        <v>50</v>
      </c>
      <c r="E678" s="2" t="s">
        <v>14</v>
      </c>
      <c r="F678" s="2" t="s">
        <v>15</v>
      </c>
      <c r="G678" s="2" t="s">
        <v>658</v>
      </c>
      <c r="H678" s="2" t="s">
        <v>38</v>
      </c>
      <c r="I678" s="2" t="str">
        <f>IFERROR(__xludf.DUMMYFUNCTION("GOOGLETRANSLATE(C678,""fr"",""en"")"),"Nothing to complain about for the moment nickel I had at such a advisor my well informed to listen to correct and competitive prices good choice the olive assurance Sajdane")</f>
        <v>Nothing to complain about for the moment nickel I had at such a advisor my well informed to listen to correct and competitive prices good choice the olive assurance Sajdane</v>
      </c>
    </row>
    <row r="679" ht="15.75" customHeight="1">
      <c r="A679" s="2">
        <v>4.0</v>
      </c>
      <c r="B679" s="2" t="s">
        <v>1938</v>
      </c>
      <c r="C679" s="2" t="s">
        <v>1939</v>
      </c>
      <c r="D679" s="2" t="s">
        <v>30</v>
      </c>
      <c r="E679" s="2" t="s">
        <v>14</v>
      </c>
      <c r="F679" s="2" t="s">
        <v>15</v>
      </c>
      <c r="G679" s="2" t="s">
        <v>127</v>
      </c>
      <c r="H679" s="2" t="s">
        <v>64</v>
      </c>
      <c r="I679" s="2" t="str">
        <f>IFERROR(__xludf.DUMMYFUNCTION("GOOGLETRANSLATE(C679,""fr"",""en"")"),"I am satisfied with the price while waiting to receive the final contract.
Your site is easy to use, but some questions can be relevant (numbers of children, ages, etc.")</f>
        <v>I am satisfied with the price while waiting to receive the final contract.
Your site is easy to use, but some questions can be relevant (numbers of children, ages, etc.</v>
      </c>
    </row>
    <row r="680" ht="15.75" customHeight="1">
      <c r="A680" s="2">
        <v>1.0</v>
      </c>
      <c r="B680" s="2" t="s">
        <v>1940</v>
      </c>
      <c r="C680" s="2" t="s">
        <v>1941</v>
      </c>
      <c r="D680" s="2" t="s">
        <v>67</v>
      </c>
      <c r="E680" s="2" t="s">
        <v>68</v>
      </c>
      <c r="F680" s="2" t="s">
        <v>15</v>
      </c>
      <c r="G680" s="2" t="s">
        <v>475</v>
      </c>
      <c r="H680" s="2" t="s">
        <v>131</v>
      </c>
      <c r="I680" s="2" t="str">
        <f>IFERROR(__xludf.DUMMYFUNCTION("GOOGLETRANSLATE(C680,""fr"",""en"")"),"This insurance company, whose CIC sells you contracts, is a real nightmare. Whatever your disaster (as far as I'm concerned and lizard suite in the walls of my home) they always find all the arguments so as not to compensate you. A real scandal. Having th"&amp;"em on the phone is a nervous challenge. To flee urgently.")</f>
        <v>This insurance company, whose CIC sells you contracts, is a real nightmare. Whatever your disaster (as far as I'm concerned and lizard suite in the walls of my home) they always find all the arguments so as not to compensate you. A real scandal. Having them on the phone is a nervous challenge. To flee urgently.</v>
      </c>
    </row>
    <row r="681" ht="15.75" customHeight="1">
      <c r="A681" s="2">
        <v>2.0</v>
      </c>
      <c r="B681" s="2" t="s">
        <v>1942</v>
      </c>
      <c r="C681" s="2" t="s">
        <v>1943</v>
      </c>
      <c r="D681" s="2" t="s">
        <v>25</v>
      </c>
      <c r="E681" s="2" t="s">
        <v>14</v>
      </c>
      <c r="F681" s="2" t="s">
        <v>15</v>
      </c>
      <c r="G681" s="2" t="s">
        <v>1688</v>
      </c>
      <c r="H681" s="2" t="s">
        <v>352</v>
      </c>
      <c r="I681" s="2" t="str">
        <f>IFERROR(__xludf.DUMMYFUNCTION("GOOGLETRANSLATE(C681,""fr"",""en"")"),"Lose your gray card and move you for defaulting a gray card without you wanting it again !!!
After 20 years at home and absolutely no claim ...")</f>
        <v>Lose your gray card and move you for defaulting a gray card without you wanting it again !!!
After 20 years at home and absolutely no claim ...</v>
      </c>
    </row>
    <row r="682" ht="15.75" customHeight="1">
      <c r="A682" s="2">
        <v>1.0</v>
      </c>
      <c r="B682" s="2" t="s">
        <v>1944</v>
      </c>
      <c r="C682" s="2" t="s">
        <v>1945</v>
      </c>
      <c r="D682" s="2" t="s">
        <v>79</v>
      </c>
      <c r="E682" s="2" t="s">
        <v>80</v>
      </c>
      <c r="F682" s="2" t="s">
        <v>15</v>
      </c>
      <c r="G682" s="2" t="s">
        <v>1946</v>
      </c>
      <c r="H682" s="2" t="s">
        <v>124</v>
      </c>
      <c r="I682" s="2" t="str">
        <f>IFERROR(__xludf.DUMMYFUNCTION("GOOGLETRANSLATE(C682,""fr"",""en"")"),"Too bad it is impossible to put a double zero pointed at this entity whose name I dare not say so much the incompetence of their service is queen. For 1 year and a half date of my request to release Perp following a situation of over -indebtedness they ha"&amp;"ve and do nothing, despite the recommended, letter of lawyer, the sending of all the documents, once, two. ... nothing ... emptiness, nothingness is a shame. Obliged to manage to write an opinion on the web to may have the chance to be heard finally, well"&amp;" nothing is even less on ... to sell you financial products they know how to put you to sleep and to make it Also ... the next one will pass before the courts.")</f>
        <v>Too bad it is impossible to put a double zero pointed at this entity whose name I dare not say so much the incompetence of their service is queen. For 1 year and a half date of my request to release Perp following a situation of over -indebtedness they have and do nothing, despite the recommended, letter of lawyer, the sending of all the documents, once, two. ... nothing ... emptiness, nothingness is a shame. Obliged to manage to write an opinion on the web to may have the chance to be heard finally, well nothing is even less on ... to sell you financial products they know how to put you to sleep and to make it Also ... the next one will pass before the courts.</v>
      </c>
    </row>
    <row r="683" ht="15.75" customHeight="1">
      <c r="A683" s="2">
        <v>1.0</v>
      </c>
      <c r="B683" s="2" t="s">
        <v>1947</v>
      </c>
      <c r="C683" s="2" t="s">
        <v>1948</v>
      </c>
      <c r="D683" s="2" t="s">
        <v>219</v>
      </c>
      <c r="E683" s="2" t="s">
        <v>14</v>
      </c>
      <c r="F683" s="2" t="s">
        <v>15</v>
      </c>
      <c r="G683" s="2" t="s">
        <v>551</v>
      </c>
      <c r="H683" s="2" t="s">
        <v>340</v>
      </c>
      <c r="I683" s="2" t="str">
        <f>IFERROR(__xludf.DUMMYFUNCTION("GOOGLETRANSLATE(C683,""fr"",""en"")"),"To avoid, does not defend your interests, are only there for wind, if you need nothing you have found the right insurer")</f>
        <v>To avoid, does not defend your interests, are only there for wind, if you need nothing you have found the right insurer</v>
      </c>
    </row>
    <row r="684" ht="15.75" customHeight="1">
      <c r="A684" s="2">
        <v>1.0</v>
      </c>
      <c r="B684" s="2" t="s">
        <v>1949</v>
      </c>
      <c r="C684" s="2" t="s">
        <v>1950</v>
      </c>
      <c r="D684" s="2" t="s">
        <v>13</v>
      </c>
      <c r="E684" s="2" t="s">
        <v>14</v>
      </c>
      <c r="F684" s="2" t="s">
        <v>15</v>
      </c>
      <c r="G684" s="2" t="s">
        <v>935</v>
      </c>
      <c r="H684" s="2" t="s">
        <v>155</v>
      </c>
      <c r="I684" s="2" t="str">
        <f>IFERROR(__xludf.DUMMYFUNCTION("GOOGLETRANSLATE(C684,""fr"",""en"")"),"I do not recommend, following a claim in my professional premises (water infiltration) they did nothing at all, no follow -up, no call in 5 years, I am still in legal proceedings with the condominium, they no longer want me 'Ensure now when they saw that "&amp;"the disaster was not settled, reason ""worsening of risk"", in short a scandal for an insurer.")</f>
        <v>I do not recommend, following a claim in my professional premises (water infiltration) they did nothing at all, no follow -up, no call in 5 years, I am still in legal proceedings with the condominium, they no longer want me 'Ensure now when they saw that the disaster was not settled, reason "worsening of risk", in short a scandal for an insurer.</v>
      </c>
    </row>
    <row r="685" ht="15.75" customHeight="1">
      <c r="A685" s="2">
        <v>1.0</v>
      </c>
      <c r="B685" s="2" t="s">
        <v>1951</v>
      </c>
      <c r="C685" s="2" t="s">
        <v>1952</v>
      </c>
      <c r="D685" s="2" t="s">
        <v>403</v>
      </c>
      <c r="E685" s="2" t="s">
        <v>68</v>
      </c>
      <c r="F685" s="2" t="s">
        <v>15</v>
      </c>
      <c r="G685" s="2" t="s">
        <v>1953</v>
      </c>
      <c r="H685" s="2" t="s">
        <v>107</v>
      </c>
      <c r="I685" s="2" t="str">
        <f>IFERROR(__xludf.DUMMYFUNCTION("GOOGLETRANSLATE(C685,""fr"",""en"")"),"I strongly advise against this insurance ..... if you ask to be recalled, we never remind you. I asked for explanations by email to the sinister service several times but after 3 emails still sent no answer.
I left the GMF to come to them and I have 5 co"&amp;"ntracts that I will very quickly removed to put them back to the GMF.
")</f>
        <v>I strongly advise against this insurance ..... if you ask to be recalled, we never remind you. I asked for explanations by email to the sinister service several times but after 3 emails still sent no answer.
I left the GMF to come to them and I have 5 contracts that I will very quickly removed to put them back to the GMF.
</v>
      </c>
    </row>
    <row r="686" ht="15.75" customHeight="1">
      <c r="A686" s="2">
        <v>2.0</v>
      </c>
      <c r="B686" s="2" t="s">
        <v>1954</v>
      </c>
      <c r="C686" s="2" t="s">
        <v>1955</v>
      </c>
      <c r="D686" s="2" t="s">
        <v>25</v>
      </c>
      <c r="E686" s="2" t="s">
        <v>14</v>
      </c>
      <c r="F686" s="2" t="s">
        <v>15</v>
      </c>
      <c r="G686" s="2" t="s">
        <v>1956</v>
      </c>
      <c r="H686" s="2" t="s">
        <v>486</v>
      </c>
      <c r="I686" s="2" t="str">
        <f>IFERROR(__xludf.DUMMYFUNCTION("GOOGLETRANSLATE(C686,""fr"",""en"")"),"hello when all go, and we ask for nothing all go well !!! we pay, we undergo the increases on the other hand during a dispute of EUR 69? And 9 EUR? That he owed me an error on my son's bonus, that the Coudekerque agency has sent them, several email to rep"&amp;"ort to them and confirmed that an error had occurred. Their answer was not possible. After several months I finally had my refund. What will happen when unfortunately these sums will be several thousand euros. I hope for me that it never happens. I made a"&amp;" decisions what at the end of each contact I would be disappointed with the parent company but not from the agency. I find out to other insurance if my departure I can do it earlier Mr Babelaere")</f>
        <v>hello when all go, and we ask for nothing all go well !!! we pay, we undergo the increases on the other hand during a dispute of EUR 69? And 9 EUR? That he owed me an error on my son's bonus, that the Coudekerque agency has sent them, several email to report to them and confirmed that an error had occurred. Their answer was not possible. After several months I finally had my refund. What will happen when unfortunately these sums will be several thousand euros. I hope for me that it never happens. I made a decisions what at the end of each contact I would be disappointed with the parent company but not from the agency. I find out to other insurance if my departure I can do it earlier Mr Babelaere</v>
      </c>
    </row>
    <row r="687" ht="15.75" customHeight="1">
      <c r="A687" s="2">
        <v>1.0</v>
      </c>
      <c r="B687" s="2" t="s">
        <v>1957</v>
      </c>
      <c r="C687" s="2" t="s">
        <v>1958</v>
      </c>
      <c r="D687" s="2" t="s">
        <v>416</v>
      </c>
      <c r="E687" s="2" t="s">
        <v>116</v>
      </c>
      <c r="F687" s="2" t="s">
        <v>15</v>
      </c>
      <c r="G687" s="2" t="s">
        <v>1959</v>
      </c>
      <c r="H687" s="2" t="s">
        <v>945</v>
      </c>
      <c r="I687" s="2" t="str">
        <f>IFERROR(__xludf.DUMMYFUNCTION("GOOGLETRANSLATE(C687,""fr"",""en"")"),"Hello, I have rarely felt in such an unpleasant situation compared to a company: to settle a succession, an advisor who has a storefront but does not know how to contact AFER, unless it is a question of signing a New contract, otherwise the customer remai"&amp;"ns alone in the face of a telephone answering machine ... who responds nothing.")</f>
        <v>Hello, I have rarely felt in such an unpleasant situation compared to a company: to settle a succession, an advisor who has a storefront but does not know how to contact AFER, unless it is a question of signing a New contract, otherwise the customer remains alone in the face of a telephone answering machine ... who responds nothing.</v>
      </c>
    </row>
    <row r="688" ht="15.75" customHeight="1">
      <c r="A688" s="2">
        <v>4.0</v>
      </c>
      <c r="B688" s="2" t="s">
        <v>1960</v>
      </c>
      <c r="C688" s="2" t="s">
        <v>1961</v>
      </c>
      <c r="D688" s="2" t="s">
        <v>50</v>
      </c>
      <c r="E688" s="2" t="s">
        <v>14</v>
      </c>
      <c r="F688" s="2" t="s">
        <v>15</v>
      </c>
      <c r="G688" s="2" t="s">
        <v>1183</v>
      </c>
      <c r="H688" s="2" t="s">
        <v>834</v>
      </c>
      <c r="I688" s="2" t="str">
        <f>IFERROR(__xludf.DUMMYFUNCTION("GOOGLETRANSLATE(C688,""fr"",""en"")"),"Impeccable communication and relational.")</f>
        <v>Impeccable communication and relational.</v>
      </c>
    </row>
    <row r="689" ht="15.75" customHeight="1">
      <c r="A689" s="2">
        <v>3.0</v>
      </c>
      <c r="B689" s="2" t="s">
        <v>1962</v>
      </c>
      <c r="C689" s="2" t="s">
        <v>1963</v>
      </c>
      <c r="D689" s="2" t="s">
        <v>1434</v>
      </c>
      <c r="E689" s="2" t="s">
        <v>116</v>
      </c>
      <c r="F689" s="2" t="s">
        <v>15</v>
      </c>
      <c r="G689" s="2" t="s">
        <v>1964</v>
      </c>
      <c r="H689" s="2" t="s">
        <v>1965</v>
      </c>
      <c r="I689" s="2" t="str">
        <f>IFERROR(__xludf.DUMMYFUNCTION("GOOGLETRANSLATE(C689,""fr"",""en"")"),"I asked in April 2017 the transfer of my Swisslife contract to another insurer.swisslife asked me for the copy of their own contract! Impossible to reach them on the phone or by email remained unanswered, and I had to wait October to receive a transfer ce"&amp;"rtificate on the account of my other insurer. Besides a surprise because this transfer has never been made and my new insurer is struggling to receive the funds, Swisslife is renowned for fundamental retention. , I'm waiting ... when will I get my money b"&amp;"ack?")</f>
        <v>I asked in April 2017 the transfer of my Swisslife contract to another insurer.swisslife asked me for the copy of their own contract! Impossible to reach them on the phone or by email remained unanswered, and I had to wait October to receive a transfer certificate on the account of my other insurer. Besides a surprise because this transfer has never been made and my new insurer is struggling to receive the funds, Swisslife is renowned for fundamental retention. , I'm waiting ... when will I get my money back?</v>
      </c>
    </row>
    <row r="690" ht="15.75" customHeight="1">
      <c r="A690" s="2">
        <v>3.0</v>
      </c>
      <c r="B690" s="2" t="s">
        <v>1966</v>
      </c>
      <c r="C690" s="2" t="s">
        <v>1967</v>
      </c>
      <c r="D690" s="2" t="s">
        <v>481</v>
      </c>
      <c r="E690" s="2" t="s">
        <v>111</v>
      </c>
      <c r="F690" s="2" t="s">
        <v>15</v>
      </c>
      <c r="G690" s="2" t="s">
        <v>1511</v>
      </c>
      <c r="H690" s="2" t="s">
        <v>107</v>
      </c>
      <c r="I690" s="2" t="str">
        <f>IFERROR(__xludf.DUMMYFUNCTION("GOOGLETRANSLATE(C690,""fr"",""en"")"),"It's a bit expensive but insurance is practical to do on the internet and fast that is what I needed I am so satisfied thank you cordially madam")</f>
        <v>It's a bit expensive but insurance is practical to do on the internet and fast that is what I needed I am so satisfied thank you cordially madam</v>
      </c>
    </row>
    <row r="691" ht="15.75" customHeight="1">
      <c r="A691" s="2">
        <v>4.0</v>
      </c>
      <c r="B691" s="2" t="s">
        <v>1968</v>
      </c>
      <c r="C691" s="2" t="s">
        <v>1969</v>
      </c>
      <c r="D691" s="2" t="s">
        <v>50</v>
      </c>
      <c r="E691" s="2" t="s">
        <v>14</v>
      </c>
      <c r="F691" s="2" t="s">
        <v>15</v>
      </c>
      <c r="G691" s="2" t="s">
        <v>1295</v>
      </c>
      <c r="H691" s="2" t="s">
        <v>52</v>
      </c>
      <c r="I691" s="2" t="str">
        <f>IFERROR(__xludf.DUMMYFUNCTION("GOOGLETRANSLATE(C691,""fr"",""en"")"),"A quote has 400th that the Olivier advisor does not find and 2 days later? Isn't that normal twice in a row?
It raises question is not brief")</f>
        <v>A quote has 400th that the Olivier advisor does not find and 2 days later? Isn't that normal twice in a row?
It raises question is not brief</v>
      </c>
    </row>
    <row r="692" ht="15.75" customHeight="1">
      <c r="A692" s="2">
        <v>1.0</v>
      </c>
      <c r="B692" s="2" t="s">
        <v>1970</v>
      </c>
      <c r="C692" s="2" t="s">
        <v>1971</v>
      </c>
      <c r="D692" s="2" t="s">
        <v>141</v>
      </c>
      <c r="E692" s="2" t="s">
        <v>14</v>
      </c>
      <c r="F692" s="2" t="s">
        <v>15</v>
      </c>
      <c r="G692" s="2" t="s">
        <v>1972</v>
      </c>
      <c r="H692" s="2" t="s">
        <v>173</v>
      </c>
      <c r="I692" s="2" t="str">
        <f>IFERROR(__xludf.DUMMYFUNCTION("GOOGLETRANSLATE(C692,""fr"",""en"")"),"I do not recommend to flee at all
Clearly they make this mock of us I received 14 € of failure costs to pay these costs correspond to the sending of the annual scale, that is to be sent to sending an eco -up envelope so less than € 2.
 So I wrote an ema"&amp;"il to them to have the details of these famous 14 € The also I had a very vague return corresponds to subscription costs I am already a member so what subscription costs I do not terminate fees of Modification of contract I do not modify anything brief go"&amp;" your way they clearly make money on your back.")</f>
        <v>I do not recommend to flee at all
Clearly they make this mock of us I received 14 € of failure costs to pay these costs correspond to the sending of the annual scale, that is to be sent to sending an eco -up envelope so less than € 2.
 So I wrote an email to them to have the details of these famous 14 € The also I had a very vague return corresponds to subscription costs I am already a member so what subscription costs I do not terminate fees of Modification of contract I do not modify anything brief go your way they clearly make money on your back.</v>
      </c>
    </row>
    <row r="693" ht="15.75" customHeight="1">
      <c r="A693" s="2">
        <v>2.0</v>
      </c>
      <c r="B693" s="2" t="s">
        <v>1973</v>
      </c>
      <c r="C693" s="2" t="s">
        <v>1974</v>
      </c>
      <c r="D693" s="2" t="s">
        <v>30</v>
      </c>
      <c r="E693" s="2" t="s">
        <v>14</v>
      </c>
      <c r="F693" s="2" t="s">
        <v>15</v>
      </c>
      <c r="G693" s="2" t="s">
        <v>1975</v>
      </c>
      <c r="H693" s="2" t="s">
        <v>486</v>
      </c>
      <c r="I693" s="2" t="str">
        <f>IFERROR(__xludf.DUMMYFUNCTION("GOOGLETRANSLATE(C693,""fr"",""en"")"),"To flee. Despite my complaint for vandalism, they do not take into account and therefore they do not reimburse anything. With an exorbitant deductible you find yourself reimbursing all the damage. Above all, do not believe the advisers, they are nice but "&amp;"they are only there to put you asleep.")</f>
        <v>To flee. Despite my complaint for vandalism, they do not take into account and therefore they do not reimburse anything. With an exorbitant deductible you find yourself reimbursing all the damage. Above all, do not believe the advisers, they are nice but they are only there to put you asleep.</v>
      </c>
    </row>
    <row r="694" ht="15.75" customHeight="1">
      <c r="A694" s="2">
        <v>4.0</v>
      </c>
      <c r="B694" s="2" t="s">
        <v>1976</v>
      </c>
      <c r="C694" s="2" t="s">
        <v>1977</v>
      </c>
      <c r="D694" s="2" t="s">
        <v>571</v>
      </c>
      <c r="E694" s="2" t="s">
        <v>80</v>
      </c>
      <c r="F694" s="2" t="s">
        <v>15</v>
      </c>
      <c r="G694" s="2" t="s">
        <v>381</v>
      </c>
      <c r="H694" s="2" t="s">
        <v>64</v>
      </c>
      <c r="I694" s="2" t="str">
        <f>IFERROR(__xludf.DUMMYFUNCTION("GOOGLETRANSLATE(C694,""fr"",""en"")"),"I am satisfied with the zen up service
My insurance will cost me twice cheaper
Very simple for membership
I recommend there are only advantages")</f>
        <v>I am satisfied with the zen up service
My insurance will cost me twice cheaper
Very simple for membership
I recommend there are only advantages</v>
      </c>
    </row>
    <row r="695" ht="15.75" customHeight="1">
      <c r="A695" s="2">
        <v>2.0</v>
      </c>
      <c r="B695" s="2" t="s">
        <v>1978</v>
      </c>
      <c r="C695" s="2" t="s">
        <v>1979</v>
      </c>
      <c r="D695" s="2" t="s">
        <v>672</v>
      </c>
      <c r="E695" s="2" t="s">
        <v>90</v>
      </c>
      <c r="F695" s="2" t="s">
        <v>15</v>
      </c>
      <c r="G695" s="2" t="s">
        <v>1239</v>
      </c>
      <c r="H695" s="2" t="s">
        <v>38</v>
      </c>
      <c r="I695" s="2" t="str">
        <f>IFERROR(__xludf.DUMMYFUNCTION("GOOGLETRANSLATE(C695,""fr"",""en"")"),"Very disappointed by customer follow -up. My request for a reminder in 2019 for a tax council has never succeeded. Do managers have too many customers to manage? In addition, the advice given during the placement was carried out without explanation (or mi"&amp;"nimal and regret data): some customers nevertheless need to understand and do not place their money blindly!")</f>
        <v>Very disappointed by customer follow -up. My request for a reminder in 2019 for a tax council has never succeeded. Do managers have too many customers to manage? In addition, the advice given during the placement was carried out without explanation (or minimal and regret data): some customers nevertheless need to understand and do not place their money blindly!</v>
      </c>
    </row>
    <row r="696" ht="15.75" customHeight="1">
      <c r="A696" s="2">
        <v>3.0</v>
      </c>
      <c r="B696" s="2" t="s">
        <v>1980</v>
      </c>
      <c r="C696" s="2" t="s">
        <v>1981</v>
      </c>
      <c r="D696" s="2" t="s">
        <v>329</v>
      </c>
      <c r="E696" s="2" t="s">
        <v>111</v>
      </c>
      <c r="F696" s="2" t="s">
        <v>15</v>
      </c>
      <c r="G696" s="2" t="s">
        <v>1747</v>
      </c>
      <c r="H696" s="2" t="s">
        <v>468</v>
      </c>
      <c r="I696" s="2" t="str">
        <f>IFERROR(__xludf.DUMMYFUNCTION("GOOGLETRANSLATE(C696,""fr"",""en"")"),"Quad Ensure for 5 years, I have had a problem until the day when it is stolen. I am told that repair bills are not taken into account because they have more than two years. Then follows the expert who announces a certain sum by phone and the next day the "&amp;"offer is lower on paper. In short, confisc still not adjust ... Macif to recommend that when there is no claim. I would not even be reimbursed a quarter of the price of my quad.
Because it should not be forgotten that the Lacif takes 20 percent of the am"&amp;"ount of the expert.")</f>
        <v>Quad Ensure for 5 years, I have had a problem until the day when it is stolen. I am told that repair bills are not taken into account because they have more than two years. Then follows the expert who announces a certain sum by phone and the next day the offer is lower on paper. In short, confisc still not adjust ... Macif to recommend that when there is no claim. I would not even be reimbursed a quarter of the price of my quad.
Because it should not be forgotten that the Lacif takes 20 percent of the amount of the expert.</v>
      </c>
    </row>
    <row r="697" ht="15.75" customHeight="1">
      <c r="A697" s="2">
        <v>4.0</v>
      </c>
      <c r="B697" s="2" t="s">
        <v>1982</v>
      </c>
      <c r="C697" s="2" t="s">
        <v>1983</v>
      </c>
      <c r="D697" s="2" t="s">
        <v>30</v>
      </c>
      <c r="E697" s="2" t="s">
        <v>14</v>
      </c>
      <c r="F697" s="2" t="s">
        <v>15</v>
      </c>
      <c r="G697" s="2" t="s">
        <v>1984</v>
      </c>
      <c r="H697" s="2" t="s">
        <v>159</v>
      </c>
      <c r="I697" s="2" t="str">
        <f>IFERROR(__xludf.DUMMYFUNCTION("GOOGLETRANSLATE(C697,""fr"",""en"")"),"Very satisfied with this insurance, but for the moment without problem of a claim.
Advisors to your listening.
Very easy to use site, no complaints")</f>
        <v>Very satisfied with this insurance, but for the moment without problem of a claim.
Advisors to your listening.
Very easy to use site, no complaints</v>
      </c>
    </row>
    <row r="698" ht="15.75" customHeight="1">
      <c r="A698" s="2">
        <v>5.0</v>
      </c>
      <c r="B698" s="2" t="s">
        <v>1985</v>
      </c>
      <c r="C698" s="2" t="s">
        <v>1986</v>
      </c>
      <c r="D698" s="2" t="s">
        <v>741</v>
      </c>
      <c r="E698" s="2" t="s">
        <v>111</v>
      </c>
      <c r="F698" s="2" t="s">
        <v>15</v>
      </c>
      <c r="G698" s="2" t="s">
        <v>150</v>
      </c>
      <c r="H698" s="2" t="s">
        <v>150</v>
      </c>
      <c r="I698" s="2" t="str">
        <f>IFERROR(__xludf.DUMMYFUNCTION("GOOGLETRANSLATE(C698,""fr"",""en"")"),"Very happy with the services offered, the file follow -up following my disaster was treated quickly and effectively.")</f>
        <v>Very happy with the services offered, the file follow -up following my disaster was treated quickly and effectively.</v>
      </c>
    </row>
    <row r="699" ht="15.75" customHeight="1">
      <c r="A699" s="2">
        <v>5.0</v>
      </c>
      <c r="B699" s="2" t="s">
        <v>1987</v>
      </c>
      <c r="C699" s="2" t="s">
        <v>1988</v>
      </c>
      <c r="D699" s="2" t="s">
        <v>30</v>
      </c>
      <c r="E699" s="2" t="s">
        <v>14</v>
      </c>
      <c r="F699" s="2" t="s">
        <v>15</v>
      </c>
      <c r="G699" s="2" t="s">
        <v>1570</v>
      </c>
      <c r="H699" s="2" t="s">
        <v>32</v>
      </c>
      <c r="I699" s="2" t="str">
        <f>IFERROR(__xludf.DUMMYFUNCTION("GOOGLETRANSLATE(C699,""fr"",""en"")"),"I am satisfied with the price, unbeatable so far. A sinister vandalism taken care of, without difficulty. I really recommend this insurance.")</f>
        <v>I am satisfied with the price, unbeatable so far. A sinister vandalism taken care of, without difficulty. I really recommend this insurance.</v>
      </c>
    </row>
    <row r="700" ht="15.75" customHeight="1">
      <c r="A700" s="2">
        <v>3.0</v>
      </c>
      <c r="B700" s="2" t="s">
        <v>1989</v>
      </c>
      <c r="C700" s="2" t="s">
        <v>1990</v>
      </c>
      <c r="D700" s="2" t="s">
        <v>30</v>
      </c>
      <c r="E700" s="2" t="s">
        <v>14</v>
      </c>
      <c r="F700" s="2" t="s">
        <v>15</v>
      </c>
      <c r="G700" s="2" t="s">
        <v>904</v>
      </c>
      <c r="H700" s="2" t="s">
        <v>107</v>
      </c>
      <c r="I700" s="2" t="str">
        <f>IFERROR(__xludf.DUMMYFUNCTION("GOOGLETRANSLATE(C700,""fr"",""en"")"),"Simple practice
Suitable price
Satisfied...
Waiting for auto insurance documents
Quick registration ...
This insurance allows a wide choice of guarantees
")</f>
        <v>Simple practice
Suitable price
Satisfied...
Waiting for auto insurance documents
Quick registration ...
This insurance allows a wide choice of guarantees
</v>
      </c>
    </row>
    <row r="701" ht="15.75" customHeight="1">
      <c r="A701" s="2">
        <v>2.0</v>
      </c>
      <c r="B701" s="2" t="s">
        <v>1991</v>
      </c>
      <c r="C701" s="2" t="s">
        <v>1992</v>
      </c>
      <c r="D701" s="2" t="s">
        <v>329</v>
      </c>
      <c r="E701" s="2" t="s">
        <v>68</v>
      </c>
      <c r="F701" s="2" t="s">
        <v>15</v>
      </c>
      <c r="G701" s="2" t="s">
        <v>1993</v>
      </c>
      <c r="H701" s="2" t="s">
        <v>131</v>
      </c>
      <c r="I701" s="2" t="str">
        <f>IFERROR(__xludf.DUMMYFUNCTION("GOOGLETRANSLATE(C701,""fr"",""en"")"),"Member for 25 years at the Macif, I am very disappointed with customer service, bad advice or no advice at all, no care and always the same reason, badly advised and unfortunately for the blow. The responses of the advisers who answer you that they can do"&amp;" nothing for you .. ok but who then ... the neighbor ...
Frankly there are nice and competing advisers but unfortunately too bad advice and too many bad advisers
Thank you all the same also legal service")</f>
        <v>Member for 25 years at the Macif, I am very disappointed with customer service, bad advice or no advice at all, no care and always the same reason, badly advised and unfortunately for the blow. The responses of the advisers who answer you that they can do nothing for you .. ok but who then ... the neighbor ...
Frankly there are nice and competing advisers but unfortunately too bad advice and too many bad advisers
Thank you all the same also legal service</v>
      </c>
    </row>
    <row r="702" ht="15.75" customHeight="1">
      <c r="A702" s="2">
        <v>4.0</v>
      </c>
      <c r="B702" s="2" t="s">
        <v>1994</v>
      </c>
      <c r="C702" s="2" t="s">
        <v>1995</v>
      </c>
      <c r="D702" s="2" t="s">
        <v>30</v>
      </c>
      <c r="E702" s="2" t="s">
        <v>14</v>
      </c>
      <c r="F702" s="2" t="s">
        <v>15</v>
      </c>
      <c r="G702" s="2" t="s">
        <v>63</v>
      </c>
      <c r="H702" s="2" t="s">
        <v>64</v>
      </c>
      <c r="I702" s="2" t="str">
        <f>IFERROR(__xludf.DUMMYFUNCTION("GOOGLETRANSLATE(C702,""fr"",""en"")"),"To see in time, that's why I only put 4 stars, I expect to have the use of it, but the inscription is simple and quick and the price is correct.")</f>
        <v>To see in time, that's why I only put 4 stars, I expect to have the use of it, but the inscription is simple and quick and the price is correct.</v>
      </c>
    </row>
    <row r="703" ht="15.75" customHeight="1">
      <c r="A703" s="2">
        <v>1.0</v>
      </c>
      <c r="B703" s="2" t="s">
        <v>1996</v>
      </c>
      <c r="C703" s="2" t="s">
        <v>1997</v>
      </c>
      <c r="D703" s="2" t="s">
        <v>292</v>
      </c>
      <c r="E703" s="2" t="s">
        <v>68</v>
      </c>
      <c r="F703" s="2" t="s">
        <v>15</v>
      </c>
      <c r="G703" s="2" t="s">
        <v>1998</v>
      </c>
      <c r="H703" s="2" t="s">
        <v>192</v>
      </c>
      <c r="I703" s="2" t="str">
        <f>IFERROR(__xludf.DUMMYFUNCTION("GOOGLETRANSLATE(C703,""fr"",""en"")"),"After 38 years of loyalty to the Matmut, I learned by chance by asking for a certificate to telework from the house that I have not been insured since the beginning of the year. I never received the recommended that they said to me to be sent. What a desa"&amp;"ppointment. I am no longer profitable enough. So I resume my freedom and I will see elsewhere for my vehicles and my home insurance.")</f>
        <v>After 38 years of loyalty to the Matmut, I learned by chance by asking for a certificate to telework from the house that I have not been insured since the beginning of the year. I never received the recommended that they said to me to be sent. What a desappointment. I am no longer profitable enough. So I resume my freedom and I will see elsewhere for my vehicles and my home insurance.</v>
      </c>
    </row>
    <row r="704" ht="15.75" customHeight="1">
      <c r="A704" s="2">
        <v>2.0</v>
      </c>
      <c r="B704" s="2" t="s">
        <v>1999</v>
      </c>
      <c r="C704" s="2" t="s">
        <v>2000</v>
      </c>
      <c r="D704" s="2" t="s">
        <v>2001</v>
      </c>
      <c r="E704" s="2" t="s">
        <v>68</v>
      </c>
      <c r="F704" s="2" t="s">
        <v>15</v>
      </c>
      <c r="G704" s="2" t="s">
        <v>2002</v>
      </c>
      <c r="H704" s="2" t="s">
        <v>1007</v>
      </c>
      <c r="I704" s="2" t="str">
        <f>IFERROR(__xludf.DUMMYFUNCTION("GOOGLETRANSLATE(C704,""fr"",""en"")"),"Unreachable, they call on experts (Cabinet Saretec) who are charlots who are also unreachable and do nothing! To flee ! They compensated me 126 euros for a quote at 660 euros, that is to say with the deductible for half of what it cost me, a shame, and im"&amp;"possible to have the details.")</f>
        <v>Unreachable, they call on experts (Cabinet Saretec) who are charlots who are also unreachable and do nothing! To flee ! They compensated me 126 euros for a quote at 660 euros, that is to say with the deductible for half of what it cost me, a shame, and impossible to have the details.</v>
      </c>
    </row>
    <row r="705" ht="15.75" customHeight="1">
      <c r="A705" s="2">
        <v>2.0</v>
      </c>
      <c r="B705" s="2" t="s">
        <v>2003</v>
      </c>
      <c r="C705" s="2" t="s">
        <v>2004</v>
      </c>
      <c r="D705" s="2" t="s">
        <v>50</v>
      </c>
      <c r="E705" s="2" t="s">
        <v>14</v>
      </c>
      <c r="F705" s="2" t="s">
        <v>15</v>
      </c>
      <c r="G705" s="2" t="s">
        <v>987</v>
      </c>
      <c r="H705" s="2" t="s">
        <v>687</v>
      </c>
      <c r="I705" s="2" t="str">
        <f>IFERROR(__xludf.DUMMYFUNCTION("GOOGLETRANSLATE(C705,""fr"",""en"")"),"lamentable insurance. Impossible to receive the final sticker. I subscribed on 02/11/16 and I still wait despite the different reminders whether by email or by phone. I received an answer a few days ago telling me that information that I gave does not cor"&amp;"respond to the documents sent. This is completely false and I have the evidence to the support. In addition with his, they want to have me sign a new contract completed by their care and which obviously is not good. And finally they ask me for an addition"&amp;"al 103 euros for this famous contract readiness. I do not intend to sign this walnut contract and even less to give 103 euros more.
If unfortunately I have a disaster in the coming days, am I still insured? Although I gave 728 euros and it's not over? Wi"&amp;"th the excuses that have it I am not sure of it ...")</f>
        <v>lamentable insurance. Impossible to receive the final sticker. I subscribed on 02/11/16 and I still wait despite the different reminders whether by email or by phone. I received an answer a few days ago telling me that information that I gave does not correspond to the documents sent. This is completely false and I have the evidence to the support. In addition with his, they want to have me sign a new contract completed by their care and which obviously is not good. And finally they ask me for an additional 103 euros for this famous contract readiness. I do not intend to sign this walnut contract and even less to give 103 euros more.
If unfortunately I have a disaster in the coming days, am I still insured? Although I gave 728 euros and it's not over? With the excuses that have it I am not sure of it ...</v>
      </c>
    </row>
    <row r="706" ht="15.75" customHeight="1">
      <c r="A706" s="2">
        <v>2.0</v>
      </c>
      <c r="B706" s="2" t="s">
        <v>2005</v>
      </c>
      <c r="C706" s="2" t="s">
        <v>2006</v>
      </c>
      <c r="D706" s="2" t="s">
        <v>41</v>
      </c>
      <c r="E706" s="2" t="s">
        <v>36</v>
      </c>
      <c r="F706" s="2" t="s">
        <v>15</v>
      </c>
      <c r="G706" s="2" t="s">
        <v>784</v>
      </c>
      <c r="H706" s="2" t="s">
        <v>241</v>
      </c>
      <c r="I706" s="2" t="str">
        <f>IFERROR(__xludf.DUMMYFUNCTION("GOOGLETRANSLATE(C706,""fr"",""en"")"),"Hello I have just changed mutual insurance company being approached by a broker. I am currently at Cegema the worst mutual since I was insured. If I am insured? I currently pay two mutuals since Cegema apparently did not take the necessary steps for chang"&amp;"e. I tried several times to contact them by phone n ° 04 92 02 08 50 without success. I contacted in turn the BS broker. Service number 09 87 33 64 21 which apparently can do nothing for me. If someone can help me I thank him in advance ps (moreover havin"&amp;"g suddenly suddenly Two mutual social security does not reimburse me not knowing who to make the Help transmission")</f>
        <v>Hello I have just changed mutual insurance company being approached by a broker. I am currently at Cegema the worst mutual since I was insured. If I am insured? I currently pay two mutuals since Cegema apparently did not take the necessary steps for change. I tried several times to contact them by phone n ° 04 92 02 08 50 without success. I contacted in turn the BS broker. Service number 09 87 33 64 21 which apparently can do nothing for me. If someone can help me I thank him in advance ps (moreover having suddenly suddenly Two mutual social security does not reimburse me not knowing who to make the Help transmission</v>
      </c>
    </row>
    <row r="707" ht="15.75" customHeight="1">
      <c r="A707" s="2">
        <v>5.0</v>
      </c>
      <c r="B707" s="2" t="s">
        <v>2007</v>
      </c>
      <c r="C707" s="2" t="s">
        <v>2008</v>
      </c>
      <c r="D707" s="2" t="s">
        <v>145</v>
      </c>
      <c r="E707" s="2" t="s">
        <v>111</v>
      </c>
      <c r="F707" s="2" t="s">
        <v>15</v>
      </c>
      <c r="G707" s="2" t="s">
        <v>315</v>
      </c>
      <c r="H707" s="2" t="s">
        <v>64</v>
      </c>
      <c r="I707" s="2" t="str">
        <f>IFERROR(__xludf.DUMMYFUNCTION("GOOGLETRANSLATE(C707,""fr"",""en"")"),"Simple, efficient and clear. First insurance for me, I was able to subscribe very quickly, and drive safely.
I recommend AMV.
Thank you to your teams.")</f>
        <v>Simple, efficient and clear. First insurance for me, I was able to subscribe very quickly, and drive safely.
I recommend AMV.
Thank you to your teams.</v>
      </c>
    </row>
    <row r="708" ht="15.75" customHeight="1">
      <c r="A708" s="2">
        <v>1.0</v>
      </c>
      <c r="B708" s="2" t="s">
        <v>2009</v>
      </c>
      <c r="C708" s="2" t="s">
        <v>2010</v>
      </c>
      <c r="D708" s="2" t="s">
        <v>141</v>
      </c>
      <c r="E708" s="2" t="s">
        <v>68</v>
      </c>
      <c r="F708" s="2" t="s">
        <v>15</v>
      </c>
      <c r="G708" s="2" t="s">
        <v>2011</v>
      </c>
      <c r="H708" s="2" t="s">
        <v>1553</v>
      </c>
      <c r="I708" s="2" t="str">
        <f>IFERROR(__xludf.DUMMYFUNCTION("GOOGLETRANSLATE(C708,""fr"",""en"")"),"Insured at MAIF for over 40 years, I have never had to declare a claim. This year I underwent infiltration in the ceilings of my apartment which found themselves completely degraded. The condominium had to initiate expensive work to strengthen the tightne"&amp;"ss of the terrace which overlooks my apartment. During this work, workers threw rubble in the descent of rainwater, so that in the first rain my apartment was completely flooded, damaging parquet and carpet.
So I recovered an apartment devastated by the "&amp;"ceilings and by the floors.
The MAIF, after more than a month sent me the ""expert"" of a private cabinet. This ""expert"" seems to have only had two missions: 1. Endless delay my file by interminable harassment and finsseries, and 2. Cost the lowest, by"&amp;" reducing their importance and extended, the damage. I am 73 years old, I am seriously ill and the maif forces me to end my life in a slum. Thank you the militant insurer.")</f>
        <v>Insured at MAIF for over 40 years, I have never had to declare a claim. This year I underwent infiltration in the ceilings of my apartment which found themselves completely degraded. The condominium had to initiate expensive work to strengthen the tightness of the terrace which overlooks my apartment. During this work, workers threw rubble in the descent of rainwater, so that in the first rain my apartment was completely flooded, damaging parquet and carpet.
So I recovered an apartment devastated by the ceilings and by the floors.
The MAIF, after more than a month sent me the "expert" of a private cabinet. This "expert" seems to have only had two missions: 1. Endless delay my file by interminable harassment and finsseries, and 2. Cost the lowest, by reducing their importance and extended, the damage. I am 73 years old, I am seriously ill and the maif forces me to end my life in a slum. Thank you the militant insurer.</v>
      </c>
    </row>
    <row r="709" ht="15.75" customHeight="1">
      <c r="A709" s="2">
        <v>1.0</v>
      </c>
      <c r="B709" s="2" t="s">
        <v>2012</v>
      </c>
      <c r="C709" s="2" t="s">
        <v>2013</v>
      </c>
      <c r="D709" s="2" t="s">
        <v>20</v>
      </c>
      <c r="E709" s="2" t="s">
        <v>14</v>
      </c>
      <c r="F709" s="2" t="s">
        <v>15</v>
      </c>
      <c r="G709" s="2" t="s">
        <v>233</v>
      </c>
      <c r="H709" s="2" t="s">
        <v>233</v>
      </c>
      <c r="I709" s="2" t="str">
        <f>IFERROR(__xludf.DUMMYFUNCTION("GOOGLETRANSLATE(C709,""fr"",""en"")"),"Apparently attractive insurance, which is the opposite on the price and on customer service
I would have had to look at the comments before, don't get you !!!
I assure myself for 26 euro, during the first month I make a modification of the contract we m"&amp;"odify the subscription to 29 euros I agree, I am confirmed by any additional costs, and then make my case costs go from 20 to 65 euros, I ask that we listen to the conversation of customer service which confirms no additional costs and the of course, impo"&amp;"ssible it is not recorded !!! as if by chance !!")</f>
        <v>Apparently attractive insurance, which is the opposite on the price and on customer service
I would have had to look at the comments before, don't get you !!!
I assure myself for 26 euro, during the first month I make a modification of the contract we modify the subscription to 29 euros I agree, I am confirmed by any additional costs, and then make my case costs go from 20 to 65 euros, I ask that we listen to the conversation of customer service which confirms no additional costs and the of course, impossible it is not recorded !!! as if by chance !!</v>
      </c>
    </row>
    <row r="710" ht="15.75" customHeight="1">
      <c r="A710" s="2">
        <v>3.0</v>
      </c>
      <c r="B710" s="2" t="s">
        <v>2014</v>
      </c>
      <c r="C710" s="2" t="s">
        <v>2015</v>
      </c>
      <c r="D710" s="2" t="s">
        <v>30</v>
      </c>
      <c r="E710" s="2" t="s">
        <v>14</v>
      </c>
      <c r="F710" s="2" t="s">
        <v>15</v>
      </c>
      <c r="G710" s="2" t="s">
        <v>2016</v>
      </c>
      <c r="H710" s="2" t="s">
        <v>64</v>
      </c>
      <c r="I710" s="2" t="str">
        <f>IFERROR(__xludf.DUMMYFUNCTION("GOOGLETRANSLATE(C710,""fr"",""en"")"),"The offer and pricing are very interesting to see later if the services are at the same height ...! Easy simple subscription and tutorial")</f>
        <v>The offer and pricing are very interesting to see later if the services are at the same height ...! Easy simple subscription and tutorial</v>
      </c>
    </row>
    <row r="711" ht="15.75" customHeight="1">
      <c r="A711" s="2">
        <v>5.0</v>
      </c>
      <c r="B711" s="2" t="s">
        <v>2017</v>
      </c>
      <c r="C711" s="2" t="s">
        <v>2018</v>
      </c>
      <c r="D711" s="2" t="s">
        <v>50</v>
      </c>
      <c r="E711" s="2" t="s">
        <v>14</v>
      </c>
      <c r="F711" s="2" t="s">
        <v>15</v>
      </c>
      <c r="G711" s="2" t="s">
        <v>482</v>
      </c>
      <c r="H711" s="2" t="s">
        <v>107</v>
      </c>
      <c r="I711" s="2" t="str">
        <f>IFERROR(__xludf.DUMMYFUNCTION("GOOGLETRANSLATE(C711,""fr"",""en"")"),"Young driver is the most interesting offer, all the answers to my questions were provided, my interlocutors were very kind.")</f>
        <v>Young driver is the most interesting offer, all the answers to my questions were provided, my interlocutors were very kind.</v>
      </c>
    </row>
    <row r="712" ht="15.75" customHeight="1">
      <c r="A712" s="2">
        <v>1.0</v>
      </c>
      <c r="B712" s="2" t="s">
        <v>2019</v>
      </c>
      <c r="C712" s="2" t="s">
        <v>2020</v>
      </c>
      <c r="D712" s="2" t="s">
        <v>134</v>
      </c>
      <c r="E712" s="2" t="s">
        <v>36</v>
      </c>
      <c r="F712" s="2" t="s">
        <v>15</v>
      </c>
      <c r="G712" s="2" t="s">
        <v>2021</v>
      </c>
      <c r="H712" s="2" t="s">
        <v>43</v>
      </c>
      <c r="I712" s="2" t="str">
        <f>IFERROR(__xludf.DUMMYFUNCTION("GOOGLETRANSLATE(C712,""fr"",""en"")"),"Commercial practices at the limit of legality. Pretends to be a social security provider, asks IBAN by affirming that no sum will be taken. Forcing to quickly conclude membership thanks to an electronic signature.")</f>
        <v>Commercial practices at the limit of legality. Pretends to be a social security provider, asks IBAN by affirming that no sum will be taken. Forcing to quickly conclude membership thanks to an electronic signature.</v>
      </c>
    </row>
    <row r="713" ht="15.75" customHeight="1">
      <c r="A713" s="2">
        <v>4.0</v>
      </c>
      <c r="B713" s="2" t="s">
        <v>2022</v>
      </c>
      <c r="C713" s="2" t="s">
        <v>2023</v>
      </c>
      <c r="D713" s="2" t="s">
        <v>35</v>
      </c>
      <c r="E713" s="2" t="s">
        <v>36</v>
      </c>
      <c r="F713" s="2" t="s">
        <v>15</v>
      </c>
      <c r="G713" s="2" t="s">
        <v>676</v>
      </c>
      <c r="H713" s="2" t="s">
        <v>124</v>
      </c>
      <c r="I713" s="2" t="str">
        <f>IFERROR(__xludf.DUMMYFUNCTION("GOOGLETRANSLATE(C713,""fr"",""en"")"),"I am very satisfied with the telephone contact with Miss Ramata who guided me very well in my approach and if it is necessary to give a note she deserves for her patience and her professionalism the maximum note.")</f>
        <v>I am very satisfied with the telephone contact with Miss Ramata who guided me very well in my approach and if it is necessary to give a note she deserves for her patience and her professionalism the maximum note.</v>
      </c>
    </row>
    <row r="714" ht="15.75" customHeight="1">
      <c r="A714" s="2">
        <v>4.0</v>
      </c>
      <c r="B714" s="2" t="s">
        <v>2024</v>
      </c>
      <c r="C714" s="2" t="s">
        <v>2025</v>
      </c>
      <c r="D714" s="2" t="s">
        <v>50</v>
      </c>
      <c r="E714" s="2" t="s">
        <v>14</v>
      </c>
      <c r="F714" s="2" t="s">
        <v>15</v>
      </c>
      <c r="G714" s="2" t="s">
        <v>135</v>
      </c>
      <c r="H714" s="2" t="s">
        <v>38</v>
      </c>
      <c r="I714" s="2" t="str">
        <f>IFERROR(__xludf.DUMMYFUNCTION("GOOGLETRANSLATE(C714,""fr"",""en"")"),"Thanks to the various proposals of this contract as well as at the price of insurance, I find it very affordable and very suitable for young drivers.")</f>
        <v>Thanks to the various proposals of this contract as well as at the price of insurance, I find it very affordable and very suitable for young drivers.</v>
      </c>
    </row>
    <row r="715" ht="15.75" customHeight="1">
      <c r="A715" s="2">
        <v>1.0</v>
      </c>
      <c r="B715" s="2" t="s">
        <v>2026</v>
      </c>
      <c r="C715" s="2" t="s">
        <v>2027</v>
      </c>
      <c r="D715" s="2" t="s">
        <v>25</v>
      </c>
      <c r="E715" s="2" t="s">
        <v>14</v>
      </c>
      <c r="F715" s="2" t="s">
        <v>15</v>
      </c>
      <c r="G715" s="2" t="s">
        <v>2028</v>
      </c>
      <c r="H715" s="2" t="s">
        <v>326</v>
      </c>
      <c r="I715" s="2" t="str">
        <f>IFERROR(__xludf.DUMMYFUNCTION("GOOGLETRANSLATE(C715,""fr"",""en"")"),"Following a car accident not responsible and big repairs I discovered the AXA Service Assistance a disaster No listening on the day of the accident after the towing of my vehicle I found myself alone at the scene of the accident forced to Back on my own m"&amp;"eans then the expert put 11 days to come and see the damage when I only had 15 days of vehicle rental provided for the contract and according to the mechanic 3 weeks of reparation. Assessment I am the victim and Axa refuses to continue to take care of the"&amp;" rental of a replacement vehicle during repairs.")</f>
        <v>Following a car accident not responsible and big repairs I discovered the AXA Service Assistance a disaster No listening on the day of the accident after the towing of my vehicle I found myself alone at the scene of the accident forced to Back on my own means then the expert put 11 days to come and see the damage when I only had 15 days of vehicle rental provided for the contract and according to the mechanic 3 weeks of reparation. Assessment I am the victim and Axa refuses to continue to take care of the rental of a replacement vehicle during repairs.</v>
      </c>
    </row>
    <row r="716" ht="15.75" customHeight="1">
      <c r="A716" s="2">
        <v>2.0</v>
      </c>
      <c r="B716" s="2" t="s">
        <v>2029</v>
      </c>
      <c r="C716" s="2" t="s">
        <v>2030</v>
      </c>
      <c r="D716" s="2" t="s">
        <v>180</v>
      </c>
      <c r="E716" s="2" t="s">
        <v>14</v>
      </c>
      <c r="F716" s="2" t="s">
        <v>15</v>
      </c>
      <c r="G716" s="2" t="s">
        <v>2031</v>
      </c>
      <c r="H716" s="2" t="s">
        <v>150</v>
      </c>
      <c r="I716" s="2" t="str">
        <f>IFERROR(__xludf.DUMMYFUNCTION("GOOGLETRANSLATE(C716,""fr"",""en"")"),"I made an online quote, the price suited me, I paid an online deposit, as a result of which my contract to sign appears in my account, but at a higher price. They do not answer emails so for now I can't use my vehicle.")</f>
        <v>I made an online quote, the price suited me, I paid an online deposit, as a result of which my contract to sign appears in my account, but at a higher price. They do not answer emails so for now I can't use my vehicle.</v>
      </c>
    </row>
    <row r="717" ht="15.75" customHeight="1">
      <c r="A717" s="2">
        <v>3.0</v>
      </c>
      <c r="B717" s="2" t="s">
        <v>2032</v>
      </c>
      <c r="C717" s="2" t="s">
        <v>2033</v>
      </c>
      <c r="D717" s="2" t="s">
        <v>30</v>
      </c>
      <c r="E717" s="2" t="s">
        <v>14</v>
      </c>
      <c r="F717" s="2" t="s">
        <v>15</v>
      </c>
      <c r="G717" s="2" t="s">
        <v>2034</v>
      </c>
      <c r="H717" s="2" t="s">
        <v>107</v>
      </c>
      <c r="I717" s="2" t="str">
        <f>IFERROR(__xludf.DUMMYFUNCTION("GOOGLETRANSLATE(C717,""fr"",""en"")"),"Even if it is always too expensive the prices are in the average competition, see a little cheaper for the Mercedes ML but the franchise has almost doubled!")</f>
        <v>Even if it is always too expensive the prices are in the average competition, see a little cheaper for the Mercedes ML but the franchise has almost doubled!</v>
      </c>
    </row>
    <row r="718" ht="15.75" customHeight="1">
      <c r="A718" s="2">
        <v>3.0</v>
      </c>
      <c r="B718" s="2" t="s">
        <v>2035</v>
      </c>
      <c r="C718" s="2" t="s">
        <v>2036</v>
      </c>
      <c r="D718" s="2" t="s">
        <v>30</v>
      </c>
      <c r="E718" s="2" t="s">
        <v>14</v>
      </c>
      <c r="F718" s="2" t="s">
        <v>15</v>
      </c>
      <c r="G718" s="2" t="s">
        <v>2037</v>
      </c>
      <c r="H718" s="2" t="s">
        <v>199</v>
      </c>
      <c r="I718" s="2" t="str">
        <f>IFERROR(__xludf.DUMMYFUNCTION("GOOGLETRANSLATE(C718,""fr"",""en"")"),"I want to know what the promo code corresponds to
The construction of the quote is practical
I want to be contacted to refine the quote
Thanks very much")</f>
        <v>I want to know what the promo code corresponds to
The construction of the quote is practical
I want to be contacted to refine the quote
Thanks very much</v>
      </c>
    </row>
    <row r="719" ht="15.75" customHeight="1">
      <c r="A719" s="2">
        <v>5.0</v>
      </c>
      <c r="B719" s="2" t="s">
        <v>2038</v>
      </c>
      <c r="C719" s="2" t="s">
        <v>2039</v>
      </c>
      <c r="D719" s="2" t="s">
        <v>571</v>
      </c>
      <c r="E719" s="2" t="s">
        <v>80</v>
      </c>
      <c r="F719" s="2" t="s">
        <v>15</v>
      </c>
      <c r="G719" s="2" t="s">
        <v>1424</v>
      </c>
      <c r="H719" s="2" t="s">
        <v>64</v>
      </c>
      <c r="I719" s="2" t="str">
        <f>IFERROR(__xludf.DUMMYFUNCTION("GOOGLETRANSLATE(C719,""fr"",""en"")"),"I am very satisfied with the service and the availability of advisers who are attentive to the questions and seek to answer it as best as possible !!! thank you very much !!! I highly recommend!!")</f>
        <v>I am very satisfied with the service and the availability of advisers who are attentive to the questions and seek to answer it as best as possible !!! thank you very much !!! I highly recommend!!</v>
      </c>
    </row>
    <row r="720" ht="15.75" customHeight="1">
      <c r="A720" s="2">
        <v>2.0</v>
      </c>
      <c r="B720" s="2" t="s">
        <v>2040</v>
      </c>
      <c r="C720" s="2" t="s">
        <v>2041</v>
      </c>
      <c r="D720" s="2" t="s">
        <v>30</v>
      </c>
      <c r="E720" s="2" t="s">
        <v>14</v>
      </c>
      <c r="F720" s="2" t="s">
        <v>15</v>
      </c>
      <c r="G720" s="2" t="s">
        <v>921</v>
      </c>
      <c r="H720" s="2" t="s">
        <v>199</v>
      </c>
      <c r="I720" s="2" t="str">
        <f>IFERROR(__xludf.DUMMYFUNCTION("GOOGLETRANSLATE(C720,""fr"",""en"")"),"A little expensive for a 4CV .... I expected more competitive. But good online service, simple and quick. I would also like to know more about the Connect case")</f>
        <v>A little expensive for a 4CV .... I expected more competitive. But good online service, simple and quick. I would also like to know more about the Connect case</v>
      </c>
    </row>
    <row r="721" ht="15.75" customHeight="1">
      <c r="A721" s="2">
        <v>2.0</v>
      </c>
      <c r="B721" s="2" t="s">
        <v>2042</v>
      </c>
      <c r="C721" s="2" t="s">
        <v>2043</v>
      </c>
      <c r="D721" s="2" t="s">
        <v>25</v>
      </c>
      <c r="E721" s="2" t="s">
        <v>14</v>
      </c>
      <c r="F721" s="2" t="s">
        <v>15</v>
      </c>
      <c r="G721" s="2" t="s">
        <v>2044</v>
      </c>
      <c r="H721" s="2" t="s">
        <v>38</v>
      </c>
      <c r="I721" s="2" t="str">
        <f>IFERROR(__xludf.DUMMYFUNCTION("GOOGLETRANSLATE(C721,""fr"",""en"")"),"Insurance present to collect the contributions but one month after a non -responsible disaster no replacement vehicle no compensation, I am still announced at least 15 days of waiting.
Worse still the vehicle has been changed to the garage to avoid the g"&amp;"uard costs the new garage in demand 300. After verification, the old does not take security costs. So I have to tow a vehicle that was 30km from my home and that the insurer transferred without my agreement to 80km
Flee Axa is the best advice I can give."&amp;" To make you pay there is no problem there for compensated, it's another story")</f>
        <v>Insurance present to collect the contributions but one month after a non -responsible disaster no replacement vehicle no compensation, I am still announced at least 15 days of waiting.
Worse still the vehicle has been changed to the garage to avoid the guard costs the new garage in demand 300. After verification, the old does not take security costs. So I have to tow a vehicle that was 30km from my home and that the insurer transferred without my agreement to 80km
Flee Axa is the best advice I can give. To make you pay there is no problem there for compensated, it's another story</v>
      </c>
    </row>
    <row r="722" ht="15.75" customHeight="1">
      <c r="A722" s="2">
        <v>4.0</v>
      </c>
      <c r="B722" s="2" t="s">
        <v>2045</v>
      </c>
      <c r="C722" s="2" t="s">
        <v>2046</v>
      </c>
      <c r="D722" s="2" t="s">
        <v>30</v>
      </c>
      <c r="E722" s="2" t="s">
        <v>14</v>
      </c>
      <c r="F722" s="2" t="s">
        <v>15</v>
      </c>
      <c r="G722" s="2" t="s">
        <v>690</v>
      </c>
      <c r="H722" s="2" t="s">
        <v>64</v>
      </c>
      <c r="I722" s="2" t="str">
        <f>IFERROR(__xludf.DUMMYFUNCTION("GOOGLETRANSLATE(C722,""fr"",""en"")"),"Satisfied with the interlocutor I had on the phone and the advice we had for the subscription of our car insurance. We were already at home before.")</f>
        <v>Satisfied with the interlocutor I had on the phone and the advice we had for the subscription of our car insurance. We were already at home before.</v>
      </c>
    </row>
    <row r="723" ht="15.75" customHeight="1">
      <c r="A723" s="2">
        <v>5.0</v>
      </c>
      <c r="B723" s="2" t="s">
        <v>2047</v>
      </c>
      <c r="C723" s="2" t="s">
        <v>2048</v>
      </c>
      <c r="D723" s="2" t="s">
        <v>30</v>
      </c>
      <c r="E723" s="2" t="s">
        <v>14</v>
      </c>
      <c r="F723" s="2" t="s">
        <v>15</v>
      </c>
      <c r="G723" s="2" t="s">
        <v>2049</v>
      </c>
      <c r="H723" s="2" t="s">
        <v>38</v>
      </c>
      <c r="I723" s="2" t="str">
        <f>IFERROR(__xludf.DUMMYFUNCTION("GOOGLETRANSLATE(C723,""fr"",""en"")"),"I am delighted with direct insurance
I recommend Cerre Insurance
already a vehicle at home and I subscribe for our second car
thank you")</f>
        <v>I am delighted with direct insurance
I recommend Cerre Insurance
already a vehicle at home and I subscribe for our second car
thank you</v>
      </c>
    </row>
    <row r="724" ht="15.75" customHeight="1">
      <c r="A724" s="2">
        <v>1.0</v>
      </c>
      <c r="B724" s="2" t="s">
        <v>2050</v>
      </c>
      <c r="C724" s="2" t="s">
        <v>2051</v>
      </c>
      <c r="D724" s="2" t="s">
        <v>224</v>
      </c>
      <c r="E724" s="2" t="s">
        <v>14</v>
      </c>
      <c r="F724" s="2" t="s">
        <v>15</v>
      </c>
      <c r="G724" s="2" t="s">
        <v>1019</v>
      </c>
      <c r="H724" s="2" t="s">
        <v>155</v>
      </c>
      <c r="I724" s="2" t="str">
        <f>IFERROR(__xludf.DUMMYFUNCTION("GOOGLETRANSLATE(C724,""fr"",""en"")"),"???????? Insurance who believe this permit, it allows to be noted Compagnie in the file of their customers when he decides to terminate their contracts.
How can these people still exercise ???
Save your bonus and money, go even another insurance! ??????"&amp;"???")</f>
        <v>???????? Insurance who believe this permit, it allows to be noted Compagnie in the file of their customers when he decides to terminate their contracts.
How can these people still exercise ???
Save your bonus and money, go even another insurance! ?????????</v>
      </c>
    </row>
    <row r="725" ht="15.75" customHeight="1">
      <c r="A725" s="2">
        <v>5.0</v>
      </c>
      <c r="B725" s="2" t="s">
        <v>2052</v>
      </c>
      <c r="C725" s="2" t="s">
        <v>2053</v>
      </c>
      <c r="D725" s="2" t="s">
        <v>292</v>
      </c>
      <c r="E725" s="2" t="s">
        <v>68</v>
      </c>
      <c r="F725" s="2" t="s">
        <v>15</v>
      </c>
      <c r="G725" s="2" t="s">
        <v>2054</v>
      </c>
      <c r="H725" s="2" t="s">
        <v>305</v>
      </c>
      <c r="I725" s="2" t="str">
        <f>IFERROR(__xludf.DUMMYFUNCTION("GOOGLETRANSLATE(C725,""fr"",""en"")"),"Very expensive insurance it is no longer the mutualist nature of the time.
Closure of local agencies.
Too much advertising (rugby) to the detriment of members")</f>
        <v>Very expensive insurance it is no longer the mutualist nature of the time.
Closure of local agencies.
Too much advertising (rugby) to the detriment of members</v>
      </c>
    </row>
    <row r="726" ht="15.75" customHeight="1">
      <c r="A726" s="2">
        <v>3.0</v>
      </c>
      <c r="B726" s="2" t="s">
        <v>2055</v>
      </c>
      <c r="C726" s="2" t="s">
        <v>2056</v>
      </c>
      <c r="D726" s="2" t="s">
        <v>30</v>
      </c>
      <c r="E726" s="2" t="s">
        <v>14</v>
      </c>
      <c r="F726" s="2" t="s">
        <v>15</v>
      </c>
      <c r="G726" s="2" t="s">
        <v>51</v>
      </c>
      <c r="H726" s="2" t="s">
        <v>52</v>
      </c>
      <c r="I726" s="2" t="str">
        <f>IFERROR(__xludf.DUMMYFUNCTION("GOOGLETRANSLATE(C726,""fr"",""en"")"),"Following the fire in my building, I find myself offset. My apartment has become uninhabitable and the decontamination company did nothing.")</f>
        <v>Following the fire in my building, I find myself offset. My apartment has become uninhabitable and the decontamination company did nothing.</v>
      </c>
    </row>
    <row r="727" ht="15.75" customHeight="1">
      <c r="A727" s="2">
        <v>3.0</v>
      </c>
      <c r="B727" s="2" t="s">
        <v>2057</v>
      </c>
      <c r="C727" s="2" t="s">
        <v>2058</v>
      </c>
      <c r="D727" s="2" t="s">
        <v>50</v>
      </c>
      <c r="E727" s="2" t="s">
        <v>14</v>
      </c>
      <c r="F727" s="2" t="s">
        <v>15</v>
      </c>
      <c r="G727" s="2" t="s">
        <v>993</v>
      </c>
      <c r="H727" s="2" t="s">
        <v>47</v>
      </c>
      <c r="I727" s="2" t="str">
        <f>IFERROR(__xludf.DUMMYFUNCTION("GOOGLETRANSLATE(C727,""fr"",""en"")"),"I am stated prices The telephone chrge taking is perfect the documents signed are too vague thank you for sending me all the detil of the contract in order to reread them. Best regards")</f>
        <v>I am stated prices The telephone chrge taking is perfect the documents signed are too vague thank you for sending me all the detil of the contract in order to reread them. Best regards</v>
      </c>
    </row>
    <row r="728" ht="15.75" customHeight="1">
      <c r="A728" s="2">
        <v>4.0</v>
      </c>
      <c r="B728" s="2" t="s">
        <v>2059</v>
      </c>
      <c r="C728" s="2" t="s">
        <v>2060</v>
      </c>
      <c r="D728" s="2" t="s">
        <v>30</v>
      </c>
      <c r="E728" s="2" t="s">
        <v>14</v>
      </c>
      <c r="F728" s="2" t="s">
        <v>15</v>
      </c>
      <c r="G728" s="2" t="s">
        <v>264</v>
      </c>
      <c r="H728" s="2" t="s">
        <v>38</v>
      </c>
      <c r="I728" s="2" t="str">
        <f>IFERROR(__xludf.DUMMYFUNCTION("GOOGLETRANSLATE(C728,""fr"",""en"")"),"Very good report price services
More than to see over time if the service and as well as the price
I recommend for the moment just compared to the price")</f>
        <v>Very good report price services
More than to see over time if the service and as well as the price
I recommend for the moment just compared to the price</v>
      </c>
    </row>
    <row r="729" ht="15.75" customHeight="1">
      <c r="A729" s="2">
        <v>2.0</v>
      </c>
      <c r="B729" s="2" t="s">
        <v>2061</v>
      </c>
      <c r="C729" s="2" t="s">
        <v>2062</v>
      </c>
      <c r="D729" s="2" t="s">
        <v>50</v>
      </c>
      <c r="E729" s="2" t="s">
        <v>14</v>
      </c>
      <c r="F729" s="2" t="s">
        <v>15</v>
      </c>
      <c r="G729" s="2" t="s">
        <v>440</v>
      </c>
      <c r="H729" s="2" t="s">
        <v>52</v>
      </c>
      <c r="I729" s="2" t="str">
        <f>IFERROR(__xludf.DUMMYFUNCTION("GOOGLETRANSLATE(C729,""fr"",""en"")"),"bjr I find your assurances a can dear I had 3 small accidents or. I am not in wrong and I pay 130 e by me jasper only with such. The price will be best. Because I don't have too much way")</f>
        <v>bjr I find your assurances a can dear I had 3 small accidents or. I am not in wrong and I pay 130 e by me jasper only with such. The price will be best. Because I don't have too much way</v>
      </c>
    </row>
    <row r="730" ht="15.75" customHeight="1">
      <c r="A730" s="2">
        <v>1.0</v>
      </c>
      <c r="B730" s="2" t="s">
        <v>2063</v>
      </c>
      <c r="C730" s="2" t="s">
        <v>2064</v>
      </c>
      <c r="D730" s="2" t="s">
        <v>219</v>
      </c>
      <c r="E730" s="2" t="s">
        <v>68</v>
      </c>
      <c r="F730" s="2" t="s">
        <v>15</v>
      </c>
      <c r="G730" s="2" t="s">
        <v>2065</v>
      </c>
      <c r="H730" s="2" t="s">
        <v>47</v>
      </c>
      <c r="I730" s="2" t="str">
        <f>IFERROR(__xludf.DUMMYFUNCTION("GOOGLETRANSLATE(C730,""fr"",""en"")"),"If we could put zero it would be good.
2 claims including one due to drought: commune disaster victim in 2019: refusal to take care of repairs while all masons confirmed that the cause was drought.
Leak in the heating system: Call for the plumber in eme"&amp;"rgency which had trouble finding the leak in a thick 1.5 m wall. Refusal to take care of because the title is not all exact for them. Is a plumber a writer? He did his job perfectly and the bill!
Where is customer service? My mother who is the insured is"&amp;" 92 years old and no one helps or advise her.
The price is very expensive
Better to go to a mutual
")</f>
        <v>If we could put zero it would be good.
2 claims including one due to drought: commune disaster victim in 2019: refusal to take care of repairs while all masons confirmed that the cause was drought.
Leak in the heating system: Call for the plumber in emergency which had trouble finding the leak in a thick 1.5 m wall. Refusal to take care of because the title is not all exact for them. Is a plumber a writer? He did his job perfectly and the bill!
Where is customer service? My mother who is the insured is 92 years old and no one helps or advise her.
The price is very expensive
Better to go to a mutual
</v>
      </c>
    </row>
    <row r="731" ht="15.75" customHeight="1">
      <c r="A731" s="2">
        <v>1.0</v>
      </c>
      <c r="B731" s="2" t="s">
        <v>2066</v>
      </c>
      <c r="C731" s="2" t="s">
        <v>2067</v>
      </c>
      <c r="D731" s="2" t="s">
        <v>1186</v>
      </c>
      <c r="E731" s="2" t="s">
        <v>80</v>
      </c>
      <c r="F731" s="2" t="s">
        <v>15</v>
      </c>
      <c r="G731" s="2" t="s">
        <v>2068</v>
      </c>
      <c r="H731" s="2" t="s">
        <v>17</v>
      </c>
      <c r="I731" s="2" t="str">
        <f>IFERROR(__xludf.DUMMYFUNCTION("GOOGLETRANSLATE(C731,""fr"",""en"")"),"Zero insurance only good to pay. I have had chemotherapy for 4 months, and still no compensation")</f>
        <v>Zero insurance only good to pay. I have had chemotherapy for 4 months, and still no compensation</v>
      </c>
    </row>
    <row r="732" ht="15.75" customHeight="1">
      <c r="A732" s="2">
        <v>4.0</v>
      </c>
      <c r="B732" s="2" t="s">
        <v>2069</v>
      </c>
      <c r="C732" s="2" t="s">
        <v>2070</v>
      </c>
      <c r="D732" s="2" t="s">
        <v>30</v>
      </c>
      <c r="E732" s="2" t="s">
        <v>14</v>
      </c>
      <c r="F732" s="2" t="s">
        <v>15</v>
      </c>
      <c r="G732" s="2" t="s">
        <v>673</v>
      </c>
      <c r="H732" s="2" t="s">
        <v>107</v>
      </c>
      <c r="I732" s="2" t="str">
        <f>IFERROR(__xludf.DUMMYFUNCTION("GOOGLETRANSLATE(C732,""fr"",""en"")"),"Well but not easy the site on the laptop and no email to contact you, to improve. Otherwise the prices are attractive and not expensive at all compared to others")</f>
        <v>Well but not easy the site on the laptop and no email to contact you, to improve. Otherwise the prices are attractive and not expensive at all compared to others</v>
      </c>
    </row>
    <row r="733" ht="15.75" customHeight="1">
      <c r="A733" s="2">
        <v>1.0</v>
      </c>
      <c r="B733" s="2" t="s">
        <v>2071</v>
      </c>
      <c r="C733" s="2" t="s">
        <v>2072</v>
      </c>
      <c r="D733" s="2" t="s">
        <v>141</v>
      </c>
      <c r="E733" s="2" t="s">
        <v>68</v>
      </c>
      <c r="F733" s="2" t="s">
        <v>15</v>
      </c>
      <c r="G733" s="2" t="s">
        <v>2073</v>
      </c>
      <c r="H733" s="2" t="s">
        <v>945</v>
      </c>
      <c r="I733" s="2" t="str">
        <f>IFERROR(__xludf.DUMMYFUNCTION("GOOGLETRANSLATE(C733,""fr"",""en"")"),"I was robbed an expert has passed since more news very bad follow -up of the file management I stop relaunching them on the phone by emails and letter ar")</f>
        <v>I was robbed an expert has passed since more news very bad follow -up of the file management I stop relaunching them on the phone by emails and letter ar</v>
      </c>
    </row>
    <row r="734" ht="15.75" customHeight="1">
      <c r="A734" s="2">
        <v>5.0</v>
      </c>
      <c r="B734" s="2" t="s">
        <v>2074</v>
      </c>
      <c r="C734" s="2" t="s">
        <v>2075</v>
      </c>
      <c r="D734" s="2" t="s">
        <v>50</v>
      </c>
      <c r="E734" s="2" t="s">
        <v>14</v>
      </c>
      <c r="F734" s="2" t="s">
        <v>15</v>
      </c>
      <c r="G734" s="2" t="s">
        <v>2076</v>
      </c>
      <c r="H734" s="2" t="s">
        <v>107</v>
      </c>
      <c r="I734" s="2" t="str">
        <f>IFERROR(__xludf.DUMMYFUNCTION("GOOGLETRANSLATE(C734,""fr"",""en"")"),"I am satisfied with the price, I expect to see in the event of a claim what it will give.
As a young driver I find the prices attractive
")</f>
        <v>I am satisfied with the price, I expect to see in the event of a claim what it will give.
As a young driver I find the prices attractive
</v>
      </c>
    </row>
    <row r="735" ht="15.75" customHeight="1">
      <c r="A735" s="2">
        <v>1.0</v>
      </c>
      <c r="B735" s="2" t="s">
        <v>2077</v>
      </c>
      <c r="C735" s="2" t="s">
        <v>2078</v>
      </c>
      <c r="D735" s="2" t="s">
        <v>184</v>
      </c>
      <c r="E735" s="2" t="s">
        <v>36</v>
      </c>
      <c r="F735" s="2" t="s">
        <v>15</v>
      </c>
      <c r="G735" s="2" t="s">
        <v>2079</v>
      </c>
      <c r="H735" s="2" t="s">
        <v>312</v>
      </c>
      <c r="I735" s="2" t="str">
        <f>IFERROR(__xludf.DUMMYFUNCTION("GOOGLETRANSLATE(C735,""fr"",""en"")"),"True to Mgen for over 18 years, it becomes a disaster: I started care with a bouchère dentist who injured me several times in the tongue with roulette and syringe then almost broke my teeth high by removing a crown. Take out your mouth in a charpie from e"&amp;"ach session despite my complaints to make a bridge on a living tooth that has become painful after she pruned it. Bridge too tight that I did not support during the fitting and who wanted to impose it on me by telling me that she was going to put provisio"&amp;"nal glue and that I see in a week. I demanded that she withdraw it from me and contacted the MGEN to know what to do. I was told twice that I could leave my practitioner even if a protocol was accepted and the bridge carried out and start care with anothe"&amp;"r practitioner. The day it is necessary to invoice and settle my dentist calls to be sure that I will be reimbursed and there we answer that if the bridge is not placed in the mouth the security does not take care of and the Mgen either. And the lady gets"&amp;" angry on the phone because the advisers have not postponed everything they told me in the file. And tell me to manage with my dentist. what I have done.")</f>
        <v>True to Mgen for over 18 years, it becomes a disaster: I started care with a bouchère dentist who injured me several times in the tongue with roulette and syringe then almost broke my teeth high by removing a crown. Take out your mouth in a charpie from each session despite my complaints to make a bridge on a living tooth that has become painful after she pruned it. Bridge too tight that I did not support during the fitting and who wanted to impose it on me by telling me that she was going to put provisional glue and that I see in a week. I demanded that she withdraw it from me and contacted the MGEN to know what to do. I was told twice that I could leave my practitioner even if a protocol was accepted and the bridge carried out and start care with another practitioner. The day it is necessary to invoice and settle my dentist calls to be sure that I will be reimbursed and there we answer that if the bridge is not placed in the mouth the security does not take care of and the Mgen either. And the lady gets angry on the phone because the advisers have not postponed everything they told me in the file. And tell me to manage with my dentist. what I have done.</v>
      </c>
    </row>
    <row r="736" ht="15.75" customHeight="1">
      <c r="A736" s="2">
        <v>1.0</v>
      </c>
      <c r="B736" s="2" t="s">
        <v>2080</v>
      </c>
      <c r="C736" s="2" t="s">
        <v>2081</v>
      </c>
      <c r="D736" s="2" t="s">
        <v>67</v>
      </c>
      <c r="E736" s="2" t="s">
        <v>80</v>
      </c>
      <c r="F736" s="2" t="s">
        <v>15</v>
      </c>
      <c r="G736" s="2" t="s">
        <v>2082</v>
      </c>
      <c r="H736" s="2" t="s">
        <v>96</v>
      </c>
      <c r="I736" s="2" t="str">
        <f>IFERROR(__xludf.DUMMYFUNCTION("GOOGLETRANSLATE(C736,""fr"",""en"")"),"ACMN Life Acmn Life Credit Insurance to flee urgently before the slightest claim. He does not pay, is intended with medical experts at their balance. Refers to medical secrecy so as not to justify their decisions. Awful and it's been 3 years since it last"&amp;"s. Even the CMN cannot be heard ... if you dispute; The counter-expertise costs remain at your expense and you cannot choose the expert doctor, who besides never summons you I await since the 18th but 2015 a summons. Fortunately I was able to settle my cr"&amp;"edit by reselling My house otherwise I will be in a delicate situation.")</f>
        <v>ACMN Life Acmn Life Credit Insurance to flee urgently before the slightest claim. He does not pay, is intended with medical experts at their balance. Refers to medical secrecy so as not to justify their decisions. Awful and it's been 3 years since it lasts. Even the CMN cannot be heard ... if you dispute; The counter-expertise costs remain at your expense and you cannot choose the expert doctor, who besides never summons you I await since the 18th but 2015 a summons. Fortunately I was able to settle my credit by reselling My house otherwise I will be in a delicate situation.</v>
      </c>
    </row>
    <row r="737" ht="15.75" customHeight="1">
      <c r="A737" s="2">
        <v>1.0</v>
      </c>
      <c r="B737" s="2" t="s">
        <v>2083</v>
      </c>
      <c r="C737" s="2" t="s">
        <v>2084</v>
      </c>
      <c r="D737" s="2" t="s">
        <v>224</v>
      </c>
      <c r="E737" s="2" t="s">
        <v>68</v>
      </c>
      <c r="F737" s="2" t="s">
        <v>15</v>
      </c>
      <c r="G737" s="2" t="s">
        <v>2085</v>
      </c>
      <c r="H737" s="2" t="s">
        <v>64</v>
      </c>
      <c r="I737" s="2" t="str">
        <f>IFERROR(__xludf.DUMMYFUNCTION("GOOGLETRANSLATE(C737,""fr"",""en"")"),"Deplorable !!!
Communication with an answering machine and still no care 2 months after a water damage !!!
Hallucing!
It has been more than a decade that I contribute without sinister and everything was necessarily fine.
If you have insurance companie"&amp;"s that ensure literally and figuratively, I am interested!
I do not want my contact details to be transmitted to the insurer because it did not deign to respond to the two complaints made by email.")</f>
        <v>Deplorable !!!
Communication with an answering machine and still no care 2 months after a water damage !!!
Hallucing!
It has been more than a decade that I contribute without sinister and everything was necessarily fine.
If you have insurance companies that ensure literally and figuratively, I am interested!
I do not want my contact details to be transmitted to the insurer because it did not deign to respond to the two complaints made by email.</v>
      </c>
    </row>
    <row r="738" ht="15.75" customHeight="1">
      <c r="A738" s="2">
        <v>5.0</v>
      </c>
      <c r="B738" s="2" t="s">
        <v>2086</v>
      </c>
      <c r="C738" s="2" t="s">
        <v>2087</v>
      </c>
      <c r="D738" s="2" t="s">
        <v>50</v>
      </c>
      <c r="E738" s="2" t="s">
        <v>14</v>
      </c>
      <c r="F738" s="2" t="s">
        <v>15</v>
      </c>
      <c r="G738" s="2" t="s">
        <v>790</v>
      </c>
      <c r="H738" s="2" t="s">
        <v>241</v>
      </c>
      <c r="I738" s="2" t="str">
        <f>IFERROR(__xludf.DUMMYFUNCTION("GOOGLETRANSLATE(C738,""fr"",""en"")"),"Very good price insurance at the Top 18/20 Customer Top Service
Only downside does not felt the two wheels because I have a two wheels and I pay a small fortune split a large French insurance")</f>
        <v>Very good price insurance at the Top 18/20 Customer Top Service
Only downside does not felt the two wheels because I have a two wheels and I pay a small fortune split a large French insurance</v>
      </c>
    </row>
    <row r="739" ht="15.75" customHeight="1">
      <c r="A739" s="2">
        <v>3.0</v>
      </c>
      <c r="B739" s="2" t="s">
        <v>2088</v>
      </c>
      <c r="C739" s="2" t="s">
        <v>2089</v>
      </c>
      <c r="D739" s="2" t="s">
        <v>50</v>
      </c>
      <c r="E739" s="2" t="s">
        <v>14</v>
      </c>
      <c r="F739" s="2" t="s">
        <v>15</v>
      </c>
      <c r="G739" s="2" t="s">
        <v>1659</v>
      </c>
      <c r="H739" s="2" t="s">
        <v>32</v>
      </c>
      <c r="I739" s="2" t="str">
        <f>IFERROR(__xludf.DUMMYFUNCTION("GOOGLETRANSLATE(C739,""fr"",""en"")"),"I am satisfied with the whole but a reminder for the forgetting of the document would be great
Place well on the pricing grid
To see in the event of a claim")</f>
        <v>I am satisfied with the whole but a reminder for the forgetting of the document would be great
Place well on the pricing grid
To see in the event of a claim</v>
      </c>
    </row>
    <row r="740" ht="15.75" customHeight="1">
      <c r="A740" s="2">
        <v>4.0</v>
      </c>
      <c r="B740" s="2" t="s">
        <v>2090</v>
      </c>
      <c r="C740" s="2" t="s">
        <v>2091</v>
      </c>
      <c r="D740" s="2" t="s">
        <v>35</v>
      </c>
      <c r="E740" s="2" t="s">
        <v>36</v>
      </c>
      <c r="F740" s="2" t="s">
        <v>15</v>
      </c>
      <c r="G740" s="2" t="s">
        <v>1901</v>
      </c>
      <c r="H740" s="2" t="s">
        <v>566</v>
      </c>
      <c r="I740" s="2" t="str">
        <f>IFERROR(__xludf.DUMMYFUNCTION("GOOGLETRANSLATE(C740,""fr"",""en"")"),"A member since 2018, I find that the new price offered is better than the old one. The explanations have been well made and especially that the prices are adapted to my needs. I wait to see the reimbursements.")</f>
        <v>A member since 2018, I find that the new price offered is better than the old one. The explanations have been well made and especially that the prices are adapted to my needs. I wait to see the reimbursements.</v>
      </c>
    </row>
    <row r="741" ht="15.75" customHeight="1">
      <c r="A741" s="2">
        <v>1.0</v>
      </c>
      <c r="B741" s="2" t="s">
        <v>2092</v>
      </c>
      <c r="C741" s="2" t="s">
        <v>2093</v>
      </c>
      <c r="D741" s="2" t="s">
        <v>465</v>
      </c>
      <c r="E741" s="2" t="s">
        <v>111</v>
      </c>
      <c r="F741" s="2" t="s">
        <v>15</v>
      </c>
      <c r="G741" s="2" t="s">
        <v>1921</v>
      </c>
      <c r="H741" s="2" t="s">
        <v>32</v>
      </c>
      <c r="I741" s="2" t="str">
        <f>IFERROR(__xludf.DUMMYFUNCTION("GOOGLETRANSLATE(C741,""fr"",""en"")"),"It is really careful he never fucks with this businesses.
After 2 years of contract I had a little concern and I tried to contact customer service they never win the call.
")</f>
        <v>It is really careful he never fucks with this businesses.
After 2 years of contract I had a little concern and I tried to contact customer service they never win the call.
</v>
      </c>
    </row>
    <row r="742" ht="15.75" customHeight="1">
      <c r="A742" s="2">
        <v>4.0</v>
      </c>
      <c r="B742" s="2" t="s">
        <v>2094</v>
      </c>
      <c r="C742" s="2" t="s">
        <v>2095</v>
      </c>
      <c r="D742" s="2" t="s">
        <v>50</v>
      </c>
      <c r="E742" s="2" t="s">
        <v>14</v>
      </c>
      <c r="F742" s="2" t="s">
        <v>15</v>
      </c>
      <c r="G742" s="2" t="s">
        <v>63</v>
      </c>
      <c r="H742" s="2" t="s">
        <v>64</v>
      </c>
      <c r="I742" s="2" t="str">
        <f>IFERROR(__xludf.DUMMYFUNCTION("GOOGLETRANSLATE(C742,""fr"",""en"")"),"I am satisfied with my contract. I was well advised. The proposed rate meets my expectations. I recommend this insurance with my entourage.")</f>
        <v>I am satisfied with my contract. I was well advised. The proposed rate meets my expectations. I recommend this insurance with my entourage.</v>
      </c>
    </row>
    <row r="743" ht="15.75" customHeight="1">
      <c r="A743" s="2">
        <v>1.0</v>
      </c>
      <c r="B743" s="2" t="s">
        <v>2096</v>
      </c>
      <c r="C743" s="2" t="s">
        <v>2097</v>
      </c>
      <c r="D743" s="2" t="s">
        <v>1434</v>
      </c>
      <c r="E743" s="2" t="s">
        <v>90</v>
      </c>
      <c r="F743" s="2" t="s">
        <v>15</v>
      </c>
      <c r="G743" s="2" t="s">
        <v>2098</v>
      </c>
      <c r="H743" s="2" t="s">
        <v>305</v>
      </c>
      <c r="I743" s="2" t="str">
        <f>IFERROR(__xludf.DUMMYFUNCTION("GOOGLETRANSLATE(C743,""fr"",""en"")"),"In work stoppage from 01/10/2017 to 31/03/2017.
Loss of income, obliged to relaunch every week to have the payment.
To date still nothing ...
Strongly the end of my contract to go elsewhere ....")</f>
        <v>In work stoppage from 01/10/2017 to 31/03/2017.
Loss of income, obliged to relaunch every week to have the payment.
To date still nothing ...
Strongly the end of my contract to go elsewhere ....</v>
      </c>
    </row>
    <row r="744" ht="15.75" customHeight="1">
      <c r="A744" s="2">
        <v>2.0</v>
      </c>
      <c r="B744" s="2" t="s">
        <v>2099</v>
      </c>
      <c r="C744" s="2" t="s">
        <v>2100</v>
      </c>
      <c r="D744" s="2" t="s">
        <v>224</v>
      </c>
      <c r="E744" s="2" t="s">
        <v>68</v>
      </c>
      <c r="F744" s="2" t="s">
        <v>15</v>
      </c>
      <c r="G744" s="2" t="s">
        <v>2101</v>
      </c>
      <c r="H744" s="2" t="s">
        <v>270</v>
      </c>
      <c r="I744" s="2" t="str">
        <f>IFERROR(__xludf.DUMMYFUNCTION("GOOGLETRANSLATE(C744,""fr"",""en"")"),"Interesting price but we understand why")</f>
        <v>Interesting price but we understand why</v>
      </c>
    </row>
    <row r="745" ht="15.75" customHeight="1">
      <c r="A745" s="2">
        <v>1.0</v>
      </c>
      <c r="B745" s="2" t="s">
        <v>2102</v>
      </c>
      <c r="C745" s="2" t="s">
        <v>2103</v>
      </c>
      <c r="D745" s="2" t="s">
        <v>2001</v>
      </c>
      <c r="E745" s="2" t="s">
        <v>68</v>
      </c>
      <c r="F745" s="2" t="s">
        <v>15</v>
      </c>
      <c r="G745" s="2" t="s">
        <v>2104</v>
      </c>
      <c r="H745" s="2" t="s">
        <v>233</v>
      </c>
      <c r="I745" s="2" t="str">
        <f>IFERROR(__xludf.DUMMYFUNCTION("GOOGLETRANSLATE(C745,""fr"",""en"")"),"Due to a strong wind, an object broke my veranda window. SOGESSUR refuses care, saying that it is obsolescence ...")</f>
        <v>Due to a strong wind, an object broke my veranda window. SOGESSUR refuses care, saying that it is obsolescence ...</v>
      </c>
    </row>
    <row r="746" ht="15.75" customHeight="1">
      <c r="A746" s="2">
        <v>3.0</v>
      </c>
      <c r="B746" s="2" t="s">
        <v>2105</v>
      </c>
      <c r="C746" s="2" t="s">
        <v>2106</v>
      </c>
      <c r="D746" s="2" t="s">
        <v>709</v>
      </c>
      <c r="E746" s="2" t="s">
        <v>90</v>
      </c>
      <c r="F746" s="2" t="s">
        <v>15</v>
      </c>
      <c r="G746" s="2" t="s">
        <v>2107</v>
      </c>
      <c r="H746" s="2" t="s">
        <v>326</v>
      </c>
      <c r="I746" s="2" t="str">
        <f>IFERROR(__xludf.DUMMYFUNCTION("GOOGLETRANSLATE(C746,""fr"",""en"")"),"Hello I have been waiting for my payment payments since October 15, 2019 to December 31, 2019 I have phone have called me and to date nothing I wrote from my internet account answered me I send your complaint to this DAY nothing 2 months and a half sense "&amp;"payments hello the situation where it leads to it is payment problem are permanently in more patient of 2 years do not need these fights every month to be paid inadmissible have attached the documents by internet So that it is quick well no change nothing"&amp;" how can we live sense to be paid every month regular that we explain the too ralbol I will find out legally if it is not very quickly")</f>
        <v>Hello I have been waiting for my payment payments since October 15, 2019 to December 31, 2019 I have phone have called me and to date nothing I wrote from my internet account answered me I send your complaint to this DAY nothing 2 months and a half sense payments hello the situation where it leads to it is payment problem are permanently in more patient of 2 years do not need these fights every month to be paid inadmissible have attached the documents by internet So that it is quick well no change nothing how can we live sense to be paid every month regular that we explain the too ralbol I will find out legally if it is not very quickly</v>
      </c>
    </row>
    <row r="747" ht="15.75" customHeight="1">
      <c r="A747" s="2">
        <v>3.0</v>
      </c>
      <c r="B747" s="2" t="s">
        <v>2108</v>
      </c>
      <c r="C747" s="2" t="s">
        <v>2109</v>
      </c>
      <c r="D747" s="2" t="s">
        <v>292</v>
      </c>
      <c r="E747" s="2" t="s">
        <v>14</v>
      </c>
      <c r="F747" s="2" t="s">
        <v>15</v>
      </c>
      <c r="G747" s="2" t="s">
        <v>2110</v>
      </c>
      <c r="H747" s="2" t="s">
        <v>22</v>
      </c>
      <c r="I747" s="2" t="str">
        <f>IFERROR(__xludf.DUMMYFUNCTION("GOOGLETRANSLATE(C747,""fr"",""en"")"),"I pay too high monthly payments, but for reimbursement you have to wait more than a year !!!!!!
Zero satisfaction !!!!!
The advisers are nice, but it does not go further, that is not enough to advance my reimbursement file !!!!")</f>
        <v>I pay too high monthly payments, but for reimbursement you have to wait more than a year !!!!!!
Zero satisfaction !!!!!
The advisers are nice, but it does not go further, that is not enough to advance my reimbursement file !!!!</v>
      </c>
    </row>
    <row r="748" ht="15.75" customHeight="1">
      <c r="A748" s="2">
        <v>3.0</v>
      </c>
      <c r="B748" s="2" t="s">
        <v>2111</v>
      </c>
      <c r="C748" s="2" t="s">
        <v>2112</v>
      </c>
      <c r="D748" s="2" t="s">
        <v>30</v>
      </c>
      <c r="E748" s="2" t="s">
        <v>68</v>
      </c>
      <c r="F748" s="2" t="s">
        <v>15</v>
      </c>
      <c r="G748" s="2" t="s">
        <v>76</v>
      </c>
      <c r="H748" s="2" t="s">
        <v>52</v>
      </c>
      <c r="I748" s="2" t="str">
        <f>IFERROR(__xludf.DUMMYFUNCTION("GOOGLETRANSLATE(C748,""fr"",""en"")"),"Very bad on the side of loss and compensation management! To exclude! Claim declared in May 2020 and still not resolved or compensated! In addition, direct insurance does not give any solution and no longer contact me! Run away!")</f>
        <v>Very bad on the side of loss and compensation management! To exclude! Claim declared in May 2020 and still not resolved or compensated! In addition, direct insurance does not give any solution and no longer contact me! Run away!</v>
      </c>
    </row>
    <row r="749" ht="15.75" customHeight="1">
      <c r="A749" s="2">
        <v>1.0</v>
      </c>
      <c r="B749" s="2" t="s">
        <v>2113</v>
      </c>
      <c r="C749" s="2" t="s">
        <v>2114</v>
      </c>
      <c r="D749" s="2" t="s">
        <v>85</v>
      </c>
      <c r="E749" s="2" t="s">
        <v>90</v>
      </c>
      <c r="F749" s="2" t="s">
        <v>15</v>
      </c>
      <c r="G749" s="2" t="s">
        <v>2115</v>
      </c>
      <c r="H749" s="2" t="s">
        <v>22</v>
      </c>
      <c r="I749" s="2" t="str">
        <f>IFERROR(__xludf.DUMMYFUNCTION("GOOGLETRANSLATE(C749,""fr"",""en"")"),"Deplorable insurance.
A member from my employer, it is better to have any worries.
On stop since June 9, I am still waiting to be compensated as provided for in the contract.
The deadlines are very very long.
No response to emails and approximate resp"&amp;"onse to the phone.
There is always a new document to fill out.
It looks like everything is done so that they don't pay.
Already we have not chosen to be sick but in addition you have to fight to be compensated.
They put us in a very complicated financ"&amp;"ial situation.
To flee.")</f>
        <v>Deplorable insurance.
A member from my employer, it is better to have any worries.
On stop since June 9, I am still waiting to be compensated as provided for in the contract.
The deadlines are very very long.
No response to emails and approximate response to the phone.
There is always a new document to fill out.
It looks like everything is done so that they don't pay.
Already we have not chosen to be sick but in addition you have to fight to be compensated.
They put us in a very complicated financial situation.
To flee.</v>
      </c>
    </row>
    <row r="750" ht="15.75" customHeight="1">
      <c r="A750" s="2">
        <v>3.0</v>
      </c>
      <c r="B750" s="2" t="s">
        <v>2116</v>
      </c>
      <c r="C750" s="2" t="s">
        <v>2117</v>
      </c>
      <c r="D750" s="2" t="s">
        <v>718</v>
      </c>
      <c r="E750" s="2" t="s">
        <v>36</v>
      </c>
      <c r="F750" s="2" t="s">
        <v>15</v>
      </c>
      <c r="G750" s="2" t="s">
        <v>2118</v>
      </c>
      <c r="H750" s="2" t="s">
        <v>319</v>
      </c>
      <c r="I750" s="2" t="str">
        <f>IFERROR(__xludf.DUMMYFUNCTION("GOOGLETRANSLATE(C750,""fr"",""en"")"),"They do not ensure for certain drugs (as white vignettes) which means that on the treatment of my husband and mine I have 31 € at my expense which increases my monthly payment which is € 121.")</f>
        <v>They do not ensure for certain drugs (as white vignettes) which means that on the treatment of my husband and mine I have 31 € at my expense which increases my monthly payment which is € 121.</v>
      </c>
    </row>
    <row r="751" ht="15.75" customHeight="1">
      <c r="A751" s="2">
        <v>1.0</v>
      </c>
      <c r="B751" s="2" t="s">
        <v>2119</v>
      </c>
      <c r="C751" s="2" t="s">
        <v>2120</v>
      </c>
      <c r="D751" s="2" t="s">
        <v>89</v>
      </c>
      <c r="E751" s="2" t="s">
        <v>90</v>
      </c>
      <c r="F751" s="2" t="s">
        <v>15</v>
      </c>
      <c r="G751" s="2" t="s">
        <v>2121</v>
      </c>
      <c r="H751" s="2" t="s">
        <v>22</v>
      </c>
      <c r="I751" s="2" t="str">
        <f>IFERROR(__xludf.DUMMYFUNCTION("GOOGLETRANSLATE(C751,""fr"",""en"")"),"Superior article 83 complete file in the study for more than 6 months !!
Bad payer always the same answer: being validated by the hierarchy")</f>
        <v>Superior article 83 complete file in the study for more than 6 months !!
Bad payer always the same answer: being validated by the hierarchy</v>
      </c>
    </row>
    <row r="752" ht="15.75" customHeight="1">
      <c r="A752" s="2">
        <v>4.0</v>
      </c>
      <c r="B752" s="2" t="s">
        <v>2122</v>
      </c>
      <c r="C752" s="2" t="s">
        <v>2123</v>
      </c>
      <c r="D752" s="2" t="s">
        <v>30</v>
      </c>
      <c r="E752" s="2" t="s">
        <v>14</v>
      </c>
      <c r="F752" s="2" t="s">
        <v>15</v>
      </c>
      <c r="G752" s="2" t="s">
        <v>2124</v>
      </c>
      <c r="H752" s="2" t="s">
        <v>47</v>
      </c>
      <c r="I752" s="2" t="str">
        <f>IFERROR(__xludf.DUMMYFUNCTION("GOOGLETRANSLATE(C752,""fr"",""en"")"),"I am satisfied and I soon change my car to see for the new prices.
Easy to use not too expensive and good damage coverage. I did not have a claim to see the speed of treatment.")</f>
        <v>I am satisfied and I soon change my car to see for the new prices.
Easy to use not too expensive and good damage coverage. I did not have a claim to see the speed of treatment.</v>
      </c>
    </row>
    <row r="753" ht="15.75" customHeight="1">
      <c r="A753" s="2">
        <v>5.0</v>
      </c>
      <c r="B753" s="2" t="s">
        <v>2125</v>
      </c>
      <c r="C753" s="2" t="s">
        <v>2126</v>
      </c>
      <c r="D753" s="2" t="s">
        <v>571</v>
      </c>
      <c r="E753" s="2" t="s">
        <v>80</v>
      </c>
      <c r="F753" s="2" t="s">
        <v>15</v>
      </c>
      <c r="G753" s="2" t="s">
        <v>583</v>
      </c>
      <c r="H753" s="2" t="s">
        <v>159</v>
      </c>
      <c r="I753" s="2" t="str">
        <f>IFERROR(__xludf.DUMMYFUNCTION("GOOGLETRANSLATE(C753,""fr"",""en"")"),"I discover and see in time how the service is evolving but on a very satisfied date and particularly customer service: availability and responsiveness of my interlocutor.")</f>
        <v>I discover and see in time how the service is evolving but on a very satisfied date and particularly customer service: availability and responsiveness of my interlocutor.</v>
      </c>
    </row>
    <row r="754" ht="15.75" customHeight="1">
      <c r="A754" s="2">
        <v>2.0</v>
      </c>
      <c r="B754" s="2" t="s">
        <v>2127</v>
      </c>
      <c r="C754" s="2" t="s">
        <v>2128</v>
      </c>
      <c r="D754" s="2" t="s">
        <v>50</v>
      </c>
      <c r="E754" s="2" t="s">
        <v>14</v>
      </c>
      <c r="F754" s="2" t="s">
        <v>15</v>
      </c>
      <c r="G754" s="2" t="s">
        <v>2129</v>
      </c>
      <c r="H754" s="2" t="s">
        <v>356</v>
      </c>
      <c r="I754" s="2" t="str">
        <f>IFERROR(__xludf.DUMMYFUNCTION("GOOGLETRANSLATE(C754,""fr"",""en"")"),"Ok average price fortunately prime 80 € by the CE but if not more expensive than the competition.
We will see if renewed according to price evolution the second year")</f>
        <v>Ok average price fortunately prime 80 € by the CE but if not more expensive than the competition.
We will see if renewed according to price evolution the second year</v>
      </c>
    </row>
    <row r="755" ht="15.75" customHeight="1">
      <c r="A755" s="2">
        <v>5.0</v>
      </c>
      <c r="B755" s="2" t="s">
        <v>2130</v>
      </c>
      <c r="C755" s="2" t="s">
        <v>2131</v>
      </c>
      <c r="D755" s="2" t="s">
        <v>481</v>
      </c>
      <c r="E755" s="2" t="s">
        <v>111</v>
      </c>
      <c r="F755" s="2" t="s">
        <v>15</v>
      </c>
      <c r="G755" s="2" t="s">
        <v>2132</v>
      </c>
      <c r="H755" s="2" t="s">
        <v>32</v>
      </c>
      <c r="I755" s="2" t="str">
        <f>IFERROR(__xludf.DUMMYFUNCTION("GOOGLETRANSLATE(C755,""fr"",""en"")"),"Perfect, fast, flexible, more than correct price, and I have so far had nothing to complain about customer service! I go back every year with my eyes closed!")</f>
        <v>Perfect, fast, flexible, more than correct price, and I have so far had nothing to complain about customer service! I go back every year with my eyes closed!</v>
      </c>
    </row>
    <row r="756" ht="15.75" customHeight="1">
      <c r="A756" s="2">
        <v>5.0</v>
      </c>
      <c r="B756" s="2" t="s">
        <v>2133</v>
      </c>
      <c r="C756" s="2" t="s">
        <v>2134</v>
      </c>
      <c r="D756" s="2" t="s">
        <v>50</v>
      </c>
      <c r="E756" s="2" t="s">
        <v>14</v>
      </c>
      <c r="F756" s="2" t="s">
        <v>15</v>
      </c>
      <c r="G756" s="2" t="s">
        <v>188</v>
      </c>
      <c r="H756" s="2" t="s">
        <v>107</v>
      </c>
      <c r="I756" s="2" t="str">
        <f>IFERROR(__xludf.DUMMYFUNCTION("GOOGLETRANSLATE(C756,""fr"",""en"")"),"I am satisfied with this very competent insurance attractive prices, and the interface and very easy to handle all and clear precise I highly recommend this insurance. For me it's better.")</f>
        <v>I am satisfied with this very competent insurance attractive prices, and the interface and very easy to handle all and clear precise I highly recommend this insurance. For me it's better.</v>
      </c>
    </row>
    <row r="757" ht="15.75" customHeight="1">
      <c r="A757" s="2">
        <v>2.0</v>
      </c>
      <c r="B757" s="2" t="s">
        <v>2135</v>
      </c>
      <c r="C757" s="2" t="s">
        <v>2136</v>
      </c>
      <c r="D757" s="2" t="s">
        <v>30</v>
      </c>
      <c r="E757" s="2" t="s">
        <v>14</v>
      </c>
      <c r="F757" s="2" t="s">
        <v>15</v>
      </c>
      <c r="G757" s="2" t="s">
        <v>1366</v>
      </c>
      <c r="H757" s="2" t="s">
        <v>356</v>
      </c>
      <c r="I757" s="2" t="str">
        <f>IFERROR(__xludf.DUMMYFUNCTION("GOOGLETRANSLATE(C757,""fr"",""en"")"),"Having subscribed a third mini at Direct Insurance in early October following the opportunity to buy a Belgian vehicle, I had told them that it was a foreign vehicle and that allais requests a French registration, he still assured me with the wine number "&amp;"so until then everything was fine, I sent all the parts claimed the same day of the subscription except the French gray card being of Belgian origin, after a few setbacks with the slowness ANTS and on the incessant reminders of direct insurance by SMS and"&amp;" email I sent them the certificate of electronic deposit of my registration request to the ANTS services, Direct Insurance confirms to me following my call that there was no concern (as a reminder I had set the entire first year to the subscription).
 Wh"&amp;"at was not my surprise by receiving this November 4, 2021 an R/AR letter informing me that he is removing my contract n ° 3279933315 under the pretext that there was a missing document in my file (?) Well yes he knew it Since at the end of October I infor"&amp;"med them that I still had no return from my Ants file. Despite my call explaining to them my good liver concerning the slowness of the Ants Direct Insurance services remained on their position by recommending me thank you Victor by Direct Assurance, but w"&amp;"ho makes fun of you !! The skills of this insurer are exponentially opposite in their television advertising campaign! To flee absolutely !!!!")</f>
        <v>Having subscribed a third mini at Direct Insurance in early October following the opportunity to buy a Belgian vehicle, I had told them that it was a foreign vehicle and that allais requests a French registration, he still assured me with the wine number so until then everything was fine, I sent all the parts claimed the same day of the subscription except the French gray card being of Belgian origin, after a few setbacks with the slowness ANTS and on the incessant reminders of direct insurance by SMS and email I sent them the certificate of electronic deposit of my registration request to the ANTS services, Direct Insurance confirms to me following my call that there was no concern (as a reminder I had set the entire first year to the subscription).
 What was not my surprise by receiving this November 4, 2021 an R/AR letter informing me that he is removing my contract n ° 3279933315 under the pretext that there was a missing document in my file (?) Well yes he knew it Since at the end of October I informed them that I still had no return from my Ants file. Despite my call explaining to them my good liver concerning the slowness of the Ants Direct Insurance services remained on their position by recommending me thank you Victor by Direct Assurance, but who makes fun of you !! The skills of this insurer are exponentially opposite in their television advertising campaign! To flee absolutely !!!!</v>
      </c>
    </row>
    <row r="758" ht="15.75" customHeight="1">
      <c r="A758" s="2">
        <v>1.0</v>
      </c>
      <c r="B758" s="2" t="s">
        <v>2137</v>
      </c>
      <c r="C758" s="2" t="s">
        <v>2138</v>
      </c>
      <c r="D758" s="2" t="s">
        <v>247</v>
      </c>
      <c r="E758" s="2" t="s">
        <v>36</v>
      </c>
      <c r="F758" s="2" t="s">
        <v>15</v>
      </c>
      <c r="G758" s="2" t="s">
        <v>2139</v>
      </c>
      <c r="H758" s="2" t="s">
        <v>91</v>
      </c>
      <c r="I758" s="2" t="str">
        <f>IFERROR(__xludf.DUMMYFUNCTION("GOOGLETRANSLATE(C758,""fr"",""en"")"),"Incompetent, unreachable by phone and email. Mutual of my employer.
Today I have always been waiting for my reimbursements and that for 2 months.
It's just shameful to leave people unanswered.")</f>
        <v>Incompetent, unreachable by phone and email. Mutual of my employer.
Today I have always been waiting for my reimbursements and that for 2 months.
It's just shameful to leave people unanswered.</v>
      </c>
    </row>
    <row r="759" ht="15.75" customHeight="1">
      <c r="A759" s="2">
        <v>4.0</v>
      </c>
      <c r="B759" s="2" t="s">
        <v>2140</v>
      </c>
      <c r="C759" s="2" t="s">
        <v>2141</v>
      </c>
      <c r="D759" s="2" t="s">
        <v>296</v>
      </c>
      <c r="E759" s="2" t="s">
        <v>14</v>
      </c>
      <c r="F759" s="2" t="s">
        <v>15</v>
      </c>
      <c r="G759" s="2" t="s">
        <v>572</v>
      </c>
      <c r="H759" s="2" t="s">
        <v>52</v>
      </c>
      <c r="I759" s="2" t="str">
        <f>IFERROR(__xludf.DUMMYFUNCTION("GOOGLETRANSLATE(C759,""fr"",""en"")"),"Simple and practical, the Internet customer area is very suitable
Relevant and listening to relevant telephonic advisers
The service is up to my expectations")</f>
        <v>Simple and practical, the Internet customer area is very suitable
Relevant and listening to relevant telephonic advisers
The service is up to my expectations</v>
      </c>
    </row>
    <row r="760" ht="15.75" customHeight="1">
      <c r="A760" s="2">
        <v>1.0</v>
      </c>
      <c r="B760" s="2" t="s">
        <v>2142</v>
      </c>
      <c r="C760" s="2" t="s">
        <v>2143</v>
      </c>
      <c r="D760" s="2" t="s">
        <v>276</v>
      </c>
      <c r="E760" s="2" t="s">
        <v>90</v>
      </c>
      <c r="F760" s="2" t="s">
        <v>15</v>
      </c>
      <c r="G760" s="2" t="s">
        <v>2144</v>
      </c>
      <c r="H760" s="2" t="s">
        <v>131</v>
      </c>
      <c r="I760" s="2" t="str">
        <f>IFERROR(__xludf.DUMMYFUNCTION("GOOGLETRANSLATE(C760,""fr"",""en"")"),"I am in a work accident, I contact the CNP to assert my rights, they send the file to be completed, and there, the big hassle is still missing a document, they send me a letter by asking for such a document, and for 4 months That it hard like that. They a"&amp;"re trying to save time and discourage us. A bank like the Savings Fund should no longer work with them. to flee")</f>
        <v>I am in a work accident, I contact the CNP to assert my rights, they send the file to be completed, and there, the big hassle is still missing a document, they send me a letter by asking for such a document, and for 4 months That it hard like that. They are trying to save time and discourage us. A bank like the Savings Fund should no longer work with them. to flee</v>
      </c>
    </row>
    <row r="761" ht="15.75" customHeight="1">
      <c r="A761" s="2">
        <v>4.0</v>
      </c>
      <c r="B761" s="2" t="s">
        <v>2145</v>
      </c>
      <c r="C761" s="2" t="s">
        <v>2146</v>
      </c>
      <c r="D761" s="2" t="s">
        <v>481</v>
      </c>
      <c r="E761" s="2" t="s">
        <v>111</v>
      </c>
      <c r="F761" s="2" t="s">
        <v>15</v>
      </c>
      <c r="G761" s="2" t="s">
        <v>2147</v>
      </c>
      <c r="H761" s="2" t="s">
        <v>52</v>
      </c>
      <c r="I761" s="2" t="str">
        <f>IFERROR(__xludf.DUMMYFUNCTION("GOOGLETRANSLATE(C761,""fr"",""en"")"),"No idea of ​​the price level for this type of warranty
Very satisfied with the site which is very clear and easy to use
I have no additional opinion to provide")</f>
        <v>No idea of ​​the price level for this type of warranty
Very satisfied with the site which is very clear and easy to use
I have no additional opinion to provide</v>
      </c>
    </row>
    <row r="762" ht="15.75" customHeight="1">
      <c r="A762" s="2">
        <v>2.0</v>
      </c>
      <c r="B762" s="2" t="s">
        <v>2148</v>
      </c>
      <c r="C762" s="2" t="s">
        <v>2149</v>
      </c>
      <c r="D762" s="2" t="s">
        <v>145</v>
      </c>
      <c r="E762" s="2" t="s">
        <v>111</v>
      </c>
      <c r="F762" s="2" t="s">
        <v>15</v>
      </c>
      <c r="G762" s="2" t="s">
        <v>2150</v>
      </c>
      <c r="H762" s="2" t="s">
        <v>237</v>
      </c>
      <c r="I762" s="2" t="str">
        <f>IFERROR(__xludf.DUMMYFUNCTION("GOOGLETRANSLATE(C762,""fr"",""en"")"),"Since September, a motorcycle has fallen on mine, the two in parking, assessment 680 euros that I have paid to recover my 125 at the repairer, since I have been pearly !!!!")</f>
        <v>Since September, a motorcycle has fallen on mine, the two in parking, assessment 680 euros that I have paid to recover my 125 at the repairer, since I have been pearly !!!!</v>
      </c>
    </row>
    <row r="763" ht="15.75" customHeight="1">
      <c r="A763" s="2">
        <v>3.0</v>
      </c>
      <c r="B763" s="2" t="s">
        <v>2151</v>
      </c>
      <c r="C763" s="2" t="s">
        <v>2152</v>
      </c>
      <c r="D763" s="2" t="s">
        <v>296</v>
      </c>
      <c r="E763" s="2" t="s">
        <v>14</v>
      </c>
      <c r="F763" s="2" t="s">
        <v>15</v>
      </c>
      <c r="G763" s="2" t="s">
        <v>904</v>
      </c>
      <c r="H763" s="2" t="s">
        <v>107</v>
      </c>
      <c r="I763" s="2" t="str">
        <f>IFERROR(__xludf.DUMMYFUNCTION("GOOGLETRANSLATE(C763,""fr"",""en"")"),"The service rendered me. The welcome has been there every time for over 40 years. Of course the price level are always too high. More transparency on the reasons for their levels would be useful for better acceptance.")</f>
        <v>The service rendered me. The welcome has been there every time for over 40 years. Of course the price level are always too high. More transparency on the reasons for their levels would be useful for better acceptance.</v>
      </c>
    </row>
    <row r="764" ht="15.75" customHeight="1">
      <c r="A764" s="2">
        <v>4.0</v>
      </c>
      <c r="B764" s="2" t="s">
        <v>2153</v>
      </c>
      <c r="C764" s="2" t="s">
        <v>2154</v>
      </c>
      <c r="D764" s="2" t="s">
        <v>30</v>
      </c>
      <c r="E764" s="2" t="s">
        <v>14</v>
      </c>
      <c r="F764" s="2" t="s">
        <v>15</v>
      </c>
      <c r="G764" s="2" t="s">
        <v>1511</v>
      </c>
      <c r="H764" s="2" t="s">
        <v>107</v>
      </c>
      <c r="I764" s="2" t="str">
        <f>IFERROR(__xludf.DUMMYFUNCTION("GOOGLETRANSLATE(C764,""fr"",""en"")"),"For the moment, the service I have obtained concerning the termination of my previous auto contract and advice for this second contract as well as prices suit me!")</f>
        <v>For the moment, the service I have obtained concerning the termination of my previous auto contract and advice for this second contract as well as prices suit me!</v>
      </c>
    </row>
    <row r="765" ht="15.75" customHeight="1">
      <c r="A765" s="2">
        <v>5.0</v>
      </c>
      <c r="B765" s="2" t="s">
        <v>2155</v>
      </c>
      <c r="C765" s="2" t="s">
        <v>2156</v>
      </c>
      <c r="D765" s="2" t="s">
        <v>30</v>
      </c>
      <c r="E765" s="2" t="s">
        <v>14</v>
      </c>
      <c r="F765" s="2" t="s">
        <v>15</v>
      </c>
      <c r="G765" s="2" t="s">
        <v>863</v>
      </c>
      <c r="H765" s="2" t="s">
        <v>107</v>
      </c>
      <c r="I765" s="2" t="str">
        <f>IFERROR(__xludf.DUMMYFUNCTION("GOOGLETRANSLATE(C765,""fr"",""en"")"),"I am satisfied with the operation, as well as the speed of implementation of the subscription. The prices are competitive and the guarantee seems to be adequate with my need as my old insurer but with a better price.")</f>
        <v>I am satisfied with the operation, as well as the speed of implementation of the subscription. The prices are competitive and the guarantee seems to be adequate with my need as my old insurer but with a better price.</v>
      </c>
    </row>
    <row r="766" ht="15.75" customHeight="1">
      <c r="A766" s="2">
        <v>1.0</v>
      </c>
      <c r="B766" s="2" t="s">
        <v>2157</v>
      </c>
      <c r="C766" s="2" t="s">
        <v>2158</v>
      </c>
      <c r="D766" s="2" t="s">
        <v>30</v>
      </c>
      <c r="E766" s="2" t="s">
        <v>14</v>
      </c>
      <c r="F766" s="2" t="s">
        <v>15</v>
      </c>
      <c r="G766" s="2" t="s">
        <v>2159</v>
      </c>
      <c r="H766" s="2" t="s">
        <v>249</v>
      </c>
      <c r="I766" s="2" t="str">
        <f>IFERROR(__xludf.DUMMYFUNCTION("GOOGLETRANSLATE(C766,""fr"",""en"")"),"Concern with my vehicle, unreachable telephone platform impossible to have them on the phone I perform an online pre-declaration the same day and oddly this pre-declaration disappeared from my personal space fortunately that I have a confirmation email, 1"&amp;"4 days It has passed since the incident and still no news on their part it seems to me very badly left with this company.")</f>
        <v>Concern with my vehicle, unreachable telephone platform impossible to have them on the phone I perform an online pre-declaration the same day and oddly this pre-declaration disappeared from my personal space fortunately that I have a confirmation email, 14 days It has passed since the incident and still no news on their part it seems to me very badly left with this company.</v>
      </c>
    </row>
    <row r="767" ht="15.75" customHeight="1">
      <c r="A767" s="2">
        <v>4.0</v>
      </c>
      <c r="B767" s="2" t="s">
        <v>2160</v>
      </c>
      <c r="C767" s="2" t="s">
        <v>2161</v>
      </c>
      <c r="D767" s="2" t="s">
        <v>50</v>
      </c>
      <c r="E767" s="2" t="s">
        <v>14</v>
      </c>
      <c r="F767" s="2" t="s">
        <v>15</v>
      </c>
      <c r="G767" s="2" t="s">
        <v>2162</v>
      </c>
      <c r="H767" s="2" t="s">
        <v>32</v>
      </c>
      <c r="I767" s="2" t="str">
        <f>IFERROR(__xludf.DUMMYFUNCTION("GOOGLETRANSLATE(C767,""fr"",""en"")"),"Very pleasant interlocutor and good explanations of the methods to follow, very satisfied with the choices offered and a speed in sending documents.")</f>
        <v>Very pleasant interlocutor and good explanations of the methods to follow, very satisfied with the choices offered and a speed in sending documents.</v>
      </c>
    </row>
    <row r="768" ht="15.75" customHeight="1">
      <c r="A768" s="2">
        <v>2.0</v>
      </c>
      <c r="B768" s="2" t="s">
        <v>2163</v>
      </c>
      <c r="C768" s="2" t="s">
        <v>2164</v>
      </c>
      <c r="D768" s="2" t="s">
        <v>30</v>
      </c>
      <c r="E768" s="2" t="s">
        <v>14</v>
      </c>
      <c r="F768" s="2" t="s">
        <v>15</v>
      </c>
      <c r="G768" s="2" t="s">
        <v>562</v>
      </c>
      <c r="H768" s="2" t="s">
        <v>159</v>
      </c>
      <c r="I768" s="2" t="str">
        <f>IFERROR(__xludf.DUMMYFUNCTION("GOOGLETRANSLATE(C768,""fr"",""en"")"),"3 months after my subscription following a car change, my quote increases by almost 10%. The amount increased by 10% every year without advice indicating this increase.")</f>
        <v>3 months after my subscription following a car change, my quote increases by almost 10%. The amount increased by 10% every year without advice indicating this increase.</v>
      </c>
    </row>
    <row r="769" ht="15.75" customHeight="1">
      <c r="A769" s="2">
        <v>1.0</v>
      </c>
      <c r="B769" s="2" t="s">
        <v>2165</v>
      </c>
      <c r="C769" s="2" t="s">
        <v>2166</v>
      </c>
      <c r="D769" s="2" t="s">
        <v>134</v>
      </c>
      <c r="E769" s="2" t="s">
        <v>36</v>
      </c>
      <c r="F769" s="2" t="s">
        <v>15</v>
      </c>
      <c r="G769" s="2" t="s">
        <v>2167</v>
      </c>
      <c r="H769" s="2" t="s">
        <v>945</v>
      </c>
      <c r="I769" s="2" t="str">
        <f>IFERROR(__xludf.DUMMYFUNCTION("GOOGLETRANSLATE(C769,""fr"",""en"")"),"No, bad, to flee urgently. Not enough words to describe the loss of time represented by this insurer. Not going, you will only have trouble, the only thing that interests them is your money. Your health is not their problem.")</f>
        <v>No, bad, to flee urgently. Not enough words to describe the loss of time represented by this insurer. Not going, you will only have trouble, the only thing that interests them is your money. Your health is not their problem.</v>
      </c>
    </row>
    <row r="770" ht="15.75" customHeight="1">
      <c r="A770" s="2">
        <v>1.0</v>
      </c>
      <c r="B770" s="2" t="s">
        <v>2168</v>
      </c>
      <c r="C770" s="2" t="s">
        <v>2169</v>
      </c>
      <c r="D770" s="2" t="s">
        <v>219</v>
      </c>
      <c r="E770" s="2" t="s">
        <v>14</v>
      </c>
      <c r="F770" s="2" t="s">
        <v>15</v>
      </c>
      <c r="G770" s="2" t="s">
        <v>2170</v>
      </c>
      <c r="H770" s="2" t="s">
        <v>630</v>
      </c>
      <c r="I770" s="2" t="str">
        <f>IFERROR(__xludf.DUMMYFUNCTION("GOOGLETRANSLATE(C770,""fr"",""en"")"),"152 euros in third -party insurance for a 2009 C3 1.4 70 4CV it remains very high!
Having contact the agency about the variances of my monthly payments, I always expect a possible stability reviews of my samples.
These remain very raised to compare to c"&amp;"ertain competitors.
Regards Mr Martial Becquet.")</f>
        <v>152 euros in third -party insurance for a 2009 C3 1.4 70 4CV it remains very high!
Having contact the agency about the variances of my monthly payments, I always expect a possible stability reviews of my samples.
These remain very raised to compare to certain competitors.
Regards Mr Martial Becquet.</v>
      </c>
    </row>
    <row r="771" ht="15.75" customHeight="1">
      <c r="A771" s="2">
        <v>2.0</v>
      </c>
      <c r="B771" s="2" t="s">
        <v>2171</v>
      </c>
      <c r="C771" s="2" t="s">
        <v>2172</v>
      </c>
      <c r="D771" s="2" t="s">
        <v>30</v>
      </c>
      <c r="E771" s="2" t="s">
        <v>14</v>
      </c>
      <c r="F771" s="2" t="s">
        <v>15</v>
      </c>
      <c r="G771" s="2" t="s">
        <v>2173</v>
      </c>
      <c r="H771" s="2" t="s">
        <v>237</v>
      </c>
      <c r="I771" s="2" t="str">
        <f>IFERROR(__xludf.DUMMYFUNCTION("GOOGLETRANSLATE(C771,""fr"",""en"")"),"This insurance has resumed me because I was not insured for a period of more than 15 days, when I was abroad for the reason Prof. the law;")</f>
        <v>This insurance has resumed me because I was not insured for a period of more than 15 days, when I was abroad for the reason Prof. the law;</v>
      </c>
    </row>
    <row r="772" ht="15.75" customHeight="1">
      <c r="A772" s="2">
        <v>1.0</v>
      </c>
      <c r="B772" s="2" t="s">
        <v>2174</v>
      </c>
      <c r="C772" s="2" t="s">
        <v>2175</v>
      </c>
      <c r="D772" s="2" t="s">
        <v>134</v>
      </c>
      <c r="E772" s="2" t="s">
        <v>36</v>
      </c>
      <c r="F772" s="2" t="s">
        <v>15</v>
      </c>
      <c r="G772" s="2" t="s">
        <v>2176</v>
      </c>
      <c r="H772" s="2" t="s">
        <v>113</v>
      </c>
      <c r="I772" s="2" t="str">
        <f>IFERROR(__xludf.DUMMYFUNCTION("GOOGLETRANSLATE(C772,""fr"",""en"")"),"Unjustable
We terminate the mutual but the small contracts which are useless remain")</f>
        <v>Unjustable
We terminate the mutual but the small contracts which are useless remain</v>
      </c>
    </row>
    <row r="773" ht="15.75" customHeight="1">
      <c r="A773" s="2">
        <v>4.0</v>
      </c>
      <c r="B773" s="2" t="s">
        <v>2177</v>
      </c>
      <c r="C773" s="2" t="s">
        <v>2178</v>
      </c>
      <c r="D773" s="2" t="s">
        <v>30</v>
      </c>
      <c r="E773" s="2" t="s">
        <v>14</v>
      </c>
      <c r="F773" s="2" t="s">
        <v>15</v>
      </c>
      <c r="G773" s="2" t="s">
        <v>37</v>
      </c>
      <c r="H773" s="2" t="s">
        <v>38</v>
      </c>
      <c r="I773" s="2" t="str">
        <f>IFERROR(__xludf.DUMMYFUNCTION("GOOGLETRANSLATE(C773,""fr"",""en"")"),"Fast and simple, facilitates life
It seems a little more expensive than competition but what I appreciate is troubleshooting
Your service was recommended to me by a friend")</f>
        <v>Fast and simple, facilitates life
It seems a little more expensive than competition but what I appreciate is troubleshooting
Your service was recommended to me by a friend</v>
      </c>
    </row>
    <row r="774" ht="15.75" customHeight="1">
      <c r="A774" s="2">
        <v>1.0</v>
      </c>
      <c r="B774" s="2" t="s">
        <v>2179</v>
      </c>
      <c r="C774" s="2" t="s">
        <v>2180</v>
      </c>
      <c r="D774" s="2" t="s">
        <v>30</v>
      </c>
      <c r="E774" s="2" t="s">
        <v>14</v>
      </c>
      <c r="F774" s="2" t="s">
        <v>15</v>
      </c>
      <c r="G774" s="2" t="s">
        <v>2181</v>
      </c>
      <c r="H774" s="2" t="s">
        <v>270</v>
      </c>
      <c r="I774" s="2" t="str">
        <f>IFERROR(__xludf.DUMMYFUNCTION("GOOGLETRANSLATE(C774,""fr"",""en"")"),"Insurance claims that the vehicle that hung mine does not have Dassurance without any time providing proof of the steps they have taken. The information that ASSSUR gives me is different and contradictory each time I call it. Ultimately I really have the "&amp;"feeling of being robbed")</f>
        <v>Insurance claims that the vehicle that hung mine does not have Dassurance without any time providing proof of the steps they have taken. The information that ASSSUR gives me is different and contradictory each time I call it. Ultimately I really have the feeling of being robbed</v>
      </c>
    </row>
    <row r="775" ht="15.75" customHeight="1">
      <c r="A775" s="2">
        <v>2.0</v>
      </c>
      <c r="B775" s="2" t="s">
        <v>2182</v>
      </c>
      <c r="C775" s="2" t="s">
        <v>2183</v>
      </c>
      <c r="D775" s="2" t="s">
        <v>25</v>
      </c>
      <c r="E775" s="2" t="s">
        <v>14</v>
      </c>
      <c r="F775" s="2" t="s">
        <v>15</v>
      </c>
      <c r="G775" s="2" t="s">
        <v>1154</v>
      </c>
      <c r="H775" s="2" t="s">
        <v>22</v>
      </c>
      <c r="I775" s="2" t="str">
        <f>IFERROR(__xludf.DUMMYFUNCTION("GOOGLETRANSLATE(C775,""fr"",""en"")"),"Insured since Nov 2018, no claim so RAS. On the other hand, impossible to obtain my situation report completed with all the drivers insured, only the main driver appears while the regulations specify that all drivers must appear. As a result my wife is co"&amp;"nsidered to be without insurance by other insurers and my daughter is still a young driver while she has been driving since January 2018. I feel imprisoned and without recourse because despite a pseudo taken into account, impossible to obtain This documen"&amp;"t for 6 weeks now.")</f>
        <v>Insured since Nov 2018, no claim so RAS. On the other hand, impossible to obtain my situation report completed with all the drivers insured, only the main driver appears while the regulations specify that all drivers must appear. As a result my wife is considered to be without insurance by other insurers and my daughter is still a young driver while she has been driving since January 2018. I feel imprisoned and without recourse because despite a pseudo taken into account, impossible to obtain This document for 6 weeks now.</v>
      </c>
    </row>
    <row r="776" ht="15.75" customHeight="1">
      <c r="A776" s="2">
        <v>1.0</v>
      </c>
      <c r="B776" s="2" t="s">
        <v>2184</v>
      </c>
      <c r="C776" s="2" t="s">
        <v>2185</v>
      </c>
      <c r="D776" s="2" t="s">
        <v>436</v>
      </c>
      <c r="E776" s="2" t="s">
        <v>36</v>
      </c>
      <c r="F776" s="2" t="s">
        <v>15</v>
      </c>
      <c r="G776" s="2" t="s">
        <v>1617</v>
      </c>
      <c r="H776" s="2" t="s">
        <v>326</v>
      </c>
      <c r="I776" s="2" t="str">
        <f>IFERROR(__xludf.DUMMYFUNCTION("GOOGLETRANSLATE(C776,""fr"",""en"")"),"I have the impression that to be quiet, you should especially ask them anything. I just hanged up with an unpleasant ""advisor"" as possible, or he cuts me without stopping. I had 2 times to need my mutual insurance company (and that's why I have a mutual"&amp;") first time a bad reimbursement calculation for a 200th operation of my pocket, second time I always wait for the answer to The request for the care of one of my quotes, which by the way does not appear on their software. It only remains to change the mu"&amp;"tual: D")</f>
        <v>I have the impression that to be quiet, you should especially ask them anything. I just hanged up with an unpleasant "advisor" as possible, or he cuts me without stopping. I had 2 times to need my mutual insurance company (and that's why I have a mutual) first time a bad reimbursement calculation for a 200th operation of my pocket, second time I always wait for the answer to The request for the care of one of my quotes, which by the way does not appear on their software. It only remains to change the mutual: D</v>
      </c>
    </row>
    <row r="777" ht="15.75" customHeight="1">
      <c r="A777" s="2">
        <v>4.0</v>
      </c>
      <c r="B777" s="2" t="s">
        <v>2186</v>
      </c>
      <c r="C777" s="2" t="s">
        <v>2187</v>
      </c>
      <c r="D777" s="2" t="s">
        <v>145</v>
      </c>
      <c r="E777" s="2" t="s">
        <v>111</v>
      </c>
      <c r="F777" s="2" t="s">
        <v>15</v>
      </c>
      <c r="G777" s="2" t="s">
        <v>1245</v>
      </c>
      <c r="H777" s="2" t="s">
        <v>64</v>
      </c>
      <c r="I777" s="2" t="str">
        <f>IFERROR(__xludf.DUMMYFUNCTION("GOOGLETRANSLATE(C777,""fr"",""en"")"),"I am satisfied with the service.
But I am not satisfied:
- that it is not possible to have two parking addresses for two different vehicles
- that it was necessary to terminate a contract and establish a new one
- that for each contract, I have a diff"&amp;"erent customer number
- that I cannot see all the contracts in the same customer area")</f>
        <v>I am satisfied with the service.
But I am not satisfied:
- that it is not possible to have two parking addresses for two different vehicles
- that it was necessary to terminate a contract and establish a new one
- that for each contract, I have a different customer number
- that I cannot see all the contracts in the same customer area</v>
      </c>
    </row>
    <row r="778" ht="15.75" customHeight="1">
      <c r="A778" s="2">
        <v>4.0</v>
      </c>
      <c r="B778" s="2" t="s">
        <v>2188</v>
      </c>
      <c r="C778" s="2" t="s">
        <v>2189</v>
      </c>
      <c r="D778" s="2" t="s">
        <v>465</v>
      </c>
      <c r="E778" s="2" t="s">
        <v>111</v>
      </c>
      <c r="F778" s="2" t="s">
        <v>15</v>
      </c>
      <c r="G778" s="2" t="s">
        <v>2190</v>
      </c>
      <c r="H778" s="2" t="s">
        <v>233</v>
      </c>
      <c r="I778" s="2" t="str">
        <f>IFERROR(__xludf.DUMMYFUNCTION("GOOGLETRANSLATE(C778,""fr"",""en"")"),"Competitive prices, especially having the maximum in auto and motorcycle bonuses. Following an accident without third -party identified, they fully respected their conditions, namely the price reimbursement of the nine of the motorcycle HS, minus the fran"&amp;"chise, plus the options. And all this in a very short time with a loss manager who is dedicated to you!")</f>
        <v>Competitive prices, especially having the maximum in auto and motorcycle bonuses. Following an accident without third -party identified, they fully respected their conditions, namely the price reimbursement of the nine of the motorcycle HS, minus the franchise, plus the options. And all this in a very short time with a loss manager who is dedicated to you!</v>
      </c>
    </row>
    <row r="779" ht="15.75" customHeight="1">
      <c r="A779" s="2">
        <v>1.0</v>
      </c>
      <c r="B779" s="2" t="s">
        <v>2191</v>
      </c>
      <c r="C779" s="2" t="s">
        <v>2192</v>
      </c>
      <c r="D779" s="2" t="s">
        <v>41</v>
      </c>
      <c r="E779" s="2" t="s">
        <v>36</v>
      </c>
      <c r="F779" s="2" t="s">
        <v>15</v>
      </c>
      <c r="G779" s="2" t="s">
        <v>1656</v>
      </c>
      <c r="H779" s="2" t="s">
        <v>32</v>
      </c>
      <c r="I779" s="2" t="str">
        <f>IFERROR(__xludf.DUMMYFUNCTION("GOOGLETRANSLATE(C779,""fr"",""en"")"),"Dearly dear
Optical reimbursements not yet carried out after 5 months while everything is in order.
I'm waiting a little more before I file a complaint")</f>
        <v>Dearly dear
Optical reimbursements not yet carried out after 5 months while everything is in order.
I'm waiting a little more before I file a complaint</v>
      </c>
    </row>
    <row r="780" ht="15.75" customHeight="1">
      <c r="A780" s="2">
        <v>4.0</v>
      </c>
      <c r="B780" s="2" t="s">
        <v>2193</v>
      </c>
      <c r="C780" s="2" t="s">
        <v>2194</v>
      </c>
      <c r="D780" s="2" t="s">
        <v>50</v>
      </c>
      <c r="E780" s="2" t="s">
        <v>14</v>
      </c>
      <c r="F780" s="2" t="s">
        <v>15</v>
      </c>
      <c r="G780" s="2" t="s">
        <v>2195</v>
      </c>
      <c r="H780" s="2" t="s">
        <v>64</v>
      </c>
      <c r="I780" s="2" t="str">
        <f>IFERROR(__xludf.DUMMYFUNCTION("GOOGLETRANSLATE(C780,""fr"",""en"")"),"The prices suit me for the moment, the care is fast, customer service is good, intuitive customer area. To summarize in two words: simple and practical.")</f>
        <v>The prices suit me for the moment, the care is fast, customer service is good, intuitive customer area. To summarize in two words: simple and practical.</v>
      </c>
    </row>
    <row r="781" ht="15.75" customHeight="1">
      <c r="A781" s="2">
        <v>1.0</v>
      </c>
      <c r="B781" s="2" t="s">
        <v>2196</v>
      </c>
      <c r="C781" s="2" t="s">
        <v>2197</v>
      </c>
      <c r="D781" s="2" t="s">
        <v>20</v>
      </c>
      <c r="E781" s="2" t="s">
        <v>14</v>
      </c>
      <c r="F781" s="2" t="s">
        <v>15</v>
      </c>
      <c r="G781" s="2" t="s">
        <v>2150</v>
      </c>
      <c r="H781" s="2" t="s">
        <v>237</v>
      </c>
      <c r="I781" s="2" t="str">
        <f>IFERROR(__xludf.DUMMYFUNCTION("GOOGLETRANSLATE(C781,""fr"",""en"")"),"I smile at seeing that as by chance one of the very recent customer reviews stipulates no concern with this insurance when everyone has it with this insurer ...
For almost 5 days, I have relentlessly called my insurance who needed to present my papers to"&amp;" the police because I was noticed that she is not up to date.
I therefore call Active Insurance, which announces that I have not been insured since April 2016 (while my Active Insurance Vignette has not been good for several days I have had no letters or"&amp;" emails), they announce that I have never answered their reminders by email, supposedly with acknowledgment of receipt (it seems to me that it does not exist on emails and the only said emails date from my call on Saturday, nothing before), and that I sho"&amp;"uld see on the customer area.
They come out to me that I am in temporary termination, that I have to pay 27 euros, I therefore offer them to settle and be insured during the day in view of the emergency of the situation. Well with them impossible, I had "&amp;"the email which asks the pieces, so already they did not put the right family name but that of one of their client who has nothing to do with mine (the poor), like what the papers are still awaiting reception.
I have returned the complete file for 4 Satu"&amp;"rdays since Saturday, I receive an email yesterday that the file is complete ...
And magic, today I recall them, not the file is not complete, therefore, I send the email with all the parts, and receive an email at the end of the day:
We have received"&amp;" your email and thank you, but unfortunately no document has reached us.
For the resumption of your car insurance contract therefore, we ask you to retransmit us the documents in attachments, in JPEG or PDF format.
Our advisers are available to 0892 0"&amp;"20 423, Monday to Friday from 9 a.m. to 7 p.m. and Saturday from 9 a.m. to 5 p.m. for any additional information.
Thanking you for your confidence, we wish you a great day.
Cordially,
Mrs X
Responsible for customer
Active insurance
Result I ask"&amp;"ed for an information statement and for the penalty I am part and insured as of this evening (tomorrow) midnight by Allianz who immediately understood the urgency of the situation for 25 euros/month (third/driver Covered/broken ice) instead of 61 euros fo"&amp;"r the third party only. A word of advice: Fuyer Active Assurances, you will not save, time to waste and you will never have the slightest green insurance paper!")</f>
        <v>I smile at seeing that as by chance one of the very recent customer reviews stipulates no concern with this insurance when everyone has it with this insurer ...
For almost 5 days, I have relentlessly called my insurance who needed to present my papers to the police because I was noticed that she is not up to date.
I therefore call Active Insurance, which announces that I have not been insured since April 2016 (while my Active Insurance Vignette has not been good for several days I have had no letters or emails), they announce that I have never answered their reminders by email, supposedly with acknowledgment of receipt (it seems to me that it does not exist on emails and the only said emails date from my call on Saturday, nothing before), and that I should see on the customer area.
They come out to me that I am in temporary termination, that I have to pay 27 euros, I therefore offer them to settle and be insured during the day in view of the emergency of the situation. Well with them impossible, I had the email which asks the pieces, so already they did not put the right family name but that of one of their client who has nothing to do with mine (the poor), like what the papers are still awaiting reception.
I have returned the complete file for 4 Saturdays since Saturday, I receive an email yesterday that the file is complete ...
And magic, today I recall them, not the file is not complete, therefore, I send the email with all the parts, and receive an email at the end of the day:
We have received your email and thank you, but unfortunately no document has reached us.
For the resumption of your car insurance contract therefore, we ask you to retransmit us the documents in attachments, in JPEG or PDF format.
Our advisers are available to 0892 020 423, Monday to Friday from 9 a.m. to 7 p.m. and Saturday from 9 a.m. to 5 p.m. for any additional information.
Thanking you for your confidence, we wish you a great day.
Cordially,
Mrs X
Responsible for customer
Active insurance
Result I asked for an information statement and for the penalty I am part and insured as of this evening (tomorrow) midnight by Allianz who immediately understood the urgency of the situation for 25 euros/month (third/driver Covered/broken ice) instead of 61 euros for the third party only. A word of advice: Fuyer Active Assurances, you will not save, time to waste and you will never have the slightest green insurance paper!</v>
      </c>
    </row>
    <row r="782" ht="15.75" customHeight="1">
      <c r="A782" s="2">
        <v>3.0</v>
      </c>
      <c r="B782" s="2" t="s">
        <v>2198</v>
      </c>
      <c r="C782" s="2" t="s">
        <v>2199</v>
      </c>
      <c r="D782" s="2" t="s">
        <v>30</v>
      </c>
      <c r="E782" s="2" t="s">
        <v>14</v>
      </c>
      <c r="F782" s="2" t="s">
        <v>15</v>
      </c>
      <c r="G782" s="2" t="s">
        <v>690</v>
      </c>
      <c r="H782" s="2" t="s">
        <v>64</v>
      </c>
      <c r="I782" s="2" t="str">
        <f>IFERROR(__xludf.DUMMYFUNCTION("GOOGLETRANSLATE(C782,""fr"",""en"")"),"I am satisfied with your service and the price suits me compared to other insurance. Even the service is fast and fluid I recommend new customers.")</f>
        <v>I am satisfied with your service and the price suits me compared to other insurance. Even the service is fast and fluid I recommend new customers.</v>
      </c>
    </row>
    <row r="783" ht="15.75" customHeight="1">
      <c r="A783" s="2">
        <v>1.0</v>
      </c>
      <c r="B783" s="2" t="s">
        <v>2200</v>
      </c>
      <c r="C783" s="2" t="s">
        <v>2201</v>
      </c>
      <c r="D783" s="2" t="s">
        <v>134</v>
      </c>
      <c r="E783" s="2" t="s">
        <v>36</v>
      </c>
      <c r="F783" s="2" t="s">
        <v>15</v>
      </c>
      <c r="G783" s="2" t="s">
        <v>2202</v>
      </c>
      <c r="H783" s="2" t="s">
        <v>1965</v>
      </c>
      <c r="I783" s="2" t="str">
        <f>IFERROR(__xludf.DUMMYFUNCTION("GOOGLETRANSLATE(C783,""fr"",""en"")"),"I found myself improperly ""insured"" to forceps by unscrupulous semors, postal file not received despite my request for study. I consider these ways of making an attempted extortion.
")</f>
        <v>I found myself improperly "insured" to forceps by unscrupulous semors, postal file not received despite my request for study. I consider these ways of making an attempted extortion.
</v>
      </c>
    </row>
    <row r="784" ht="15.75" customHeight="1">
      <c r="A784" s="2">
        <v>1.0</v>
      </c>
      <c r="B784" s="2" t="s">
        <v>2203</v>
      </c>
      <c r="C784" s="2" t="s">
        <v>2204</v>
      </c>
      <c r="D784" s="2" t="s">
        <v>449</v>
      </c>
      <c r="E784" s="2" t="s">
        <v>36</v>
      </c>
      <c r="F784" s="2" t="s">
        <v>15</v>
      </c>
      <c r="G784" s="2" t="s">
        <v>2205</v>
      </c>
      <c r="H784" s="2" t="s">
        <v>613</v>
      </c>
      <c r="I784" s="2" t="str">
        <f>IFERROR(__xludf.DUMMYFUNCTION("GOOGLETRANSLATE(C784,""fr"",""en"")"),"Like many customers, emails and refund requests remain unanswered ... It is a mutual to flee")</f>
        <v>Like many customers, emails and refund requests remain unanswered ... It is a mutual to flee</v>
      </c>
    </row>
    <row r="785" ht="15.75" customHeight="1">
      <c r="A785" s="2">
        <v>3.0</v>
      </c>
      <c r="B785" s="2" t="s">
        <v>2206</v>
      </c>
      <c r="C785" s="2" t="s">
        <v>2207</v>
      </c>
      <c r="D785" s="2" t="s">
        <v>30</v>
      </c>
      <c r="E785" s="2" t="s">
        <v>14</v>
      </c>
      <c r="F785" s="2" t="s">
        <v>15</v>
      </c>
      <c r="G785" s="2" t="s">
        <v>1662</v>
      </c>
      <c r="H785" s="2" t="s">
        <v>107</v>
      </c>
      <c r="I785" s="2" t="str">
        <f>IFERROR(__xludf.DUMMYFUNCTION("GOOGLETRANSLATE(C785,""fr"",""en"")"),"Without an opinion at the moment, I hope to be able to settle in the coming hours a fraudulent direct debit from my Avanssur bank account under cover of direct insurance. My RIB will be used fraudulently for a direct debit on July 12. I am therefore not a"&amp;"t all happy at all at this moment of this incident !!! Verifiable on several internet items.")</f>
        <v>Without an opinion at the moment, I hope to be able to settle in the coming hours a fraudulent direct debit from my Avanssur bank account under cover of direct insurance. My RIB will be used fraudulently for a direct debit on July 12. I am therefore not at all happy at all at this moment of this incident !!! Verifiable on several internet items.</v>
      </c>
    </row>
    <row r="786" ht="15.75" customHeight="1">
      <c r="A786" s="2">
        <v>1.0</v>
      </c>
      <c r="B786" s="2" t="s">
        <v>2208</v>
      </c>
      <c r="C786" s="2" t="s">
        <v>2209</v>
      </c>
      <c r="D786" s="2" t="s">
        <v>292</v>
      </c>
      <c r="E786" s="2" t="s">
        <v>14</v>
      </c>
      <c r="F786" s="2" t="s">
        <v>15</v>
      </c>
      <c r="G786" s="2" t="s">
        <v>2210</v>
      </c>
      <c r="H786" s="2" t="s">
        <v>150</v>
      </c>
      <c r="I786" s="2" t="str">
        <f>IFERROR(__xludf.DUMMYFUNCTION("GOOGLETRANSLATE(C786,""fr"",""en"")"),"After a first good contact by phone last February to ensure my vehicle I had the unpleasant surprise to find myself in the face of a formal notice without any recovery letter previously on July 12 asks me to pay the full year and this over a period of one"&amp;" month in fact having had significant and unforeseen costs on the vehicle The last 2 samples did not pass without any other letter The formal notice fell with obligation to pay the entire Either in a bank card or in check with threat of suspension at Augu"&amp;"st 13 and termination 10 days after they do not take the species at the agency because absence of cash and impossibility of splitting the amount you have to pay all of a single time I called the headquarters as at the agency they do not want to know anyth"&amp;"ing about fractionation even in time allocated no listening and understanding they are completely stopped and closed it is easy To hide behind the formal notice when some competitors are more open as long as you pay even in fractionation it shows your goo"&amp;"d faith being agent of the public service I saw that they did insurance and well I will see Elsewhere since speech is an airtight monologue as stipulated as advertising This insurance is a safe bet in which we wonder. In the meantime I wanted to show my g"&amp;"ood faith by paying a fraction of the debt by bank card and found an arrangement for the rest which was refused I will not fail to advertise them and that is sure")</f>
        <v>After a first good contact by phone last February to ensure my vehicle I had the unpleasant surprise to find myself in the face of a formal notice without any recovery letter previously on July 12 asks me to pay the full year and this over a period of one month in fact having had significant and unforeseen costs on the vehicle The last 2 samples did not pass without any other letter The formal notice fell with obligation to pay the entire Either in a bank card or in check with threat of suspension at August 13 and termination 10 days after they do not take the species at the agency because absence of cash and impossibility of splitting the amount you have to pay all of a single time I called the headquarters as at the agency they do not want to know anything about fractionation even in time allocated no listening and understanding they are completely stopped and closed it is easy To hide behind the formal notice when some competitors are more open as long as you pay even in fractionation it shows your good faith being agent of the public service I saw that they did insurance and well I will see Elsewhere since speech is an airtight monologue as stipulated as advertising This insurance is a safe bet in which we wonder. In the meantime I wanted to show my good faith by paying a fraction of the debt by bank card and found an arrangement for the rest which was refused I will not fail to advertise them and that is sure</v>
      </c>
    </row>
    <row r="787" ht="15.75" customHeight="1">
      <c r="A787" s="2">
        <v>4.0</v>
      </c>
      <c r="B787" s="2" t="s">
        <v>2211</v>
      </c>
      <c r="C787" s="2" t="s">
        <v>2212</v>
      </c>
      <c r="D787" s="2" t="s">
        <v>50</v>
      </c>
      <c r="E787" s="2" t="s">
        <v>14</v>
      </c>
      <c r="F787" s="2" t="s">
        <v>15</v>
      </c>
      <c r="G787" s="2" t="s">
        <v>2213</v>
      </c>
      <c r="H787" s="2" t="s">
        <v>356</v>
      </c>
      <c r="I787" s="2" t="str">
        <f>IFERROR(__xludf.DUMMYFUNCTION("GOOGLETRANSLATE(C787,""fr"",""en"")"),"For the moment I am entirely satisfied we will see the rest, good explanation and very good contact with the insurer, I recommend
Thank you for your professionalism")</f>
        <v>For the moment I am entirely satisfied we will see the rest, good explanation and very good contact with the insurer, I recommend
Thank you for your professionalism</v>
      </c>
    </row>
    <row r="788" ht="15.75" customHeight="1">
      <c r="A788" s="2">
        <v>4.0</v>
      </c>
      <c r="B788" s="2" t="s">
        <v>2214</v>
      </c>
      <c r="C788" s="2" t="s">
        <v>2215</v>
      </c>
      <c r="D788" s="2" t="s">
        <v>30</v>
      </c>
      <c r="E788" s="2" t="s">
        <v>14</v>
      </c>
      <c r="F788" s="2" t="s">
        <v>15</v>
      </c>
      <c r="G788" s="2" t="s">
        <v>1100</v>
      </c>
      <c r="H788" s="2" t="s">
        <v>159</v>
      </c>
      <c r="I788" s="2" t="str">
        <f>IFERROR(__xludf.DUMMYFUNCTION("GOOGLETRANSLATE(C788,""fr"",""en"")"),"Excellent telephone reception, and responsiveness for a disaster. We were recalled very quickly after the declaration.
Competitive price to be well assured.")</f>
        <v>Excellent telephone reception, and responsiveness for a disaster. We were recalled very quickly after the declaration.
Competitive price to be well assured.</v>
      </c>
    </row>
    <row r="789" ht="15.75" customHeight="1">
      <c r="A789" s="2">
        <v>4.0</v>
      </c>
      <c r="B789" s="2" t="s">
        <v>2216</v>
      </c>
      <c r="C789" s="2" t="s">
        <v>2217</v>
      </c>
      <c r="D789" s="2" t="s">
        <v>481</v>
      </c>
      <c r="E789" s="2" t="s">
        <v>111</v>
      </c>
      <c r="F789" s="2" t="s">
        <v>15</v>
      </c>
      <c r="G789" s="2" t="s">
        <v>580</v>
      </c>
      <c r="H789" s="2" t="s">
        <v>38</v>
      </c>
      <c r="I789" s="2" t="str">
        <f>IFERROR(__xludf.DUMMYFUNCTION("GOOGLETRANSLATE(C789,""fr"",""en"")"),"Fast and practical, clear and bug -free form, we go direct to payment and insurance starts, not too many asterisks and small hidden lines it is clear and direct (well I hope ...)")</f>
        <v>Fast and practical, clear and bug -free form, we go direct to payment and insurance starts, not too many asterisks and small hidden lines it is clear and direct (well I hope ...)</v>
      </c>
    </row>
    <row r="790" ht="15.75" customHeight="1">
      <c r="A790" s="2">
        <v>1.0</v>
      </c>
      <c r="B790" s="2" t="s">
        <v>2218</v>
      </c>
      <c r="C790" s="2" t="s">
        <v>2219</v>
      </c>
      <c r="D790" s="2" t="s">
        <v>85</v>
      </c>
      <c r="E790" s="2" t="s">
        <v>36</v>
      </c>
      <c r="F790" s="2" t="s">
        <v>15</v>
      </c>
      <c r="G790" s="2" t="s">
        <v>2220</v>
      </c>
      <c r="H790" s="2" t="s">
        <v>150</v>
      </c>
      <c r="I790" s="2" t="str">
        <f>IFERROR(__xludf.DUMMYFUNCTION("GOOGLETRANSLATE(C790,""fr"",""en"")"),"On sick leave since May 7 I have still perceived anything in complementary health.")</f>
        <v>On sick leave since May 7 I have still perceived anything in complementary health.</v>
      </c>
    </row>
    <row r="791" ht="15.75" customHeight="1">
      <c r="A791" s="2">
        <v>5.0</v>
      </c>
      <c r="B791" s="2" t="s">
        <v>2221</v>
      </c>
      <c r="C791" s="2" t="s">
        <v>2222</v>
      </c>
      <c r="D791" s="2" t="s">
        <v>30</v>
      </c>
      <c r="E791" s="2" t="s">
        <v>14</v>
      </c>
      <c r="F791" s="2" t="s">
        <v>15</v>
      </c>
      <c r="G791" s="2" t="s">
        <v>863</v>
      </c>
      <c r="H791" s="2" t="s">
        <v>107</v>
      </c>
      <c r="I791" s="2" t="str">
        <f>IFERROR(__xludf.DUMMYFUNCTION("GOOGLETRANSLATE(C791,""fr"",""en"")"),"Delighted with the speed to which one can be insured.
I did not find better value for money.
I will recommend direct insurance to my entourage.")</f>
        <v>Delighted with the speed to which one can be insured.
I did not find better value for money.
I will recommend direct insurance to my entourage.</v>
      </c>
    </row>
    <row r="792" ht="15.75" customHeight="1">
      <c r="A792" s="2">
        <v>2.0</v>
      </c>
      <c r="B792" s="2" t="s">
        <v>2223</v>
      </c>
      <c r="C792" s="2" t="s">
        <v>2224</v>
      </c>
      <c r="D792" s="2" t="s">
        <v>79</v>
      </c>
      <c r="E792" s="2" t="s">
        <v>116</v>
      </c>
      <c r="F792" s="2" t="s">
        <v>15</v>
      </c>
      <c r="G792" s="2" t="s">
        <v>1306</v>
      </c>
      <c r="H792" s="2" t="s">
        <v>305</v>
      </c>
      <c r="I792" s="2" t="str">
        <f>IFERROR(__xludf.DUMMYFUNCTION("GOOGLETRANSLATE(C792,""fr"",""en"")"),"Inadmissible: Following the death of my father last year, Cardif put himself in touch with my notary and asked for additional information. File supplemented and made at the end of December by specifying the request to buy the capitalization voucher and fr"&amp;"om Cardif does not want to release the account or transmit information by phone if only on the status of the file. ""We will remind you ..."".
I filled the complaint file on the net but I have little hope., Especially when we see the mention: ""Our servi"&amp;"ce quality service undertakes to provide you with an answer as soon as possible and at the latest in The 2 months of receipt of your mail. "" Very specific I find this customer relationship: up to 2 months there is nothing to blame!
Being an entrepreneur"&amp;" if I specified this mention during a service contract I think I would have been bankrupt for a long time.
")</f>
        <v>Inadmissible: Following the death of my father last year, Cardif put himself in touch with my notary and asked for additional information. File supplemented and made at the end of December by specifying the request to buy the capitalization voucher and from Cardif does not want to release the account or transmit information by phone if only on the status of the file. "We will remind you ...".
I filled the complaint file on the net but I have little hope., Especially when we see the mention: "Our service quality service undertakes to provide you with an answer as soon as possible and at the latest in The 2 months of receipt of your mail. " Very specific I find this customer relationship: up to 2 months there is nothing to blame!
Being an entrepreneur if I specified this mention during a service contract I think I would have been bankrupt for a long time.
</v>
      </c>
    </row>
    <row r="793" ht="15.75" customHeight="1">
      <c r="A793" s="2">
        <v>5.0</v>
      </c>
      <c r="B793" s="2" t="s">
        <v>2225</v>
      </c>
      <c r="C793" s="2" t="s">
        <v>2226</v>
      </c>
      <c r="D793" s="2" t="s">
        <v>481</v>
      </c>
      <c r="E793" s="2" t="s">
        <v>111</v>
      </c>
      <c r="F793" s="2" t="s">
        <v>15</v>
      </c>
      <c r="G793" s="2" t="s">
        <v>1369</v>
      </c>
      <c r="H793" s="2" t="s">
        <v>159</v>
      </c>
      <c r="I793" s="2" t="str">
        <f>IFERROR(__xludf.DUMMYFUNCTION("GOOGLETRANSLATE(C793,""fr"",""en"")"),"Very well thank you for its
Thank you thank you very much I am happy not to pay dear thank you very much for you to trust
Thanks again")</f>
        <v>Very well thank you for its
Thank you thank you very much I am happy not to pay dear thank you very much for you to trust
Thanks again</v>
      </c>
    </row>
    <row r="794" ht="15.75" customHeight="1">
      <c r="A794" s="2">
        <v>1.0</v>
      </c>
      <c r="B794" s="2" t="s">
        <v>2227</v>
      </c>
      <c r="C794" s="2" t="s">
        <v>2228</v>
      </c>
      <c r="D794" s="2" t="s">
        <v>35</v>
      </c>
      <c r="E794" s="2" t="s">
        <v>36</v>
      </c>
      <c r="F794" s="2" t="s">
        <v>15</v>
      </c>
      <c r="G794" s="2" t="s">
        <v>2229</v>
      </c>
      <c r="H794" s="2" t="s">
        <v>70</v>
      </c>
      <c r="I794" s="2" t="str">
        <f>IFERROR(__xludf.DUMMYFUNCTION("GOOGLETRANSLATE(C794,""fr"",""en"")"),"I perceive 200 euros per month in specific solidarity allowance. I want to terminate my mutual because I can't pay anymore. This mutual insurance company refuses that I do not want to terminate for one of the reasons provided under their general condition"&amp;"s.
This mutual insurance company costs me 65 euros per month for an income of 200 euros per month.")</f>
        <v>I perceive 200 euros per month in specific solidarity allowance. I want to terminate my mutual because I can't pay anymore. This mutual insurance company refuses that I do not want to terminate for one of the reasons provided under their general conditions.
This mutual insurance company costs me 65 euros per month for an income of 200 euros per month.</v>
      </c>
    </row>
    <row r="795" ht="15.75" customHeight="1">
      <c r="A795" s="2">
        <v>2.0</v>
      </c>
      <c r="B795" s="2" t="s">
        <v>2230</v>
      </c>
      <c r="C795" s="2" t="s">
        <v>2231</v>
      </c>
      <c r="D795" s="2" t="s">
        <v>30</v>
      </c>
      <c r="E795" s="2" t="s">
        <v>14</v>
      </c>
      <c r="F795" s="2" t="s">
        <v>15</v>
      </c>
      <c r="G795" s="2" t="s">
        <v>655</v>
      </c>
      <c r="H795" s="2" t="s">
        <v>159</v>
      </c>
      <c r="I795" s="2" t="str">
        <f>IFERROR(__xludf.DUMMYFUNCTION("GOOGLETRANSLATE(C795,""fr"",""en"")"),"I am satisfied with the services, but as for the increase it is too expensive for me because I am in a precarious situation in terms of my work. So I preferred to change insurance that is much cheaper.")</f>
        <v>I am satisfied with the services, but as for the increase it is too expensive for me because I am in a precarious situation in terms of my work. So I preferred to change insurance that is much cheaper.</v>
      </c>
    </row>
    <row r="796" ht="15.75" customHeight="1">
      <c r="A796" s="2">
        <v>1.0</v>
      </c>
      <c r="B796" s="2" t="s">
        <v>2232</v>
      </c>
      <c r="C796" s="2" t="s">
        <v>2233</v>
      </c>
      <c r="D796" s="2" t="s">
        <v>50</v>
      </c>
      <c r="E796" s="2" t="s">
        <v>14</v>
      </c>
      <c r="F796" s="2" t="s">
        <v>15</v>
      </c>
      <c r="G796" s="2" t="s">
        <v>2234</v>
      </c>
      <c r="H796" s="2" t="s">
        <v>113</v>
      </c>
      <c r="I796" s="2" t="str">
        <f>IFERROR(__xludf.DUMMYFUNCTION("GOOGLETRANSLATE(C796,""fr"",""en"")"),"Not good at all !! In bad faith, no sense of trade and very bad times in the event of compensation. Above all, do not subscribe with them!")</f>
        <v>Not good at all !! In bad faith, no sense of trade and very bad times in the event of compensation. Above all, do not subscribe with them!</v>
      </c>
    </row>
    <row r="797" ht="15.75" customHeight="1">
      <c r="A797" s="2">
        <v>4.0</v>
      </c>
      <c r="B797" s="2" t="s">
        <v>2235</v>
      </c>
      <c r="C797" s="2" t="s">
        <v>2236</v>
      </c>
      <c r="D797" s="2" t="s">
        <v>481</v>
      </c>
      <c r="E797" s="2" t="s">
        <v>111</v>
      </c>
      <c r="F797" s="2" t="s">
        <v>15</v>
      </c>
      <c r="G797" s="2" t="s">
        <v>322</v>
      </c>
      <c r="H797" s="2" t="s">
        <v>107</v>
      </c>
      <c r="I797" s="2" t="str">
        <f>IFERROR(__xludf.DUMMYFUNCTION("GOOGLETRANSLATE(C797,""fr"",""en"")"),"I am satisfied with the unresponsive price and the conditions
I hope that the insurance protections will be up to the height.
Thank you.
Best regards.
Emmanuel Geneau")</f>
        <v>I am satisfied with the unresponsive price and the conditions
I hope that the insurance protections will be up to the height.
Thank you.
Best regards.
Emmanuel Geneau</v>
      </c>
    </row>
    <row r="798" ht="15.75" customHeight="1">
      <c r="A798" s="2">
        <v>3.0</v>
      </c>
      <c r="B798" s="2" t="s">
        <v>2237</v>
      </c>
      <c r="C798" s="2" t="s">
        <v>2238</v>
      </c>
      <c r="D798" s="2" t="s">
        <v>30</v>
      </c>
      <c r="E798" s="2" t="s">
        <v>14</v>
      </c>
      <c r="F798" s="2" t="s">
        <v>15</v>
      </c>
      <c r="G798" s="2" t="s">
        <v>225</v>
      </c>
      <c r="H798" s="2" t="s">
        <v>159</v>
      </c>
      <c r="I798" s="2" t="str">
        <f>IFERROR(__xludf.DUMMYFUNCTION("GOOGLETRANSLATE(C798,""fr"",""en"")"),"I am satisfied with the service. But why be forced to give my opinion? It takes me more than a minute ... and I see that you have to put at least 150 characters ...")</f>
        <v>I am satisfied with the service. But why be forced to give my opinion? It takes me more than a minute ... and I see that you have to put at least 150 characters ...</v>
      </c>
    </row>
    <row r="799" ht="15.75" customHeight="1">
      <c r="A799" s="2">
        <v>3.0</v>
      </c>
      <c r="B799" s="2" t="s">
        <v>2239</v>
      </c>
      <c r="C799" s="2" t="s">
        <v>2240</v>
      </c>
      <c r="D799" s="2" t="s">
        <v>50</v>
      </c>
      <c r="E799" s="2" t="s">
        <v>14</v>
      </c>
      <c r="F799" s="2" t="s">
        <v>15</v>
      </c>
      <c r="G799" s="2" t="s">
        <v>2241</v>
      </c>
      <c r="H799" s="2" t="s">
        <v>237</v>
      </c>
      <c r="I799" s="2" t="str">
        <f>IFERROR(__xludf.DUMMYFUNCTION("GOOGLETRANSLATE(C799,""fr"",""en"")"),"What a disappointment, and I intend to retract myself. I have subscribed to my insurance via lesfurets.com and I have heard of all the boxes and answered all the questions concerning the liabilities and the vehicle to be insured. My contract is edited, I "&amp;"pay the first 2 months by CB, and I send my documents in stride by internet via the central console.
Surprise, my vehicle does not correspond to my gray card, and moreover the date indicated for the first registration is not the right one. Yet on the com"&amp;"parator's website I indicated the first registration in July 2006, and purchase in 2009. I therefore contact insurance because 4 days after sending my documents the file is still pending; And there I am explained to me that I declared badly, and that it p"&amp;"uts me an increase of 41.98th in addition. I do not understand why I am increased the price when the vehicle is the same, and that from what I see in the comments I am not the only 'Olivier on the part of the comparators. I am surprised by the increase an"&amp;"d I am told that it is normal, and that it is a current price, because my vehicle is suddenly older. Not being convinced I have just rebuilt a simulation, for the same vehicle, with the same data and surprise, the annual amount as well as monthly is cheap"&amp;"er. I am extremely disappointed on the part of the insurer, and I count, retract, and return to my former insurer.
Really disappointed, while the contract hasn't even started yet!
")</f>
        <v>What a disappointment, and I intend to retract myself. I have subscribed to my insurance via lesfurets.com and I have heard of all the boxes and answered all the questions concerning the liabilities and the vehicle to be insured. My contract is edited, I pay the first 2 months by CB, and I send my documents in stride by internet via the central console.
Surprise, my vehicle does not correspond to my gray card, and moreover the date indicated for the first registration is not the right one. Yet on the comparator's website I indicated the first registration in July 2006, and purchase in 2009. I therefore contact insurance because 4 days after sending my documents the file is still pending; And there I am explained to me that I declared badly, and that it puts me an increase of 41.98th in addition. I do not understand why I am increased the price when the vehicle is the same, and that from what I see in the comments I am not the only 'Olivier on the part of the comparators. I am surprised by the increase and I am told that it is normal, and that it is a current price, because my vehicle is suddenly older. Not being convinced I have just rebuilt a simulation, for the same vehicle, with the same data and surprise, the annual amount as well as monthly is cheaper. I am extremely disappointed on the part of the insurer, and I count, retract, and return to my former insurer.
Really disappointed, while the contract hasn't even started yet!
</v>
      </c>
    </row>
    <row r="800" ht="15.75" customHeight="1">
      <c r="A800" s="2">
        <v>3.0</v>
      </c>
      <c r="B800" s="2" t="s">
        <v>2242</v>
      </c>
      <c r="C800" s="2" t="s">
        <v>2243</v>
      </c>
      <c r="D800" s="2" t="s">
        <v>30</v>
      </c>
      <c r="E800" s="2" t="s">
        <v>68</v>
      </c>
      <c r="F800" s="2" t="s">
        <v>15</v>
      </c>
      <c r="G800" s="2" t="s">
        <v>2244</v>
      </c>
      <c r="H800" s="2" t="s">
        <v>177</v>
      </c>
      <c r="I800" s="2" t="str">
        <f>IFERROR(__xludf.DUMMYFUNCTION("GOOGLETRANSLATE(C800,""fr"",""en"")"),"In the event of a claim, the management monitoring service is completely ineffective. No follow -up, as for management? Often false claims, even
false and files that drag")</f>
        <v>In the event of a claim, the management monitoring service is completely ineffective. No follow -up, as for management? Often false claims, even
false and files that drag</v>
      </c>
    </row>
    <row r="801" ht="15.75" customHeight="1">
      <c r="A801" s="2">
        <v>3.0</v>
      </c>
      <c r="B801" s="2" t="s">
        <v>2245</v>
      </c>
      <c r="C801" s="2" t="s">
        <v>2246</v>
      </c>
      <c r="D801" s="2" t="s">
        <v>219</v>
      </c>
      <c r="E801" s="2" t="s">
        <v>14</v>
      </c>
      <c r="F801" s="2" t="s">
        <v>15</v>
      </c>
      <c r="G801" s="2" t="s">
        <v>2247</v>
      </c>
      <c r="H801" s="2" t="s">
        <v>22</v>
      </c>
      <c r="I801" s="2" t="str">
        <f>IFERROR(__xludf.DUMMYFUNCTION("GOOGLETRANSLATE(C801,""fr"",""en"")"),"Successive increases in premiums lead me to prospect on other companies. I will not accept any increases for the year 2021 failing which I would take a contract to one of the two insurance companies that I prospected
")</f>
        <v>Successive increases in premiums lead me to prospect on other companies. I will not accept any increases for the year 2021 failing which I would take a contract to one of the two insurance companies that I prospected
</v>
      </c>
    </row>
    <row r="802" ht="15.75" customHeight="1">
      <c r="A802" s="2">
        <v>4.0</v>
      </c>
      <c r="B802" s="2" t="s">
        <v>2248</v>
      </c>
      <c r="C802" s="2" t="s">
        <v>2249</v>
      </c>
      <c r="D802" s="2" t="s">
        <v>30</v>
      </c>
      <c r="E802" s="2" t="s">
        <v>14</v>
      </c>
      <c r="F802" s="2" t="s">
        <v>15</v>
      </c>
      <c r="G802" s="2" t="s">
        <v>583</v>
      </c>
      <c r="H802" s="2" t="s">
        <v>159</v>
      </c>
      <c r="I802" s="2" t="str">
        <f>IFERROR(__xludf.DUMMYFUNCTION("GOOGLETRANSLATE(C802,""fr"",""en"")"),"I am very satisfied with the telephone Ntretian that I had, the explanations are clear is fast.
The proposed prices are interesting.
Efficacity is there")</f>
        <v>I am very satisfied with the telephone Ntretian that I had, the explanations are clear is fast.
The proposed prices are interesting.
Efficacity is there</v>
      </c>
    </row>
    <row r="803" ht="15.75" customHeight="1">
      <c r="A803" s="2">
        <v>1.0</v>
      </c>
      <c r="B803" s="2" t="s">
        <v>2250</v>
      </c>
      <c r="C803" s="2" t="s">
        <v>2251</v>
      </c>
      <c r="D803" s="2" t="s">
        <v>79</v>
      </c>
      <c r="E803" s="2" t="s">
        <v>80</v>
      </c>
      <c r="F803" s="2" t="s">
        <v>15</v>
      </c>
      <c r="G803" s="2" t="s">
        <v>2252</v>
      </c>
      <c r="H803" s="2" t="s">
        <v>131</v>
      </c>
      <c r="I803" s="2" t="str">
        <f>IFERROR(__xludf.DUMMYFUNCTION("GOOGLETRANSLATE(C803,""fr"",""en"")"),"Following cancer that left me heavy sequelae I was classified as a 2nd category disability since 01/01/2020. Cardif commissioned expertise last October, 8 months after my disability and of course the confinement has a good back. Now I have been waiting fo"&amp;"r 6 weeks that we have been status on the file and send me the medical report. I receive an email from the processing of my request this week. Today a joke on the phone I am told that the email received is an error and that it is the expert doctor who did"&amp;" not send the report while on October 26 another advisor tells me that she In the eyes but that you have to make the request for sending. The advisers are incompetent. It is unacceptable.")</f>
        <v>Following cancer that left me heavy sequelae I was classified as a 2nd category disability since 01/01/2020. Cardif commissioned expertise last October, 8 months after my disability and of course the confinement has a good back. Now I have been waiting for 6 weeks that we have been status on the file and send me the medical report. I receive an email from the processing of my request this week. Today a joke on the phone I am told that the email received is an error and that it is the expert doctor who did not send the report while on October 26 another advisor tells me that she In the eyes but that you have to make the request for sending. The advisers are incompetent. It is unacceptable.</v>
      </c>
    </row>
    <row r="804" ht="15.75" customHeight="1">
      <c r="A804" s="2">
        <v>1.0</v>
      </c>
      <c r="B804" s="2" t="s">
        <v>2253</v>
      </c>
      <c r="C804" s="2" t="s">
        <v>2254</v>
      </c>
      <c r="D804" s="2" t="s">
        <v>180</v>
      </c>
      <c r="E804" s="2" t="s">
        <v>14</v>
      </c>
      <c r="F804" s="2" t="s">
        <v>15</v>
      </c>
      <c r="G804" s="2" t="s">
        <v>202</v>
      </c>
      <c r="H804" s="2" t="s">
        <v>47</v>
      </c>
      <c r="I804" s="2" t="str">
        <f>IFERROR(__xludf.DUMMYFUNCTION("GOOGLETRANSLATE(C804,""fr"",""en"")"),"Prices are increasing every year and become less competitive compared to other insurers. For the same risks I found cheaper elsewhere. I also had customer advantages that have been deleted because of a broken ice cream ( 2020). After several telephone con"&amp;"tacts with my insurer without any results from them, so I have just terminated 4 contras after 15 years of loyalty. No respect or consideration for good customers (15 years without accident).")</f>
        <v>Prices are increasing every year and become less competitive compared to other insurers. For the same risks I found cheaper elsewhere. I also had customer advantages that have been deleted because of a broken ice cream ( 2020). After several telephone contacts with my insurer without any results from them, so I have just terminated 4 contras after 15 years of loyalty. No respect or consideration for good customers (15 years without accident).</v>
      </c>
    </row>
    <row r="805" ht="15.75" customHeight="1">
      <c r="A805" s="2">
        <v>1.0</v>
      </c>
      <c r="B805" s="2" t="s">
        <v>2255</v>
      </c>
      <c r="C805" s="2" t="s">
        <v>2256</v>
      </c>
      <c r="D805" s="2" t="s">
        <v>30</v>
      </c>
      <c r="E805" s="2" t="s">
        <v>14</v>
      </c>
      <c r="F805" s="2" t="s">
        <v>15</v>
      </c>
      <c r="G805" s="2" t="s">
        <v>2098</v>
      </c>
      <c r="H805" s="2" t="s">
        <v>305</v>
      </c>
      <c r="I805" s="2" t="str">
        <f>IFERROR(__xludf.DUMMYFUNCTION("GOOGLETRANSLATE(C805,""fr"",""en"")"),"The complete absence of personalization means that this insurer, quite expensive despite an initial low call price, corresponds to customers with a particular risk (especially if it goes wrong in their algorithm) but penalizes without stories.
Can only s"&amp;"uit very rigorous people (or machines): I discovered that I was struck off when I return from vacation, without explanation: there is always a risk of being deprived of insurance without knowing it . This insurer must therefore be avoided to cover signifi"&amp;"cant risks.")</f>
        <v>The complete absence of personalization means that this insurer, quite expensive despite an initial low call price, corresponds to customers with a particular risk (especially if it goes wrong in their algorithm) but penalizes without stories.
Can only suit very rigorous people (or machines): I discovered that I was struck off when I return from vacation, without explanation: there is always a risk of being deprived of insurance without knowing it . This insurer must therefore be avoided to cover significant risks.</v>
      </c>
    </row>
    <row r="806" ht="15.75" customHeight="1">
      <c r="A806" s="2">
        <v>2.0</v>
      </c>
      <c r="B806" s="2" t="s">
        <v>2257</v>
      </c>
      <c r="C806" s="2" t="s">
        <v>2258</v>
      </c>
      <c r="D806" s="2" t="s">
        <v>709</v>
      </c>
      <c r="E806" s="2" t="s">
        <v>90</v>
      </c>
      <c r="F806" s="2" t="s">
        <v>15</v>
      </c>
      <c r="G806" s="2" t="s">
        <v>2259</v>
      </c>
      <c r="H806" s="2" t="s">
        <v>646</v>
      </c>
      <c r="I806" s="2" t="str">
        <f>IFERROR(__xludf.DUMMYFUNCTION("GOOGLETRANSLATE(C806,""fr"",""en"")"),"Very intermeal decree in lille processing of extremely long file (I took an individual contract and it is the same as the collectives)
We cannot talk to the manager we ask them to recall they do not recall
Send Recommend to the President of Intermers do"&amp;" not answer you even any respect for the adherent")</f>
        <v>Very intermeal decree in lille processing of extremely long file (I took an individual contract and it is the same as the collectives)
We cannot talk to the manager we ask them to recall they do not recall
Send Recommend to the President of Intermers do not answer you even any respect for the adherent</v>
      </c>
    </row>
    <row r="807" ht="15.75" customHeight="1">
      <c r="A807" s="2">
        <v>3.0</v>
      </c>
      <c r="B807" s="2" t="s">
        <v>2260</v>
      </c>
      <c r="C807" s="2" t="s">
        <v>2261</v>
      </c>
      <c r="D807" s="2" t="s">
        <v>134</v>
      </c>
      <c r="E807" s="2" t="s">
        <v>36</v>
      </c>
      <c r="F807" s="2" t="s">
        <v>15</v>
      </c>
      <c r="G807" s="2" t="s">
        <v>330</v>
      </c>
      <c r="H807" s="2" t="s">
        <v>192</v>
      </c>
      <c r="I807" s="2" t="str">
        <f>IFERROR(__xludf.DUMMYFUNCTION("GOOGLETRANSLATE(C807,""fr"",""en"")"),"Very satisfied with my Sokhna interlictress who guided me step to access my account to make my request by internet
Thank you very much for her patience
Top television")</f>
        <v>Very satisfied with my Sokhna interlictress who guided me step to access my account to make my request by internet
Thank you very much for her patience
Top television</v>
      </c>
    </row>
    <row r="808" ht="15.75" customHeight="1">
      <c r="A808" s="2">
        <v>1.0</v>
      </c>
      <c r="B808" s="2" t="s">
        <v>2262</v>
      </c>
      <c r="C808" s="2" t="s">
        <v>2263</v>
      </c>
      <c r="D808" s="2" t="s">
        <v>436</v>
      </c>
      <c r="E808" s="2" t="s">
        <v>36</v>
      </c>
      <c r="F808" s="2" t="s">
        <v>15</v>
      </c>
      <c r="G808" s="2" t="s">
        <v>1901</v>
      </c>
      <c r="H808" s="2" t="s">
        <v>566</v>
      </c>
      <c r="I808" s="2" t="str">
        <f>IFERROR(__xludf.DUMMYFUNCTION("GOOGLETRANSLATE(C808,""fr"",""en"")"),"I am extremely disappointed with this mutual !! We have been there for several years as long as everything goes well everything will be fine but as soon as you have a problem with them the big problems start! We have paid our quarter by bank transfer for "&amp;"3 months but on the pretext that they do not find it we have no more rights but obviously to pay the 2 nd quarter it can be seen contacting me. I do emails I send the supporting documents I call but nothing is all long for their eyes to their eyes!")</f>
        <v>I am extremely disappointed with this mutual !! We have been there for several years as long as everything goes well everything will be fine but as soon as you have a problem with them the big problems start! We have paid our quarter by bank transfer for 3 months but on the pretext that they do not find it we have no more rights but obviously to pay the 2 nd quarter it can be seen contacting me. I do emails I send the supporting documents I call but nothing is all long for their eyes to their eyes!</v>
      </c>
    </row>
    <row r="809" ht="15.75" customHeight="1">
      <c r="A809" s="2">
        <v>5.0</v>
      </c>
      <c r="B809" s="2" t="s">
        <v>2264</v>
      </c>
      <c r="C809" s="2" t="s">
        <v>2265</v>
      </c>
      <c r="D809" s="2" t="s">
        <v>30</v>
      </c>
      <c r="E809" s="2" t="s">
        <v>14</v>
      </c>
      <c r="F809" s="2" t="s">
        <v>15</v>
      </c>
      <c r="G809" s="2" t="s">
        <v>1340</v>
      </c>
      <c r="H809" s="2" t="s">
        <v>64</v>
      </c>
      <c r="I809" s="2" t="str">
        <f>IFERROR(__xludf.DUMMYFUNCTION("GOOGLETRANSLATE(C809,""fr"",""en"")"),"The servicse and prices are very attractive. It remains to be hoped that services, responsiveness and availability are up to my expectations")</f>
        <v>The servicse and prices are very attractive. It remains to be hoped that services, responsiveness and availability are up to my expectations</v>
      </c>
    </row>
    <row r="810" ht="15.75" customHeight="1">
      <c r="A810" s="2">
        <v>5.0</v>
      </c>
      <c r="B810" s="2" t="s">
        <v>2266</v>
      </c>
      <c r="C810" s="2" t="s">
        <v>2267</v>
      </c>
      <c r="D810" s="2" t="s">
        <v>50</v>
      </c>
      <c r="E810" s="2" t="s">
        <v>14</v>
      </c>
      <c r="F810" s="2" t="s">
        <v>15</v>
      </c>
      <c r="G810" s="2" t="s">
        <v>2268</v>
      </c>
      <c r="H810" s="2" t="s">
        <v>113</v>
      </c>
      <c r="I810" s="2" t="str">
        <f>IFERROR(__xludf.DUMMYFUNCTION("GOOGLETRANSLATE(C810,""fr"",""en"")"),"Professional online staff - Clear Top -Tariff telephone reception; I recommend this insurer without any hesitation, pending, however the conditions for the reimbursement of a possible claim!")</f>
        <v>Professional online staff - Clear Top -Tariff telephone reception; I recommend this insurer without any hesitation, pending, however the conditions for the reimbursement of a possible claim!</v>
      </c>
    </row>
    <row r="811" ht="15.75" customHeight="1">
      <c r="A811" s="2">
        <v>1.0</v>
      </c>
      <c r="B811" s="2" t="s">
        <v>2269</v>
      </c>
      <c r="C811" s="2" t="s">
        <v>2270</v>
      </c>
      <c r="D811" s="2" t="s">
        <v>180</v>
      </c>
      <c r="E811" s="2" t="s">
        <v>14</v>
      </c>
      <c r="F811" s="2" t="s">
        <v>15</v>
      </c>
      <c r="G811" s="2" t="s">
        <v>2271</v>
      </c>
      <c r="H811" s="2" t="s">
        <v>352</v>
      </c>
      <c r="I811" s="2" t="str">
        <f>IFERROR(__xludf.DUMMYFUNCTION("GOOGLETRANSLATE(C811,""fr"",""en"")"),"My wife has just been ""terminated"" without any other communication than a recommended after 20 years at Eurofil (finally Aviva now). I have been waiting to reach them for 20 minutes now…. A first telephone contact to explain to me that I have arrived at"&amp;" the welcome because too many people call, and I find myself waiting for 10 minutes again.
I also confirm the extreme lack of respect for online advisers, I have just had a hoping for Guignol who takes me from above and send me waltz before switching to "&amp;"a third -party person who is even less commercial .
In the moment we were, a company to flee.")</f>
        <v>My wife has just been "terminated" without any other communication than a recommended after 20 years at Eurofil (finally Aviva now). I have been waiting to reach them for 20 minutes now…. A first telephone contact to explain to me that I have arrived at the welcome because too many people call, and I find myself waiting for 10 minutes again.
I also confirm the extreme lack of respect for online advisers, I have just had a hoping for Guignol who takes me from above and send me waltz before switching to a third -party person who is even less commercial .
In the moment we were, a company to flee.</v>
      </c>
    </row>
    <row r="812" ht="15.75" customHeight="1">
      <c r="A812" s="2">
        <v>1.0</v>
      </c>
      <c r="B812" s="2" t="s">
        <v>2272</v>
      </c>
      <c r="C812" s="2" t="s">
        <v>2273</v>
      </c>
      <c r="D812" s="2" t="s">
        <v>436</v>
      </c>
      <c r="E812" s="2" t="s">
        <v>36</v>
      </c>
      <c r="F812" s="2" t="s">
        <v>15</v>
      </c>
      <c r="G812" s="2" t="s">
        <v>2274</v>
      </c>
      <c r="H812" s="2" t="s">
        <v>911</v>
      </c>
      <c r="I812" s="2" t="str">
        <f>IFERROR(__xludf.DUMMYFUNCTION("GOOGLETRANSLATE(C812,""fr"",""en"")"),"I am a mutual harmony within the framework of its famous mutuals of compulsory companies. I have not had the choice of my mutual. had a change of manager. Power at the company level an advisor at Harmonie his deplacé at my workplace in mid-October to see "&amp;"with the manager and I the renewal of my contract. The advisor took my rib and by email I sent him authorization to be pronounced. D or my surprise to have recovered. Information concerns a dental quote and the person tells me that my mutual was stopped.")</f>
        <v>I am a mutual harmony within the framework of its famous mutuals of compulsory companies. I have not had the choice of my mutual. had a change of manager. Power at the company level an advisor at Harmonie his deplacé at my workplace in mid-October to see with the manager and I the renewal of my contract. The advisor took my rib and by email I sent him authorization to be pronounced. D or my surprise to have recovered. Information concerns a dental quote and the person tells me that my mutual was stopped.</v>
      </c>
    </row>
    <row r="813" ht="15.75" customHeight="1">
      <c r="A813" s="2">
        <v>2.0</v>
      </c>
      <c r="B813" s="2" t="s">
        <v>2275</v>
      </c>
      <c r="C813" s="2" t="s">
        <v>2276</v>
      </c>
      <c r="D813" s="2" t="s">
        <v>30</v>
      </c>
      <c r="E813" s="2" t="s">
        <v>14</v>
      </c>
      <c r="F813" s="2" t="s">
        <v>15</v>
      </c>
      <c r="G813" s="2" t="s">
        <v>2277</v>
      </c>
      <c r="H813" s="2" t="s">
        <v>397</v>
      </c>
      <c r="I813" s="2" t="str">
        <f>IFERROR(__xludf.DUMMYFUNCTION("GOOGLETRANSLATE(C813,""fr"",""en"")"),"Very disapointed. Certainly, it is not expensive. On the other hand, attempted flight and then stolen car, Da no longer assures me! In addition, you have to fight to obtain refund! They had forgotten 500 euros on the value of the car! I am still in talks "&amp;"to obtain reimbursement of stolen accessories with the vehicle (which are reimbursed in a package of 460 euros) normally.")</f>
        <v>Very disapointed. Certainly, it is not expensive. On the other hand, attempted flight and then stolen car, Da no longer assures me! In addition, you have to fight to obtain refund! They had forgotten 500 euros on the value of the car! I am still in talks to obtain reimbursement of stolen accessories with the vehicle (which are reimbursed in a package of 460 euros) normally.</v>
      </c>
    </row>
    <row r="814" ht="15.75" customHeight="1">
      <c r="A814" s="2">
        <v>4.0</v>
      </c>
      <c r="B814" s="2" t="s">
        <v>2278</v>
      </c>
      <c r="C814" s="2" t="s">
        <v>2279</v>
      </c>
      <c r="D814" s="2" t="s">
        <v>30</v>
      </c>
      <c r="E814" s="2" t="s">
        <v>14</v>
      </c>
      <c r="F814" s="2" t="s">
        <v>15</v>
      </c>
      <c r="G814" s="2" t="s">
        <v>1160</v>
      </c>
      <c r="H814" s="2" t="s">
        <v>159</v>
      </c>
      <c r="I814" s="2" t="str">
        <f>IFERROR(__xludf.DUMMYFUNCTION("GOOGLETRANSLATE(C814,""fr"",""en"")"),"very courteous and patient operator. The prices are satisfactory. The service is fast explained. I thank Direct Assurance for accepting myself as a customer. And I recommend it to my loved ones, friends and colleagues.")</f>
        <v>very courteous and patient operator. The prices are satisfactory. The service is fast explained. I thank Direct Assurance for accepting myself as a customer. And I recommend it to my loved ones, friends and colleagues.</v>
      </c>
    </row>
    <row r="815" ht="15.75" customHeight="1">
      <c r="A815" s="2">
        <v>5.0</v>
      </c>
      <c r="B815" s="2" t="s">
        <v>2280</v>
      </c>
      <c r="C815" s="2" t="s">
        <v>2281</v>
      </c>
      <c r="D815" s="2" t="s">
        <v>30</v>
      </c>
      <c r="E815" s="2" t="s">
        <v>14</v>
      </c>
      <c r="F815" s="2" t="s">
        <v>15</v>
      </c>
      <c r="G815" s="2" t="s">
        <v>2282</v>
      </c>
      <c r="H815" s="2" t="s">
        <v>64</v>
      </c>
      <c r="I815" s="2" t="str">
        <f>IFERROR(__xludf.DUMMYFUNCTION("GOOGLETRANSLATE(C815,""fr"",""en"")"),"I am sastified of your insurance for my car I send you the papers as long as I work at night and I will set up thank you")</f>
        <v>I am sastified of your insurance for my car I send you the papers as long as I work at night and I will set up thank you</v>
      </c>
    </row>
    <row r="816" ht="15.75" customHeight="1">
      <c r="A816" s="2">
        <v>2.0</v>
      </c>
      <c r="B816" s="2" t="s">
        <v>2283</v>
      </c>
      <c r="C816" s="2" t="s">
        <v>2284</v>
      </c>
      <c r="D816" s="2" t="s">
        <v>85</v>
      </c>
      <c r="E816" s="2" t="s">
        <v>36</v>
      </c>
      <c r="F816" s="2" t="s">
        <v>15</v>
      </c>
      <c r="G816" s="2" t="s">
        <v>2285</v>
      </c>
      <c r="H816" s="2" t="s">
        <v>70</v>
      </c>
      <c r="I816" s="2" t="str">
        <f>IFERROR(__xludf.DUMMYFUNCTION("GOOGLETRANSLATE(C816,""fr"",""en"")"),"I have never seen such a bad mutual of all my life. They lose the documents all the time, send us the affiliation bulletins, take 3 years to answer when they do not give false info")</f>
        <v>I have never seen such a bad mutual of all my life. They lose the documents all the time, send us the affiliation bulletins, take 3 years to answer when they do not give false info</v>
      </c>
    </row>
    <row r="817" ht="15.75" customHeight="1">
      <c r="A817" s="2">
        <v>4.0</v>
      </c>
      <c r="B817" s="2" t="s">
        <v>2286</v>
      </c>
      <c r="C817" s="2" t="s">
        <v>2287</v>
      </c>
      <c r="D817" s="2" t="s">
        <v>30</v>
      </c>
      <c r="E817" s="2" t="s">
        <v>14</v>
      </c>
      <c r="F817" s="2" t="s">
        <v>15</v>
      </c>
      <c r="G817" s="2" t="s">
        <v>264</v>
      </c>
      <c r="H817" s="2" t="s">
        <v>38</v>
      </c>
      <c r="I817" s="2" t="str">
        <f>IFERROR(__xludf.DUMMYFUNCTION("GOOGLETRANSLATE(C817,""fr"",""en"")"),"Very professional, very easy to subscribe, excellent value for money, I advise you direct insurance, thank you for your professionalism cordially")</f>
        <v>Very professional, very easy to subscribe, excellent value for money, I advise you direct insurance, thank you for your professionalism cordially</v>
      </c>
    </row>
    <row r="818" ht="15.75" customHeight="1">
      <c r="A818" s="2">
        <v>1.0</v>
      </c>
      <c r="B818" s="2" t="s">
        <v>2288</v>
      </c>
      <c r="C818" s="2" t="s">
        <v>2289</v>
      </c>
      <c r="D818" s="2" t="s">
        <v>247</v>
      </c>
      <c r="E818" s="2" t="s">
        <v>36</v>
      </c>
      <c r="F818" s="2" t="s">
        <v>15</v>
      </c>
      <c r="G818" s="2" t="s">
        <v>639</v>
      </c>
      <c r="H818" s="2" t="s">
        <v>47</v>
      </c>
      <c r="I818" s="2" t="str">
        <f>IFERROR(__xludf.DUMMYFUNCTION("GOOGLETRANSLATE(C818,""fr"",""en"")"),"There is only the automatic profit which still works (at the beginning, debited 2 times and reimbursement not before 2 months), I have been waiting for a response to a Dentaine quote since ... 3 months. nothing works. Many errors, until you are mistaken b"&amp;"y omitting the spouse's security number (hence the file rejection). I feel like I have a wall in front of me!")</f>
        <v>There is only the automatic profit which still works (at the beginning, debited 2 times and reimbursement not before 2 months), I have been waiting for a response to a Dentaine quote since ... 3 months. nothing works. Many errors, until you are mistaken by omitting the spouse's security number (hence the file rejection). I feel like I have a wall in front of me!</v>
      </c>
    </row>
    <row r="819" ht="15.75" customHeight="1">
      <c r="A819" s="2">
        <v>2.0</v>
      </c>
      <c r="B819" s="2" t="s">
        <v>2290</v>
      </c>
      <c r="C819" s="2" t="s">
        <v>2291</v>
      </c>
      <c r="D819" s="2" t="s">
        <v>141</v>
      </c>
      <c r="E819" s="2" t="s">
        <v>14</v>
      </c>
      <c r="F819" s="2" t="s">
        <v>15</v>
      </c>
      <c r="G819" s="2" t="s">
        <v>1190</v>
      </c>
      <c r="H819" s="2" t="s">
        <v>613</v>
      </c>
      <c r="I819" s="2" t="str">
        <f>IFERROR(__xludf.DUMMYFUNCTION("GOOGLETRANSLATE(C819,""fr"",""en"")"),"Not had time to test their services, this stopped before the departure of the contract because they refused to provide me with the details of calculating the 1st invoice, moreover they presented a levy before the date of the contract before that I have re"&amp;"turned the signed contract! A very bad false start. Fortunately I escaped the continuation. I must specify that they sent me to the roses badly by trying to feel guilty under the pretext that I did not trust them, and that I could go to see elsewhere (whe"&amp;"re is the respect of the customer and his rights?)?)")</f>
        <v>Not had time to test their services, this stopped before the departure of the contract because they refused to provide me with the details of calculating the 1st invoice, moreover they presented a levy before the date of the contract before that I have returned the signed contract! A very bad false start. Fortunately I escaped the continuation. I must specify that they sent me to the roses badly by trying to feel guilty under the pretext that I did not trust them, and that I could go to see elsewhere (where is the respect of the customer and his rights?)?)</v>
      </c>
    </row>
    <row r="820" ht="15.75" customHeight="1">
      <c r="A820" s="2">
        <v>1.0</v>
      </c>
      <c r="B820" s="2" t="s">
        <v>2292</v>
      </c>
      <c r="C820" s="2" t="s">
        <v>2293</v>
      </c>
      <c r="D820" s="2" t="s">
        <v>219</v>
      </c>
      <c r="E820" s="2" t="s">
        <v>14</v>
      </c>
      <c r="F820" s="2" t="s">
        <v>15</v>
      </c>
      <c r="G820" s="2" t="s">
        <v>2294</v>
      </c>
      <c r="H820" s="2" t="s">
        <v>305</v>
      </c>
      <c r="I820" s="2" t="str">
        <f>IFERROR(__xludf.DUMMYFUNCTION("GOOGLETRANSLATE(C820,""fr"",""en"")"),"Incompetent, errors on the sequence twice with an expectation of one month to draw up a contract.
I'm not talking about waiting time on the phone.
We were in Allianz Lorette it was a nightmare")</f>
        <v>Incompetent, errors on the sequence twice with an expectation of one month to draw up a contract.
I'm not talking about waiting time on the phone.
We were in Allianz Lorette it was a nightmare</v>
      </c>
    </row>
    <row r="821" ht="15.75" customHeight="1">
      <c r="A821" s="2">
        <v>5.0</v>
      </c>
      <c r="B821" s="2" t="s">
        <v>2295</v>
      </c>
      <c r="C821" s="2" t="s">
        <v>2296</v>
      </c>
      <c r="D821" s="2" t="s">
        <v>30</v>
      </c>
      <c r="E821" s="2" t="s">
        <v>14</v>
      </c>
      <c r="F821" s="2" t="s">
        <v>15</v>
      </c>
      <c r="G821" s="2" t="s">
        <v>2297</v>
      </c>
      <c r="H821" s="2" t="s">
        <v>52</v>
      </c>
      <c r="I821" s="2" t="str">
        <f>IFERROR(__xludf.DUMMYFUNCTION("GOOGLETRANSLATE(C821,""fr"",""en"")"),"I am very satisfied with the service, it is fast, easy to understand, offered you other contracts, it is very good.
At the end of my other vehicle I count the insured at home")</f>
        <v>I am very satisfied with the service, it is fast, easy to understand, offered you other contracts, it is very good.
At the end of my other vehicle I count the insured at home</v>
      </c>
    </row>
    <row r="822" ht="15.75" customHeight="1">
      <c r="A822" s="2">
        <v>4.0</v>
      </c>
      <c r="B822" s="2" t="s">
        <v>2298</v>
      </c>
      <c r="C822" s="2" t="s">
        <v>2299</v>
      </c>
      <c r="D822" s="2" t="s">
        <v>50</v>
      </c>
      <c r="E822" s="2" t="s">
        <v>14</v>
      </c>
      <c r="F822" s="2" t="s">
        <v>15</v>
      </c>
      <c r="G822" s="2" t="s">
        <v>289</v>
      </c>
      <c r="H822" s="2" t="s">
        <v>32</v>
      </c>
      <c r="I822" s="2" t="str">
        <f>IFERROR(__xludf.DUMMYFUNCTION("GOOGLETRANSLATE(C822,""fr"",""en"")"),"explicit site, easy membership prices are very attractive
On the other hand navigation and far longer than the 5 minutes announced to fill the forms")</f>
        <v>explicit site, easy membership prices are very attractive
On the other hand navigation and far longer than the 5 minutes announced to fill the forms</v>
      </c>
    </row>
    <row r="823" ht="15.75" customHeight="1">
      <c r="A823" s="2">
        <v>5.0</v>
      </c>
      <c r="B823" s="2" t="s">
        <v>2300</v>
      </c>
      <c r="C823" s="2" t="s">
        <v>2301</v>
      </c>
      <c r="D823" s="2" t="s">
        <v>30</v>
      </c>
      <c r="E823" s="2" t="s">
        <v>14</v>
      </c>
      <c r="F823" s="2" t="s">
        <v>15</v>
      </c>
      <c r="G823" s="2" t="s">
        <v>2302</v>
      </c>
      <c r="H823" s="2" t="s">
        <v>64</v>
      </c>
      <c r="I823" s="2" t="str">
        <f>IFERROR(__xludf.DUMMYFUNCTION("GOOGLETRANSLATE(C823,""fr"",""en"")"),"I am very satisfied with the direct servic assurance prices suits me ... simple and practical I recommend direct insurance to my family and my friends efficient practical practical")</f>
        <v>I am very satisfied with the direct servic assurance prices suits me ... simple and practical I recommend direct insurance to my family and my friends efficient practical practical</v>
      </c>
    </row>
    <row r="824" ht="15.75" customHeight="1">
      <c r="A824" s="2">
        <v>5.0</v>
      </c>
      <c r="B824" s="2" t="s">
        <v>2303</v>
      </c>
      <c r="C824" s="2" t="s">
        <v>2304</v>
      </c>
      <c r="D824" s="2" t="s">
        <v>30</v>
      </c>
      <c r="E824" s="2" t="s">
        <v>14</v>
      </c>
      <c r="F824" s="2" t="s">
        <v>15</v>
      </c>
      <c r="G824" s="2" t="s">
        <v>2302</v>
      </c>
      <c r="H824" s="2" t="s">
        <v>64</v>
      </c>
      <c r="I824" s="2" t="str">
        <f>IFERROR(__xludf.DUMMYFUNCTION("GOOGLETRANSLATE(C824,""fr"",""en"")"),"I am very satisfied with the services you offer, fast and well detailed service!
And very attractive price compare to my old car insurance!")</f>
        <v>I am very satisfied with the services you offer, fast and well detailed service!
And very attractive price compare to my old car insurance!</v>
      </c>
    </row>
    <row r="825" ht="15.75" customHeight="1">
      <c r="A825" s="2">
        <v>3.0</v>
      </c>
      <c r="B825" s="2" t="s">
        <v>2305</v>
      </c>
      <c r="C825" s="2" t="s">
        <v>2306</v>
      </c>
      <c r="D825" s="2" t="s">
        <v>30</v>
      </c>
      <c r="E825" s="2" t="s">
        <v>14</v>
      </c>
      <c r="F825" s="2" t="s">
        <v>15</v>
      </c>
      <c r="G825" s="2" t="s">
        <v>46</v>
      </c>
      <c r="H825" s="2" t="s">
        <v>47</v>
      </c>
      <c r="I825" s="2" t="str">
        <f>IFERROR(__xludf.DUMMYFUNCTION("GOOGLETRANSLATE(C825,""fr"",""en"")"),"Satisfied since 2012, I nevertheless change insurer, your contributions increasing each year from 40 to 50 euros; which is many, you will agree - my new Pacifica insurer makes me a rate of 392.27 euros against 510 euros at home in 2020 ( Same guarantees!)"&amp;"-Same vehicle.")</f>
        <v>Satisfied since 2012, I nevertheless change insurer, your contributions increasing each year from 40 to 50 euros; which is many, you will agree - my new Pacifica insurer makes me a rate of 392.27 euros against 510 euros at home in 2020 ( Same guarantees!)-Same vehicle.</v>
      </c>
    </row>
    <row r="826" ht="15.75" customHeight="1">
      <c r="A826" s="2">
        <v>1.0</v>
      </c>
      <c r="B826" s="2" t="s">
        <v>2307</v>
      </c>
      <c r="C826" s="2" t="s">
        <v>2308</v>
      </c>
      <c r="D826" s="2" t="s">
        <v>329</v>
      </c>
      <c r="E826" s="2" t="s">
        <v>68</v>
      </c>
      <c r="F826" s="2" t="s">
        <v>15</v>
      </c>
      <c r="G826" s="2" t="s">
        <v>2309</v>
      </c>
      <c r="H826" s="2" t="s">
        <v>424</v>
      </c>
      <c r="I826" s="2" t="str">
        <f>IFERROR(__xludf.DUMMYFUNCTION("GOOGLETRANSLATE(C826,""fr"",""en"")"),"I do not recommend this insurance at all. As long as you don't have a sinister and you are up to date in your monthly payments, everything is fine. But as soon as you encounter a difficulty for which you are not responsible (even after 13 years of seniori"&amp;"ty without disaster), the Macif sends you its experts very well trained not to compensate you, when they are supposed to come help and advise you (see the site of Eurexo experts). I am very disappointed with the Macif and Dubitative as to their united val"&amp;"ues ​​?? !!")</f>
        <v>I do not recommend this insurance at all. As long as you don't have a sinister and you are up to date in your monthly payments, everything is fine. But as soon as you encounter a difficulty for which you are not responsible (even after 13 years of seniority without disaster), the Macif sends you its experts very well trained not to compensate you, when they are supposed to come help and advise you (see the site of Eurexo experts). I am very disappointed with the Macif and Dubitative as to their united values ​​?? !!</v>
      </c>
    </row>
    <row r="827" ht="15.75" customHeight="1">
      <c r="A827" s="2">
        <v>1.0</v>
      </c>
      <c r="B827" s="2" t="s">
        <v>2310</v>
      </c>
      <c r="C827" s="2" t="s">
        <v>2311</v>
      </c>
      <c r="D827" s="2" t="s">
        <v>30</v>
      </c>
      <c r="E827" s="2" t="s">
        <v>14</v>
      </c>
      <c r="F827" s="2" t="s">
        <v>15</v>
      </c>
      <c r="G827" s="2" t="s">
        <v>2312</v>
      </c>
      <c r="H827" s="2" t="s">
        <v>159</v>
      </c>
      <c r="I827" s="2" t="str">
        <f>IFERROR(__xludf.DUMMYFUNCTION("GOOGLETRANSLATE(C827,""fr"",""en"")"),"Breakdown franchise, bad follow -up of files, and contact with the very complicated platform because not in France, and does not take into account the letters we send them.
I will really not recommend this insurance around me.")</f>
        <v>Breakdown franchise, bad follow -up of files, and contact with the very complicated platform because not in France, and does not take into account the letters we send them.
I will really not recommend this insurance around me.</v>
      </c>
    </row>
    <row r="828" ht="15.75" customHeight="1">
      <c r="A828" s="2">
        <v>1.0</v>
      </c>
      <c r="B828" s="2" t="s">
        <v>2313</v>
      </c>
      <c r="C828" s="2" t="s">
        <v>2314</v>
      </c>
      <c r="D828" s="2" t="s">
        <v>30</v>
      </c>
      <c r="E828" s="2" t="s">
        <v>14</v>
      </c>
      <c r="F828" s="2" t="s">
        <v>15</v>
      </c>
      <c r="G828" s="2" t="s">
        <v>73</v>
      </c>
      <c r="H828" s="2" t="s">
        <v>52</v>
      </c>
      <c r="I828" s="2" t="str">
        <f>IFERROR(__xludf.DUMMYFUNCTION("GOOGLETRANSLATE(C828,""fr"",""en"")"),"The worst insurance on the market. Because of the crisis, I lost everything. Financially I was able to pay the monthly payment and Direct Insurance had terminated my contract even if we had telephone conversations. In addition they asked me to repay the s"&amp;"ubscription to a full year. The French mafia. To avoid")</f>
        <v>The worst insurance on the market. Because of the crisis, I lost everything. Financially I was able to pay the monthly payment and Direct Insurance had terminated my contract even if we had telephone conversations. In addition they asked me to repay the subscription to a full year. The French mafia. To avoid</v>
      </c>
    </row>
    <row r="829" ht="15.75" customHeight="1">
      <c r="A829" s="2">
        <v>2.0</v>
      </c>
      <c r="B829" s="2" t="s">
        <v>2315</v>
      </c>
      <c r="C829" s="2" t="s">
        <v>2316</v>
      </c>
      <c r="D829" s="2" t="s">
        <v>296</v>
      </c>
      <c r="E829" s="2" t="s">
        <v>68</v>
      </c>
      <c r="F829" s="2" t="s">
        <v>15</v>
      </c>
      <c r="G829" s="2" t="s">
        <v>2317</v>
      </c>
      <c r="H829" s="2" t="s">
        <v>96</v>
      </c>
      <c r="I829" s="2" t="str">
        <f>IFERROR(__xludf.DUMMYFUNCTION("GOOGLETRANSLATE(C829,""fr"",""en"")"),"Decreases the guarantees in order to offer a competitive rate.
We only realize it when there is a disaster.
No dialogue.")</f>
        <v>Decreases the guarantees in order to offer a competitive rate.
We only realize it when there is a disaster.
No dialogue.</v>
      </c>
    </row>
    <row r="830" ht="15.75" customHeight="1">
      <c r="A830" s="2">
        <v>4.0</v>
      </c>
      <c r="B830" s="2" t="s">
        <v>2318</v>
      </c>
      <c r="C830" s="2" t="s">
        <v>2319</v>
      </c>
      <c r="D830" s="2" t="s">
        <v>30</v>
      </c>
      <c r="E830" s="2" t="s">
        <v>14</v>
      </c>
      <c r="F830" s="2" t="s">
        <v>15</v>
      </c>
      <c r="G830" s="2" t="s">
        <v>1112</v>
      </c>
      <c r="H830" s="2" t="s">
        <v>47</v>
      </c>
      <c r="I830" s="2" t="str">
        <f>IFERROR(__xludf.DUMMYFUNCTION("GOOGLETRANSLATE(C830,""fr"",""en"")"),"I am satisfied with the service.
However, I would have liked to benefit from a discount because I am now new customer.
Simple and fun site to do the procedures")</f>
        <v>I am satisfied with the service.
However, I would have liked to benefit from a discount because I am now new customer.
Simple and fun site to do the procedures</v>
      </c>
    </row>
    <row r="831" ht="15.75" customHeight="1">
      <c r="A831" s="2">
        <v>3.0</v>
      </c>
      <c r="B831" s="2" t="s">
        <v>2320</v>
      </c>
      <c r="C831" s="2" t="s">
        <v>2321</v>
      </c>
      <c r="D831" s="2" t="s">
        <v>30</v>
      </c>
      <c r="E831" s="2" t="s">
        <v>14</v>
      </c>
      <c r="F831" s="2" t="s">
        <v>15</v>
      </c>
      <c r="G831" s="2" t="s">
        <v>891</v>
      </c>
      <c r="H831" s="2" t="s">
        <v>237</v>
      </c>
      <c r="I831" s="2" t="str">
        <f>IFERROR(__xludf.DUMMYFUNCTION("GOOGLETRANSLATE(C831,""fr"",""en"")"),"At the beginning nothing to say then come for the time of termination and it has been for 1 month and 10 days that I expect how to transform a customer satisfied into a lost customer I waited for 28 minutes to hear the transfer was made on 5/01 bizaraly I"&amp;" call 8/01 and 13/01 still nothing")</f>
        <v>At the beginning nothing to say then come for the time of termination and it has been for 1 month and 10 days that I expect how to transform a customer satisfied into a lost customer I waited for 28 minutes to hear the transfer was made on 5/01 bizaraly I call 8/01 and 13/01 still nothing</v>
      </c>
    </row>
    <row r="832" ht="15.75" customHeight="1">
      <c r="A832" s="2">
        <v>5.0</v>
      </c>
      <c r="B832" s="2" t="s">
        <v>2322</v>
      </c>
      <c r="C832" s="2" t="s">
        <v>2323</v>
      </c>
      <c r="D832" s="2" t="s">
        <v>35</v>
      </c>
      <c r="E832" s="2" t="s">
        <v>36</v>
      </c>
      <c r="F832" s="2" t="s">
        <v>15</v>
      </c>
      <c r="G832" s="2" t="s">
        <v>2324</v>
      </c>
      <c r="H832" s="2" t="s">
        <v>387</v>
      </c>
      <c r="I832" s="2" t="str">
        <f>IFERROR(__xludf.DUMMYFUNCTION("GOOGLETRANSLATE(C832,""fr"",""en"")"),"Clear in explanations, well -surrounded needs")</f>
        <v>Clear in explanations, well -surrounded needs</v>
      </c>
    </row>
    <row r="833" ht="15.75" customHeight="1">
      <c r="A833" s="2">
        <v>3.0</v>
      </c>
      <c r="B833" s="2" t="s">
        <v>2325</v>
      </c>
      <c r="C833" s="2" t="s">
        <v>2326</v>
      </c>
      <c r="D833" s="2" t="s">
        <v>481</v>
      </c>
      <c r="E833" s="2" t="s">
        <v>111</v>
      </c>
      <c r="F833" s="2" t="s">
        <v>15</v>
      </c>
      <c r="G833" s="2" t="s">
        <v>2327</v>
      </c>
      <c r="H833" s="2" t="s">
        <v>159</v>
      </c>
      <c r="I833" s="2" t="str">
        <f>IFERROR(__xludf.DUMMYFUNCTION("GOOGLETRANSLATE(C833,""fr"",""en"")"),"I am satisfied with prices and services, but being already a customer I do not find normal that we must all re -register permit! validity date
! Bonus !! While you have all these documents, it would be easier to update your database thanks to the custome"&amp;"r number !!! Regards Aurélien.")</f>
        <v>I am satisfied with prices and services, but being already a customer I do not find normal that we must all re -register permit! validity date
! Bonus !! While you have all these documents, it would be easier to update your database thanks to the customer number !!! Regards Aurélien.</v>
      </c>
    </row>
    <row r="834" ht="15.75" customHeight="1">
      <c r="A834" s="2">
        <v>3.0</v>
      </c>
      <c r="B834" s="2" t="s">
        <v>2328</v>
      </c>
      <c r="C834" s="2" t="s">
        <v>2329</v>
      </c>
      <c r="D834" s="2" t="s">
        <v>50</v>
      </c>
      <c r="E834" s="2" t="s">
        <v>14</v>
      </c>
      <c r="F834" s="2" t="s">
        <v>15</v>
      </c>
      <c r="G834" s="2" t="s">
        <v>904</v>
      </c>
      <c r="H834" s="2" t="s">
        <v>107</v>
      </c>
      <c r="I834" s="2" t="str">
        <f>IFERROR(__xludf.DUMMYFUNCTION("GOOGLETRANSLATE(C834,""fr"",""en"")"),"Rather satisfied even if a long procedure, beautiful models and honorable sellers, it is subsequently if, in the best of cases will be satisfied or not of this insurance")</f>
        <v>Rather satisfied even if a long procedure, beautiful models and honorable sellers, it is subsequently if, in the best of cases will be satisfied or not of this insurance</v>
      </c>
    </row>
    <row r="835" ht="15.75" customHeight="1">
      <c r="A835" s="2">
        <v>1.0</v>
      </c>
      <c r="B835" s="2" t="s">
        <v>2330</v>
      </c>
      <c r="C835" s="2" t="s">
        <v>2331</v>
      </c>
      <c r="D835" s="2" t="s">
        <v>30</v>
      </c>
      <c r="E835" s="2" t="s">
        <v>14</v>
      </c>
      <c r="F835" s="2" t="s">
        <v>15</v>
      </c>
      <c r="G835" s="2" t="s">
        <v>2332</v>
      </c>
      <c r="H835" s="2" t="s">
        <v>613</v>
      </c>
      <c r="I835" s="2" t="str">
        <f>IFERROR(__xludf.DUMMYFUNCTION("GOOGLETRANSLATE(C835,""fr"",""en"")"),"Malus increase in the premium I am told disaster responsible in April 2018 declared June 2018 I have never declared a claim or had an accident their request copy of the observation signed I await 15 dps JRS")</f>
        <v>Malus increase in the premium I am told disaster responsible in April 2018 declared June 2018 I have never declared a claim or had an accident their request copy of the observation signed I await 15 dps JRS</v>
      </c>
    </row>
    <row r="836" ht="15.75" customHeight="1">
      <c r="A836" s="2">
        <v>5.0</v>
      </c>
      <c r="B836" s="2" t="s">
        <v>2333</v>
      </c>
      <c r="C836" s="2" t="s">
        <v>2334</v>
      </c>
      <c r="D836" s="2" t="s">
        <v>481</v>
      </c>
      <c r="E836" s="2" t="s">
        <v>111</v>
      </c>
      <c r="F836" s="2" t="s">
        <v>15</v>
      </c>
      <c r="G836" s="2" t="s">
        <v>330</v>
      </c>
      <c r="H836" s="2" t="s">
        <v>192</v>
      </c>
      <c r="I836" s="2" t="str">
        <f>IFERROR(__xludf.DUMMYFUNCTION("GOOGLETRANSLATE(C836,""fr"",""en"")"),"The advisor was perfect
he knew how to inform me very precisely.
He knew how to advise me according to my habits of displacements")</f>
        <v>The advisor was perfect
he knew how to inform me very precisely.
He knew how to advise me according to my habits of displacements</v>
      </c>
    </row>
    <row r="837" ht="15.75" customHeight="1">
      <c r="A837" s="2">
        <v>1.0</v>
      </c>
      <c r="B837" s="2" t="s">
        <v>2335</v>
      </c>
      <c r="C837" s="2" t="s">
        <v>2336</v>
      </c>
      <c r="D837" s="2" t="s">
        <v>85</v>
      </c>
      <c r="E837" s="2" t="s">
        <v>36</v>
      </c>
      <c r="F837" s="2" t="s">
        <v>15</v>
      </c>
      <c r="G837" s="2" t="s">
        <v>410</v>
      </c>
      <c r="H837" s="2" t="s">
        <v>32</v>
      </c>
      <c r="I837" s="2" t="str">
        <f>IFERROR(__xludf.DUMMYFUNCTION("GOOGLETRANSLATE(C837,""fr"",""en"")"),"No refund for 3 months. Multiple reminders by phone and email, no return. After 2 months mail received indicating a litigation contract. Call confirming an internal management error. Last recovery, the interlocutor hangs up.")</f>
        <v>No refund for 3 months. Multiple reminders by phone and email, no return. After 2 months mail received indicating a litigation contract. Call confirming an internal management error. Last recovery, the interlocutor hangs up.</v>
      </c>
    </row>
    <row r="838" ht="15.75" customHeight="1">
      <c r="A838" s="2">
        <v>5.0</v>
      </c>
      <c r="B838" s="2" t="s">
        <v>2337</v>
      </c>
      <c r="C838" s="2" t="s">
        <v>2338</v>
      </c>
      <c r="D838" s="2" t="s">
        <v>30</v>
      </c>
      <c r="E838" s="2" t="s">
        <v>14</v>
      </c>
      <c r="F838" s="2" t="s">
        <v>15</v>
      </c>
      <c r="G838" s="2" t="s">
        <v>2339</v>
      </c>
      <c r="H838" s="2" t="s">
        <v>38</v>
      </c>
      <c r="I838" s="2" t="str">
        <f>IFERROR(__xludf.DUMMYFUNCTION("GOOGLETRANSLATE(C838,""fr"",""en"")"),"I am satisfied on speed, and your seriousness. I recommend direct insurance to my entourage. Great price and offers on various insurance contracts.")</f>
        <v>I am satisfied on speed, and your seriousness. I recommend direct insurance to my entourage. Great price and offers on various insurance contracts.</v>
      </c>
    </row>
    <row r="839" ht="15.75" customHeight="1">
      <c r="A839" s="2">
        <v>5.0</v>
      </c>
      <c r="B839" s="2" t="s">
        <v>2340</v>
      </c>
      <c r="C839" s="2" t="s">
        <v>2341</v>
      </c>
      <c r="D839" s="2" t="s">
        <v>145</v>
      </c>
      <c r="E839" s="2" t="s">
        <v>111</v>
      </c>
      <c r="F839" s="2" t="s">
        <v>15</v>
      </c>
      <c r="G839" s="2" t="s">
        <v>1898</v>
      </c>
      <c r="H839" s="2" t="s">
        <v>981</v>
      </c>
      <c r="I839" s="2" t="str">
        <f>IFERROR(__xludf.DUMMYFUNCTION("GOOGLETRANSLATE(C839,""fr"",""en"")"),"Very professional reasonable rates and advisers always listening. It is always risky to take insurance via the internet but with AMV I was immediately in confidence and I do not regret it.")</f>
        <v>Very professional reasonable rates and advisers always listening. It is always risky to take insurance via the internet but with AMV I was immediately in confidence and I do not regret it.</v>
      </c>
    </row>
    <row r="840" ht="15.75" customHeight="1">
      <c r="A840" s="2">
        <v>4.0</v>
      </c>
      <c r="B840" s="2" t="s">
        <v>2342</v>
      </c>
      <c r="C840" s="2" t="s">
        <v>2343</v>
      </c>
      <c r="D840" s="2" t="s">
        <v>30</v>
      </c>
      <c r="E840" s="2" t="s">
        <v>14</v>
      </c>
      <c r="F840" s="2" t="s">
        <v>15</v>
      </c>
      <c r="G840" s="2" t="s">
        <v>73</v>
      </c>
      <c r="H840" s="2" t="s">
        <v>52</v>
      </c>
      <c r="I840" s="2" t="str">
        <f>IFERROR(__xludf.DUMMYFUNCTION("GOOGLETRANSLATE(C840,""fr"",""en"")"),"I am satisfied with the proposals given, good responsiveness, difficulties in being understood by an agent either who does not speak well our language, or by a telecommunications equipment of not very good quality, otherwise things went pretty well")</f>
        <v>I am satisfied with the proposals given, good responsiveness, difficulties in being understood by an agent either who does not speak well our language, or by a telecommunications equipment of not very good quality, otherwise things went pretty well</v>
      </c>
    </row>
    <row r="841" ht="15.75" customHeight="1">
      <c r="A841" s="2">
        <v>4.0</v>
      </c>
      <c r="B841" s="2" t="s">
        <v>2344</v>
      </c>
      <c r="C841" s="2" t="s">
        <v>2345</v>
      </c>
      <c r="D841" s="2" t="s">
        <v>30</v>
      </c>
      <c r="E841" s="2" t="s">
        <v>14</v>
      </c>
      <c r="F841" s="2" t="s">
        <v>15</v>
      </c>
      <c r="G841" s="2" t="s">
        <v>1055</v>
      </c>
      <c r="H841" s="2" t="s">
        <v>159</v>
      </c>
      <c r="I841" s="2" t="str">
        <f>IFERROR(__xludf.DUMMYFUNCTION("GOOGLETRANSLATE(C841,""fr"",""en"")"),"Very satisfied with the service: in the event of a dispute, speed and efficiency observed for the management of the claim.
Green cards sent in advance; appreciable service.")</f>
        <v>Very satisfied with the service: in the event of a dispute, speed and efficiency observed for the management of the claim.
Green cards sent in advance; appreciable service.</v>
      </c>
    </row>
    <row r="842" ht="15.75" customHeight="1">
      <c r="A842" s="2">
        <v>1.0</v>
      </c>
      <c r="B842" s="2" t="s">
        <v>2346</v>
      </c>
      <c r="C842" s="2" t="s">
        <v>2347</v>
      </c>
      <c r="D842" s="2" t="s">
        <v>30</v>
      </c>
      <c r="E842" s="2" t="s">
        <v>14</v>
      </c>
      <c r="F842" s="2" t="s">
        <v>15</v>
      </c>
      <c r="G842" s="2" t="s">
        <v>1790</v>
      </c>
      <c r="H842" s="2" t="s">
        <v>47</v>
      </c>
      <c r="I842" s="2" t="str">
        <f>IFERROR(__xludf.DUMMYFUNCTION("GOOGLETRANSLATE(C842,""fr"",""en"")"),"We paid an auto contract which was actually a duplicate of the contract we already had, our Fiat 500 car was therefore not ensured over a long period, except that the contributions have been taken twice for the same vehicle the Fiat 500.
We are waiting f"&amp;"or the return of your service to obtain the reimbursement of contributions relating to this error.")</f>
        <v>We paid an auto contract which was actually a duplicate of the contract we already had, our Fiat 500 car was therefore not ensured over a long period, except that the contributions have been taken twice for the same vehicle the Fiat 500.
We are waiting for the return of your service to obtain the reimbursement of contributions relating to this error.</v>
      </c>
    </row>
    <row r="843" ht="15.75" customHeight="1">
      <c r="A843" s="2">
        <v>1.0</v>
      </c>
      <c r="B843" s="2" t="s">
        <v>2348</v>
      </c>
      <c r="C843" s="2" t="s">
        <v>2349</v>
      </c>
      <c r="D843" s="2" t="s">
        <v>35</v>
      </c>
      <c r="E843" s="2" t="s">
        <v>36</v>
      </c>
      <c r="F843" s="2" t="s">
        <v>15</v>
      </c>
      <c r="G843" s="2" t="s">
        <v>202</v>
      </c>
      <c r="H843" s="2" t="s">
        <v>47</v>
      </c>
      <c r="I843" s="2" t="str">
        <f>IFERROR(__xludf.DUMMYFUNCTION("GOOGLETRANSLATE(C843,""fr"",""en"")"),"When the mutual contract is subscribed, we stick a death insurance without precision over the duration of the contract and the possible termination, and when you build the mutual contract, you are forced to continue the death insurance because the termina"&amp;"tion methods are different , so you left for a year, big deception ...
Deplorable follow -up and zero communication, to flee ...")</f>
        <v>When the mutual contract is subscribed, we stick a death insurance without precision over the duration of the contract and the possible termination, and when you build the mutual contract, you are forced to continue the death insurance because the termination methods are different , so you left for a year, big deception ...
Deplorable follow -up and zero communication, to flee ...</v>
      </c>
    </row>
    <row r="844" ht="15.75" customHeight="1">
      <c r="A844" s="2">
        <v>1.0</v>
      </c>
      <c r="B844" s="2" t="s">
        <v>2350</v>
      </c>
      <c r="C844" s="2" t="s">
        <v>2351</v>
      </c>
      <c r="D844" s="2" t="s">
        <v>134</v>
      </c>
      <c r="E844" s="2" t="s">
        <v>36</v>
      </c>
      <c r="F844" s="2" t="s">
        <v>15</v>
      </c>
      <c r="G844" s="2" t="s">
        <v>2352</v>
      </c>
      <c r="H844" s="2" t="s">
        <v>981</v>
      </c>
      <c r="I844" s="2" t="str">
        <f>IFERROR(__xludf.DUMMYFUNCTION("GOOGLETRANSLATE(C844,""fr"",""en"")"),"They never receive the recommended for termination. No matter how much we tell them and write 6 months in advance they dare to say that one received nothing. Impossible to reach them.")</f>
        <v>They never receive the recommended for termination. No matter how much we tell them and write 6 months in advance they dare to say that one received nothing. Impossible to reach them.</v>
      </c>
    </row>
    <row r="845" ht="15.75" customHeight="1">
      <c r="A845" s="2">
        <v>5.0</v>
      </c>
      <c r="B845" s="2" t="s">
        <v>2353</v>
      </c>
      <c r="C845" s="2" t="s">
        <v>2354</v>
      </c>
      <c r="D845" s="2" t="s">
        <v>571</v>
      </c>
      <c r="E845" s="2" t="s">
        <v>80</v>
      </c>
      <c r="F845" s="2" t="s">
        <v>15</v>
      </c>
      <c r="G845" s="2" t="s">
        <v>673</v>
      </c>
      <c r="H845" s="2" t="s">
        <v>107</v>
      </c>
      <c r="I845" s="2" t="str">
        <f>IFERROR(__xludf.DUMMYFUNCTION("GOOGLETRANSLATE(C845,""fr"",""en"")"),"I am very satisfied with the service and highly recommend it. It is very easy to use and the team and very effective. Very good service and reactivitis")</f>
        <v>I am very satisfied with the service and highly recommend it. It is very easy to use and the team and very effective. Very good service and reactivitis</v>
      </c>
    </row>
    <row r="846" ht="15.75" customHeight="1">
      <c r="A846" s="2">
        <v>5.0</v>
      </c>
      <c r="B846" s="2" t="s">
        <v>2355</v>
      </c>
      <c r="C846" s="2" t="s">
        <v>2356</v>
      </c>
      <c r="D846" s="2" t="s">
        <v>50</v>
      </c>
      <c r="E846" s="2" t="s">
        <v>14</v>
      </c>
      <c r="F846" s="2" t="s">
        <v>15</v>
      </c>
      <c r="G846" s="2" t="s">
        <v>64</v>
      </c>
      <c r="H846" s="2" t="s">
        <v>64</v>
      </c>
      <c r="I846" s="2" t="str">
        <f>IFERROR(__xludf.DUMMYFUNCTION("GOOGLETRANSLATE(C846,""fr"",""en"")"),"Third contract that I subscribe with the olive tree, always satisfied. A few years ago I was confronted with a disaster and everything went perfectly")</f>
        <v>Third contract that I subscribe with the olive tree, always satisfied. A few years ago I was confronted with a disaster and everything went perfectly</v>
      </c>
    </row>
    <row r="847" ht="15.75" customHeight="1">
      <c r="A847" s="2">
        <v>1.0</v>
      </c>
      <c r="B847" s="2" t="s">
        <v>2357</v>
      </c>
      <c r="C847" s="2" t="s">
        <v>2358</v>
      </c>
      <c r="D847" s="2" t="s">
        <v>296</v>
      </c>
      <c r="E847" s="2" t="s">
        <v>14</v>
      </c>
      <c r="F847" s="2" t="s">
        <v>15</v>
      </c>
      <c r="G847" s="2" t="s">
        <v>198</v>
      </c>
      <c r="H847" s="2" t="s">
        <v>199</v>
      </c>
      <c r="I847" s="2" t="str">
        <f>IFERROR(__xludf.DUMMYFUNCTION("GOOGLETRANSLATE(C847,""fr"",""en"")"),"My father is insured, he explains the PBS he had and this morning because he was dared to terminate the legal assisted contract (which he never wanted) they resound his insurance. It is true that it is my father's fault who is on his sofa if the factory s"&amp;"mashed her trunk")</f>
        <v>My father is insured, he explains the PBS he had and this morning because he was dared to terminate the legal assisted contract (which he never wanted) they resound his insurance. It is true that it is my father's fault who is on his sofa if the factory smashed her trunk</v>
      </c>
    </row>
    <row r="848" ht="15.75" customHeight="1">
      <c r="A848" s="2">
        <v>5.0</v>
      </c>
      <c r="B848" s="2" t="s">
        <v>2359</v>
      </c>
      <c r="C848" s="2" t="s">
        <v>2360</v>
      </c>
      <c r="D848" s="2" t="s">
        <v>50</v>
      </c>
      <c r="E848" s="2" t="s">
        <v>14</v>
      </c>
      <c r="F848" s="2" t="s">
        <v>15</v>
      </c>
      <c r="G848" s="2" t="s">
        <v>2361</v>
      </c>
      <c r="H848" s="2" t="s">
        <v>52</v>
      </c>
      <c r="I848" s="2" t="str">
        <f>IFERROR(__xludf.DUMMYFUNCTION("GOOGLETRANSLATE(C848,""fr"",""en"")"),"Perfect,
Super offer, I recommend for all my colleagues at work and my friends.
Continue like this.
I will share it on my social networks and everywhere")</f>
        <v>Perfect,
Super offer, I recommend for all my colleagues at work and my friends.
Continue like this.
I will share it on my social networks and everywhere</v>
      </c>
    </row>
    <row r="849" ht="15.75" customHeight="1">
      <c r="A849" s="2">
        <v>2.0</v>
      </c>
      <c r="B849" s="2" t="s">
        <v>2362</v>
      </c>
      <c r="C849" s="2" t="s">
        <v>2363</v>
      </c>
      <c r="D849" s="2" t="s">
        <v>2001</v>
      </c>
      <c r="E849" s="2" t="s">
        <v>68</v>
      </c>
      <c r="F849" s="2" t="s">
        <v>15</v>
      </c>
      <c r="G849" s="2" t="s">
        <v>2364</v>
      </c>
      <c r="H849" s="2" t="s">
        <v>1553</v>
      </c>
      <c r="I849" s="2" t="str">
        <f>IFERROR(__xludf.DUMMYFUNCTION("GOOGLETRANSLATE(C849,""fr"",""en"")"),"After a storm of the roof tiles and the portal flew. Impossible to contact SOGESSUR by phone and when I succeeded in an expert had to contact me for 11 days that I am waiting for my husband was forced to take a day of vacancy and we repaired the roof us s"&amp;"ame: purchase of tiles, evacuation of broken tiles and poses so that our house will not take the water for the portal we don't know!
There is a lot of burglary and I don't even feel safe.")</f>
        <v>After a storm of the roof tiles and the portal flew. Impossible to contact SOGESSUR by phone and when I succeeded in an expert had to contact me for 11 days that I am waiting for my husband was forced to take a day of vacancy and we repaired the roof us same: purchase of tiles, evacuation of broken tiles and poses so that our house will not take the water for the portal we don't know!
There is a lot of burglary and I don't even feel safe.</v>
      </c>
    </row>
    <row r="850" ht="15.75" customHeight="1">
      <c r="A850" s="2">
        <v>5.0</v>
      </c>
      <c r="B850" s="2" t="s">
        <v>2365</v>
      </c>
      <c r="C850" s="2" t="s">
        <v>2366</v>
      </c>
      <c r="D850" s="2" t="s">
        <v>30</v>
      </c>
      <c r="E850" s="2" t="s">
        <v>14</v>
      </c>
      <c r="F850" s="2" t="s">
        <v>15</v>
      </c>
      <c r="G850" s="2" t="s">
        <v>38</v>
      </c>
      <c r="H850" s="2" t="s">
        <v>38</v>
      </c>
      <c r="I850" s="2" t="str">
        <f>IFERROR(__xludf.DUMMYFUNCTION("GOOGLETRANSLATE(C850,""fr"",""en"")"),"The price suits me the site and easy to use. A plus everything is very clear hoping not to be on it afterwards. Thank you for the ease of access")</f>
        <v>The price suits me the site and easy to use. A plus everything is very clear hoping not to be on it afterwards. Thank you for the ease of access</v>
      </c>
    </row>
    <row r="851" ht="15.75" customHeight="1">
      <c r="A851" s="2">
        <v>4.0</v>
      </c>
      <c r="B851" s="2" t="s">
        <v>2367</v>
      </c>
      <c r="C851" s="2" t="s">
        <v>2368</v>
      </c>
      <c r="D851" s="2" t="s">
        <v>50</v>
      </c>
      <c r="E851" s="2" t="s">
        <v>14</v>
      </c>
      <c r="F851" s="2" t="s">
        <v>15</v>
      </c>
      <c r="G851" s="2" t="s">
        <v>1662</v>
      </c>
      <c r="H851" s="2" t="s">
        <v>107</v>
      </c>
      <c r="I851" s="2" t="str">
        <f>IFERROR(__xludf.DUMMYFUNCTION("GOOGLETRANSLATE(C851,""fr"",""en"")"),"Simple and effective, waiting time is not too long
Quick quote and immediate contract
Quality reception, the explanations are clear and the options are recommended but not imposed")</f>
        <v>Simple and effective, waiting time is not too long
Quick quote and immediate contract
Quality reception, the explanations are clear and the options are recommended but not imposed</v>
      </c>
    </row>
    <row r="852" ht="15.75" customHeight="1">
      <c r="A852" s="2">
        <v>1.0</v>
      </c>
      <c r="B852" s="2" t="s">
        <v>2369</v>
      </c>
      <c r="C852" s="2" t="s">
        <v>2370</v>
      </c>
      <c r="D852" s="2" t="s">
        <v>184</v>
      </c>
      <c r="E852" s="2" t="s">
        <v>36</v>
      </c>
      <c r="F852" s="2" t="s">
        <v>15</v>
      </c>
      <c r="G852" s="2" t="s">
        <v>2371</v>
      </c>
      <c r="H852" s="2" t="s">
        <v>424</v>
      </c>
      <c r="I852" s="2" t="str">
        <f>IFERROR(__xludf.DUMMYFUNCTION("GOOGLETRANSLATE(C852,""fr"",""en"")"),"Deplorable customer service. It took three months to attach my child to my account, I had to advance SS and mutual during this time (hundreds of euros), it could have been very difficult for some and undermine the health of their child. And again it was d"&amp;"one because I recalled 3 times! My letters are never treated (lost? Given the price of the stamp it's not worth it!). I wrote an email to the director of my section La, I never had an answer from him. Communication to review and management of files")</f>
        <v>Deplorable customer service. It took three months to attach my child to my account, I had to advance SS and mutual during this time (hundreds of euros), it could have been very difficult for some and undermine the health of their child. And again it was done because I recalled 3 times! My letters are never treated (lost? Given the price of the stamp it's not worth it!). I wrote an email to the director of my section La, I never had an answer from him. Communication to review and management of files</v>
      </c>
    </row>
    <row r="853" ht="15.75" customHeight="1">
      <c r="A853" s="2">
        <v>2.0</v>
      </c>
      <c r="B853" s="2" t="s">
        <v>2372</v>
      </c>
      <c r="C853" s="2" t="s">
        <v>2373</v>
      </c>
      <c r="D853" s="2" t="s">
        <v>141</v>
      </c>
      <c r="E853" s="2" t="s">
        <v>68</v>
      </c>
      <c r="F853" s="2" t="s">
        <v>15</v>
      </c>
      <c r="G853" s="2" t="s">
        <v>2374</v>
      </c>
      <c r="H853" s="2" t="s">
        <v>32</v>
      </c>
      <c r="I853" s="2" t="str">
        <f>IFERROR(__xludf.DUMMYFUNCTION("GOOGLETRANSLATE(C853,""fr"",""en"")"),"Victim of a tear of the pool liner (a big year old) by a tier I am amazed by the turn of things, indeed I explain myself: I have been a member of Maif insurance for 35 years and I Learn yesterday that to be able to bring in a certainly partial reimburseme"&amp;"nt of my damage which amounts to € 380 (price of the new liner) an expert was mandated by my insurance for appraisal a tear of liner and that an insurance expert opposing could also move it is the procedure. I live 60 km from Bordeaux by the sea and I wil"&amp;"l therefore have to ask for this care to trigger experts of a value much higher than the damaged part. But fortunately that well -trained experts will be able to justify That it is indeed a tear because the declaration on the honor made by the two parties"&amp;" could be called into question by expert opinion.
I am sorry for all the members who will have to pay this masquerade!
If you have money to spend in this way is that you could more seriously lower our monthly payments you don't believe?.
")</f>
        <v>Victim of a tear of the pool liner (a big year old) by a tier I am amazed by the turn of things, indeed I explain myself: I have been a member of Maif insurance for 35 years and I Learn yesterday that to be able to bring in a certainly partial reimbursement of my damage which amounts to € 380 (price of the new liner) an expert was mandated by my insurance for appraisal a tear of liner and that an insurance expert opposing could also move it is the procedure. I live 60 km from Bordeaux by the sea and I will therefore have to ask for this care to trigger experts of a value much higher than the damaged part. But fortunately that well -trained experts will be able to justify That it is indeed a tear because the declaration on the honor made by the two parties could be called into question by expert opinion.
I am sorry for all the members who will have to pay this masquerade!
If you have money to spend in this way is that you could more seriously lower our monthly payments you don't believe?.
</v>
      </c>
    </row>
    <row r="854" ht="15.75" customHeight="1">
      <c r="A854" s="2">
        <v>3.0</v>
      </c>
      <c r="B854" s="2" t="s">
        <v>2375</v>
      </c>
      <c r="C854" s="2" t="s">
        <v>2376</v>
      </c>
      <c r="D854" s="2" t="s">
        <v>30</v>
      </c>
      <c r="E854" s="2" t="s">
        <v>14</v>
      </c>
      <c r="F854" s="2" t="s">
        <v>15</v>
      </c>
      <c r="G854" s="2" t="s">
        <v>76</v>
      </c>
      <c r="H854" s="2" t="s">
        <v>52</v>
      </c>
      <c r="I854" s="2" t="str">
        <f>IFERROR(__xludf.DUMMYFUNCTION("GOOGLETRANSLATE(C854,""fr"",""en"")"),"Customer service is very responsive and efficient but I realized that the practical competition of much more advantageous prices especially when you provide several vehicles.")</f>
        <v>Customer service is very responsive and efficient but I realized that the practical competition of much more advantageous prices especially when you provide several vehicles.</v>
      </c>
    </row>
    <row r="855" ht="15.75" customHeight="1">
      <c r="A855" s="2">
        <v>2.0</v>
      </c>
      <c r="B855" s="2" t="s">
        <v>2377</v>
      </c>
      <c r="C855" s="2" t="s">
        <v>2378</v>
      </c>
      <c r="D855" s="2" t="s">
        <v>329</v>
      </c>
      <c r="E855" s="2" t="s">
        <v>14</v>
      </c>
      <c r="F855" s="2" t="s">
        <v>15</v>
      </c>
      <c r="G855" s="2" t="s">
        <v>2379</v>
      </c>
      <c r="H855" s="2" t="s">
        <v>199</v>
      </c>
      <c r="I855" s="2" t="str">
        <f>IFERROR(__xludf.DUMMYFUNCTION("GOOGLETRANSLATE(C855,""fr"",""en"")"),"2 months that I restart to send messages on the website to have a question, not having that it has to try to call, we are in 2020, stop forcing people to waste their time by Telephone when answering an email takes a few seconds very often.")</f>
        <v>2 months that I restart to send messages on the website to have a question, not having that it has to try to call, we are in 2020, stop forcing people to waste their time by Telephone when answering an email takes a few seconds very often.</v>
      </c>
    </row>
    <row r="856" ht="15.75" customHeight="1">
      <c r="A856" s="2">
        <v>4.0</v>
      </c>
      <c r="B856" s="2" t="s">
        <v>2380</v>
      </c>
      <c r="C856" s="2" t="s">
        <v>2381</v>
      </c>
      <c r="D856" s="2" t="s">
        <v>50</v>
      </c>
      <c r="E856" s="2" t="s">
        <v>14</v>
      </c>
      <c r="F856" s="2" t="s">
        <v>15</v>
      </c>
      <c r="G856" s="2" t="s">
        <v>127</v>
      </c>
      <c r="H856" s="2" t="s">
        <v>64</v>
      </c>
      <c r="I856" s="2" t="str">
        <f>IFERROR(__xludf.DUMMYFUNCTION("GOOGLETRANSLATE(C856,""fr"",""en"")"),"Satisfied with the price, I just hope I never need your services, as was the case until today in any other insurance.")</f>
        <v>Satisfied with the price, I just hope I never need your services, as was the case until today in any other insurance.</v>
      </c>
    </row>
    <row r="857" ht="15.75" customHeight="1">
      <c r="A857" s="2">
        <v>5.0</v>
      </c>
      <c r="B857" s="2" t="s">
        <v>2382</v>
      </c>
      <c r="C857" s="2" t="s">
        <v>2383</v>
      </c>
      <c r="D857" s="2" t="s">
        <v>30</v>
      </c>
      <c r="E857" s="2" t="s">
        <v>14</v>
      </c>
      <c r="F857" s="2" t="s">
        <v>15</v>
      </c>
      <c r="G857" s="2" t="s">
        <v>2384</v>
      </c>
      <c r="H857" s="2" t="s">
        <v>159</v>
      </c>
      <c r="I857" s="2" t="str">
        <f>IFERROR(__xludf.DUMMYFUNCTION("GOOGLETRANSLATE(C857,""fr"",""en"")"),"I am delighted with the services of this security organization, I am with confidence. and safe. I am confident and safely. thank you")</f>
        <v>I am delighted with the services of this security organization, I am with confidence. and safe. I am confident and safely. thank you</v>
      </c>
    </row>
    <row r="858" ht="15.75" customHeight="1">
      <c r="A858" s="2">
        <v>3.0</v>
      </c>
      <c r="B858" s="2" t="s">
        <v>2385</v>
      </c>
      <c r="C858" s="2" t="s">
        <v>2386</v>
      </c>
      <c r="D858" s="2" t="s">
        <v>292</v>
      </c>
      <c r="E858" s="2" t="s">
        <v>14</v>
      </c>
      <c r="F858" s="2" t="s">
        <v>15</v>
      </c>
      <c r="G858" s="2" t="s">
        <v>2374</v>
      </c>
      <c r="H858" s="2" t="s">
        <v>32</v>
      </c>
      <c r="I858" s="2" t="str">
        <f>IFERROR(__xludf.DUMMYFUNCTION("GOOGLETRANSLATE(C858,""fr"",""en"")"),"Price which is not cheap, personal not always nice and conciliatory, in case of glitch it is serious, do not make a financial effort to keep their customers")</f>
        <v>Price which is not cheap, personal not always nice and conciliatory, in case of glitch it is serious, do not make a financial effort to keep their customers</v>
      </c>
    </row>
    <row r="859" ht="15.75" customHeight="1">
      <c r="A859" s="2">
        <v>1.0</v>
      </c>
      <c r="B859" s="2" t="s">
        <v>2387</v>
      </c>
      <c r="C859" s="2" t="s">
        <v>2388</v>
      </c>
      <c r="D859" s="2" t="s">
        <v>41</v>
      </c>
      <c r="E859" s="2" t="s">
        <v>36</v>
      </c>
      <c r="F859" s="2" t="s">
        <v>15</v>
      </c>
      <c r="G859" s="2" t="s">
        <v>652</v>
      </c>
      <c r="H859" s="2" t="s">
        <v>356</v>
      </c>
      <c r="I859" s="2" t="str">
        <f>IFERROR(__xludf.DUMMYFUNCTION("GOOGLETRANSLATE(C859,""fr"",""en"")"),"Reimbursement problem for dental costs, I changed my mutual insurance company which terminated this insurance and today it relaunches to me so that I could put the remote transmission back on my Ameli account, they did not take into account the terminatio"&amp;"n, so Mutual to flee as quickly as possible
Cordially
The retiree who was fooled")</f>
        <v>Reimbursement problem for dental costs, I changed my mutual insurance company which terminated this insurance and today it relaunches to me so that I could put the remote transmission back on my Ameli account, they did not take into account the termination, so Mutual to flee as quickly as possible
Cordially
The retiree who was fooled</v>
      </c>
    </row>
    <row r="860" ht="15.75" customHeight="1">
      <c r="A860" s="2">
        <v>5.0</v>
      </c>
      <c r="B860" s="2" t="s">
        <v>2389</v>
      </c>
      <c r="C860" s="2" t="s">
        <v>2390</v>
      </c>
      <c r="D860" s="2" t="s">
        <v>296</v>
      </c>
      <c r="E860" s="2" t="s">
        <v>14</v>
      </c>
      <c r="F860" s="2" t="s">
        <v>15</v>
      </c>
      <c r="G860" s="2" t="s">
        <v>1614</v>
      </c>
      <c r="H860" s="2" t="s">
        <v>107</v>
      </c>
      <c r="I860" s="2" t="str">
        <f>IFERROR(__xludf.DUMMYFUNCTION("GOOGLETRANSLATE(C860,""fr"",""en"")"),"I am satisfied with the GMF insurance service. Reactivity, price, ease of having information, fluidity of the website which is clear and easy to use.")</f>
        <v>I am satisfied with the GMF insurance service. Reactivity, price, ease of having information, fluidity of the website which is clear and easy to use.</v>
      </c>
    </row>
    <row r="861" ht="15.75" customHeight="1">
      <c r="A861" s="2">
        <v>1.0</v>
      </c>
      <c r="B861" s="2" t="s">
        <v>2391</v>
      </c>
      <c r="C861" s="2" t="s">
        <v>2392</v>
      </c>
      <c r="D861" s="2" t="s">
        <v>41</v>
      </c>
      <c r="E861" s="2" t="s">
        <v>36</v>
      </c>
      <c r="F861" s="2" t="s">
        <v>15</v>
      </c>
      <c r="G861" s="2" t="s">
        <v>1214</v>
      </c>
      <c r="H861" s="2" t="s">
        <v>107</v>
      </c>
      <c r="I861" s="2" t="str">
        <f>IFERROR(__xludf.DUMMYFUNCTION("GOOGLETRANSLATE(C861,""fr"",""en"")"),"If a mutual is to flee, this is this one! Requiring an acquitted invoice for a refund of third parties with a practitioner is excessive and abusive to say the least!
Waiting for 15 days to 3 weeks minimum for a simple reimbursement of consultation of thi"&amp;"rd parties among others is unimaginable, even in the worst of mutuals.
If you are looking for a mutual insurance company especially do not take Cegema!
1 star is 1 star too much, if there were less stars I would put as many stars as possible !!
Needles"&amp;"s to add that I very strongly advise against this mutual! Very expensive for the services that we are entitled to demand and that we do not! Fuy them like the plague !! Thank you for your attention !")</f>
        <v>If a mutual is to flee, this is this one! Requiring an acquitted invoice for a refund of third parties with a practitioner is excessive and abusive to say the least!
Waiting for 15 days to 3 weeks minimum for a simple reimbursement of consultation of third parties among others is unimaginable, even in the worst of mutuals.
If you are looking for a mutual insurance company especially do not take Cegema!
1 star is 1 star too much, if there were less stars I would put as many stars as possible !!
Needless to add that I very strongly advise against this mutual! Very expensive for the services that we are entitled to demand and that we do not! Fuy them like the plague !! Thank you for your attention !</v>
      </c>
    </row>
    <row r="862" ht="15.75" customHeight="1">
      <c r="A862" s="2">
        <v>2.0</v>
      </c>
      <c r="B862" s="2" t="s">
        <v>2393</v>
      </c>
      <c r="C862" s="2" t="s">
        <v>2394</v>
      </c>
      <c r="D862" s="2" t="s">
        <v>329</v>
      </c>
      <c r="E862" s="2" t="s">
        <v>14</v>
      </c>
      <c r="F862" s="2" t="s">
        <v>15</v>
      </c>
      <c r="G862" s="2" t="s">
        <v>2395</v>
      </c>
      <c r="H862" s="2" t="s">
        <v>131</v>
      </c>
      <c r="I862" s="2" t="str">
        <f>IFERROR(__xludf.DUMMYFUNCTION("GOOGLETRANSLATE(C862,""fr"",""en"")"),"The Macif me Radie (auto insurance) without informing me, in the middle of a period of containment and curfew, and refuses to deliver the green card for a forgotten formality even though my vehicle is at the pound! No sense of customer relations or indulg"&amp;"ence. Don't be mistaken, they won't miss you!")</f>
        <v>The Macif me Radie (auto insurance) without informing me, in the middle of a period of containment and curfew, and refuses to deliver the green card for a forgotten formality even though my vehicle is at the pound! No sense of customer relations or indulgence. Don't be mistaken, they won't miss you!</v>
      </c>
    </row>
    <row r="863" ht="15.75" customHeight="1">
      <c r="A863" s="2">
        <v>3.0</v>
      </c>
      <c r="B863" s="2" t="s">
        <v>2396</v>
      </c>
      <c r="C863" s="2" t="s">
        <v>2397</v>
      </c>
      <c r="D863" s="2" t="s">
        <v>50</v>
      </c>
      <c r="E863" s="2" t="s">
        <v>14</v>
      </c>
      <c r="F863" s="2" t="s">
        <v>15</v>
      </c>
      <c r="G863" s="2" t="s">
        <v>798</v>
      </c>
      <c r="H863" s="2" t="s">
        <v>32</v>
      </c>
      <c r="I863" s="2" t="str">
        <f>IFERROR(__xludf.DUMMYFUNCTION("GOOGLETRANSLATE(C863,""fr"",""en"")"),"The price does not suit me but I am generally satisfied with the options chosen. I will start the olive assurance without worries. Soon perfection
")</f>
        <v>The price does not suit me but I am generally satisfied with the options chosen. I will start the olive assurance without worries. Soon perfection
</v>
      </c>
    </row>
    <row r="864" ht="15.75" customHeight="1">
      <c r="A864" s="2">
        <v>3.0</v>
      </c>
      <c r="B864" s="2" t="s">
        <v>2398</v>
      </c>
      <c r="C864" s="2" t="s">
        <v>2399</v>
      </c>
      <c r="D864" s="2" t="s">
        <v>30</v>
      </c>
      <c r="E864" s="2" t="s">
        <v>14</v>
      </c>
      <c r="F864" s="2" t="s">
        <v>15</v>
      </c>
      <c r="G864" s="2" t="s">
        <v>2400</v>
      </c>
      <c r="H864" s="2" t="s">
        <v>199</v>
      </c>
      <c r="I864" s="2" t="str">
        <f>IFERROR(__xludf.DUMMYFUNCTION("GOOGLETRANSLATE(C864,""fr"",""en"")"),"I am looking for the best quality price insurance. This corresponds to my first research. The price seems similar to my current insurance. To have......")</f>
        <v>I am looking for the best quality price insurance. This corresponds to my first research. The price seems similar to my current insurance. To have......</v>
      </c>
    </row>
    <row r="865" ht="15.75" customHeight="1">
      <c r="A865" s="2">
        <v>3.0</v>
      </c>
      <c r="B865" s="2" t="s">
        <v>2401</v>
      </c>
      <c r="C865" s="2" t="s">
        <v>2402</v>
      </c>
      <c r="D865" s="2" t="s">
        <v>50</v>
      </c>
      <c r="E865" s="2" t="s">
        <v>14</v>
      </c>
      <c r="F865" s="2" t="s">
        <v>15</v>
      </c>
      <c r="G865" s="2" t="s">
        <v>2403</v>
      </c>
      <c r="H865" s="2" t="s">
        <v>630</v>
      </c>
      <c r="I865" s="2" t="str">
        <f>IFERROR(__xludf.DUMMYFUNCTION("GOOGLETRANSLATE(C865,""fr"",""en"")"),"Lolivier Insurance is supposed to have sent me a provisional card by email. No partner in the email so no provisional card.
Unfortunately, my contract 1080169302 seems to be effective but I have no certificate to prove it.")</f>
        <v>Lolivier Insurance is supposed to have sent me a provisional card by email. No partner in the email so no provisional card.
Unfortunately, my contract 1080169302 seems to be effective but I have no certificate to prove it.</v>
      </c>
    </row>
    <row r="866" ht="15.75" customHeight="1">
      <c r="A866" s="2">
        <v>5.0</v>
      </c>
      <c r="B866" s="2" t="s">
        <v>2404</v>
      </c>
      <c r="C866" s="2" t="s">
        <v>2405</v>
      </c>
      <c r="D866" s="2" t="s">
        <v>30</v>
      </c>
      <c r="E866" s="2" t="s">
        <v>14</v>
      </c>
      <c r="F866" s="2" t="s">
        <v>15</v>
      </c>
      <c r="G866" s="2" t="s">
        <v>866</v>
      </c>
      <c r="H866" s="2" t="s">
        <v>38</v>
      </c>
      <c r="I866" s="2" t="str">
        <f>IFERROR(__xludf.DUMMYFUNCTION("GOOGLETRANSLATE(C866,""fr"",""en"")"),"I am satisfied with the service the prices suit me simple and practical I am very happy to be able to find insurance for my future vehicle and to start a new partnership with Direct Insurance between work and the house I will find pleasure in driving my R"&amp;"enault vehicle Clio")</f>
        <v>I am satisfied with the service the prices suit me simple and practical I am very happy to be able to find insurance for my future vehicle and to start a new partnership with Direct Insurance between work and the house I will find pleasure in driving my Renault vehicle Clio</v>
      </c>
    </row>
    <row r="867" ht="15.75" customHeight="1">
      <c r="A867" s="2">
        <v>5.0</v>
      </c>
      <c r="B867" s="2" t="s">
        <v>2406</v>
      </c>
      <c r="C867" s="2" t="s">
        <v>2407</v>
      </c>
      <c r="D867" s="2" t="s">
        <v>50</v>
      </c>
      <c r="E867" s="2" t="s">
        <v>14</v>
      </c>
      <c r="F867" s="2" t="s">
        <v>15</v>
      </c>
      <c r="G867" s="2" t="s">
        <v>107</v>
      </c>
      <c r="H867" s="2" t="s">
        <v>107</v>
      </c>
      <c r="I867" s="2" t="str">
        <f>IFERROR(__xludf.DUMMYFUNCTION("GOOGLETRANSLATE(C867,""fr"",""en"")"),"The phone advisor is at the top and very explanatory. Concerning this insurance The price is very correct and see and to test during problem or accident.")</f>
        <v>The phone advisor is at the top and very explanatory. Concerning this insurance The price is very correct and see and to test during problem or accident.</v>
      </c>
    </row>
    <row r="868" ht="15.75" customHeight="1">
      <c r="A868" s="2">
        <v>5.0</v>
      </c>
      <c r="B868" s="2" t="s">
        <v>2408</v>
      </c>
      <c r="C868" s="2" t="s">
        <v>2409</v>
      </c>
      <c r="D868" s="2" t="s">
        <v>30</v>
      </c>
      <c r="E868" s="2" t="s">
        <v>14</v>
      </c>
      <c r="F868" s="2" t="s">
        <v>15</v>
      </c>
      <c r="G868" s="2" t="s">
        <v>866</v>
      </c>
      <c r="H868" s="2" t="s">
        <v>38</v>
      </c>
      <c r="I868" s="2" t="str">
        <f>IFERROR(__xludf.DUMMYFUNCTION("GOOGLETRANSLATE(C868,""fr"",""en"")"),"Impeccable, fluid and very simple service to make a quote and be able to subscribe to the contract in stride. No harassment from your advisers!")</f>
        <v>Impeccable, fluid and very simple service to make a quote and be able to subscribe to the contract in stride. No harassment from your advisers!</v>
      </c>
    </row>
    <row r="869" ht="15.75" customHeight="1">
      <c r="A869" s="2">
        <v>5.0</v>
      </c>
      <c r="B869" s="2" t="s">
        <v>2410</v>
      </c>
      <c r="C869" s="2" t="s">
        <v>2411</v>
      </c>
      <c r="D869" s="2" t="s">
        <v>30</v>
      </c>
      <c r="E869" s="2" t="s">
        <v>14</v>
      </c>
      <c r="F869" s="2" t="s">
        <v>15</v>
      </c>
      <c r="G869" s="2" t="s">
        <v>205</v>
      </c>
      <c r="H869" s="2" t="s">
        <v>159</v>
      </c>
      <c r="I869" s="2" t="str">
        <f>IFERROR(__xludf.DUMMYFUNCTION("GOOGLETRANSLATE(C869,""fr"",""en"")"),"I am satisfied with direct insurance. Customer service is very responsive. I never had a claim but the prices are very attractive. Thank you")</f>
        <v>I am satisfied with direct insurance. Customer service is very responsive. I never had a claim but the prices are very attractive. Thank you</v>
      </c>
    </row>
    <row r="870" ht="15.75" customHeight="1">
      <c r="A870" s="2">
        <v>2.0</v>
      </c>
      <c r="B870" s="2" t="s">
        <v>2412</v>
      </c>
      <c r="C870" s="2" t="s">
        <v>2413</v>
      </c>
      <c r="D870" s="2" t="s">
        <v>329</v>
      </c>
      <c r="E870" s="2" t="s">
        <v>14</v>
      </c>
      <c r="F870" s="2" t="s">
        <v>15</v>
      </c>
      <c r="G870" s="2" t="s">
        <v>2414</v>
      </c>
      <c r="H870" s="2" t="s">
        <v>360</v>
      </c>
      <c r="I870" s="2" t="str">
        <f>IFERROR(__xludf.DUMMYFUNCTION("GOOGLETRANSLATE(C870,""fr"",""en"")"),"To date I have been insured for twenty years at the Macif
I suffered a claim on 9/12/2018 on my motorhome, a wall luiest fell on it
Operation assessment for 3 months the Macif does nothing and I cannot use my property
While I am insured all risks and t"&amp;"he accused wall belongs to the company which guarded my vehicle
Repairs are going up today at 40,000 EUROSET I am deprived of the use of my property because of their incompetence or desire to have things dragged")</f>
        <v>To date I have been insured for twenty years at the Macif
I suffered a claim on 9/12/2018 on my motorhome, a wall luiest fell on it
Operation assessment for 3 months the Macif does nothing and I cannot use my property
While I am insured all risks and the accused wall belongs to the company which guarded my vehicle
Repairs are going up today at 40,000 EUROSET I am deprived of the use of my property because of their incompetence or desire to have things dragged</v>
      </c>
    </row>
    <row r="871" ht="15.75" customHeight="1">
      <c r="A871" s="2">
        <v>2.0</v>
      </c>
      <c r="B871" s="2" t="s">
        <v>2415</v>
      </c>
      <c r="C871" s="2" t="s">
        <v>2416</v>
      </c>
      <c r="D871" s="2" t="s">
        <v>50</v>
      </c>
      <c r="E871" s="2" t="s">
        <v>14</v>
      </c>
      <c r="F871" s="2" t="s">
        <v>15</v>
      </c>
      <c r="G871" s="2" t="s">
        <v>2417</v>
      </c>
      <c r="H871" s="2" t="s">
        <v>298</v>
      </c>
      <c r="I871" s="2" t="str">
        <f>IFERROR(__xludf.DUMMYFUNCTION("GOOGLETRANSLATE(C871,""fr"",""en"")"),"Not satisfied for 4 months that I am waiting to receive my green card I sent all the necesar documents in recumendé with acknowledgment of reception proof in hand he says he has nothing to recover so by email reply Followed out that the copy of your licen"&amp;"se side Verso I therefore reflected 15 minute to have a person ask me to send the documents what I did and always nothing so I do not even if I am assured my to take the money on my account it we knew")</f>
        <v>Not satisfied for 4 months that I am waiting to receive my green card I sent all the necesar documents in recumendé with acknowledgment of reception proof in hand he says he has nothing to recover so by email reply Followed out that the copy of your license side Verso I therefore reflected 15 minute to have a person ask me to send the documents what I did and always nothing so I do not even if I am assured my to take the money on my account it we knew</v>
      </c>
    </row>
    <row r="872" ht="15.75" customHeight="1">
      <c r="A872" s="2">
        <v>1.0</v>
      </c>
      <c r="B872" s="2" t="s">
        <v>2418</v>
      </c>
      <c r="C872" s="2" t="s">
        <v>2419</v>
      </c>
      <c r="D872" s="2" t="s">
        <v>1434</v>
      </c>
      <c r="E872" s="2" t="s">
        <v>90</v>
      </c>
      <c r="F872" s="2" t="s">
        <v>15</v>
      </c>
      <c r="G872" s="2" t="s">
        <v>2420</v>
      </c>
      <c r="H872" s="2" t="s">
        <v>397</v>
      </c>
      <c r="I872" s="2" t="str">
        <f>IFERROR(__xludf.DUMMYFUNCTION("GOOGLETRANSLATE(C872,""fr"",""en"")"),"Do not subscribe to this ""pseudo"" insurance. I have a funeral contract called Plan Quiétude, subscribed in 2010 for which the subscription I had a guaranteed capital in the event of an accident of 12,420 euros. I recently received a situation statement "&amp;"which tells me that this capital is now 8,000 euros, while I always pay the same monthly contribution. Of course, it is impossible to reach the surcharged phone number to request an explanation, just as there is no response to emails sent to their pseudo "&amp;"customer service, while they are committed to answering you within 4 days. I do not understand how people can, unscrupulous, work for this society without faith or law. In addition, it is useless to go to a ""physical"" agency to try to obtain an answer, "&amp;"the interlocutor having an equalization of his arrogance that his incompetence. I still have to terminate this contract with the key to a significant loss with regard to the buyout value compared to the contributions paid.
Faithful member of the UFC Que "&amp;"Choisir association, I inform them of the indelicacy and the dol of this insurance.")</f>
        <v>Do not subscribe to this "pseudo" insurance. I have a funeral contract called Plan Quiétude, subscribed in 2010 for which the subscription I had a guaranteed capital in the event of an accident of 12,420 euros. I recently received a situation statement which tells me that this capital is now 8,000 euros, while I always pay the same monthly contribution. Of course, it is impossible to reach the surcharged phone number to request an explanation, just as there is no response to emails sent to their pseudo customer service, while they are committed to answering you within 4 days. I do not understand how people can, unscrupulous, work for this society without faith or law. In addition, it is useless to go to a "physical" agency to try to obtain an answer, the interlocutor having an equalization of his arrogance that his incompetence. I still have to terminate this contract with the key to a significant loss with regard to the buyout value compared to the contributions paid.
Faithful member of the UFC Que Choisir association, I inform them of the indelicacy and the dol of this insurance.</v>
      </c>
    </row>
    <row r="873" ht="15.75" customHeight="1">
      <c r="A873" s="2">
        <v>5.0</v>
      </c>
      <c r="B873" s="2" t="s">
        <v>2421</v>
      </c>
      <c r="C873" s="2" t="s">
        <v>2422</v>
      </c>
      <c r="D873" s="2" t="s">
        <v>50</v>
      </c>
      <c r="E873" s="2" t="s">
        <v>14</v>
      </c>
      <c r="F873" s="2" t="s">
        <v>15</v>
      </c>
      <c r="G873" s="2" t="s">
        <v>315</v>
      </c>
      <c r="H873" s="2" t="s">
        <v>64</v>
      </c>
      <c r="I873" s="2" t="str">
        <f>IFERROR(__xludf.DUMMYFUNCTION("GOOGLETRANSLATE(C873,""fr"",""en"")"),"I am satisfied with the guarantees offered by the olive assurance, as well as the price, the quote and the implementation of the contract has been very simple and fluid.")</f>
        <v>I am satisfied with the guarantees offered by the olive assurance, as well as the price, the quote and the implementation of the contract has been very simple and fluid.</v>
      </c>
    </row>
    <row r="874" ht="15.75" customHeight="1">
      <c r="A874" s="2">
        <v>5.0</v>
      </c>
      <c r="B874" s="2" t="s">
        <v>2423</v>
      </c>
      <c r="C874" s="2" t="s">
        <v>2424</v>
      </c>
      <c r="D874" s="2" t="s">
        <v>50</v>
      </c>
      <c r="E874" s="2" t="s">
        <v>14</v>
      </c>
      <c r="F874" s="2" t="s">
        <v>15</v>
      </c>
      <c r="G874" s="2" t="s">
        <v>2425</v>
      </c>
      <c r="H874" s="2" t="s">
        <v>397</v>
      </c>
      <c r="I874" s="2" t="str">
        <f>IFERROR(__xludf.DUMMYFUNCTION("GOOGLETRANSLATE(C874,""fr"",""en"")"),"Very good company Jerecommende people pleasant on the phone as if by email no worries so far rapidities to have my final green card so go y and it's not expensive")</f>
        <v>Very good company Jerecommende people pleasant on the phone as if by email no worries so far rapidities to have my final green card so go y and it's not expensive</v>
      </c>
    </row>
    <row r="875" ht="15.75" customHeight="1">
      <c r="A875" s="2">
        <v>1.0</v>
      </c>
      <c r="B875" s="2" t="s">
        <v>2426</v>
      </c>
      <c r="C875" s="2" t="s">
        <v>2427</v>
      </c>
      <c r="D875" s="2" t="s">
        <v>247</v>
      </c>
      <c r="E875" s="2" t="s">
        <v>36</v>
      </c>
      <c r="F875" s="2" t="s">
        <v>15</v>
      </c>
      <c r="G875" s="2" t="s">
        <v>2428</v>
      </c>
      <c r="H875" s="2" t="s">
        <v>96</v>
      </c>
      <c r="I875" s="2" t="str">
        <f>IFERROR(__xludf.DUMMYFUNCTION("GOOGLETRANSLATE(C875,""fr"",""en"")"),"Mercer is my insurer imposed by my box but the service is deplorable. More than a month and a half to obtain reimbursement following hospitalization, while the request for care had been made upstream.
To all employers, I strongly recommend this mutual. I"&amp;"n addition, the telephone contact is paid even for members .... lamentable")</f>
        <v>Mercer is my insurer imposed by my box but the service is deplorable. More than a month and a half to obtain reimbursement following hospitalization, while the request for care had been made upstream.
To all employers, I strongly recommend this mutual. In addition, the telephone contact is paid even for members .... lamentable</v>
      </c>
    </row>
    <row r="876" ht="15.75" customHeight="1">
      <c r="A876" s="2">
        <v>2.0</v>
      </c>
      <c r="B876" s="2" t="s">
        <v>2429</v>
      </c>
      <c r="C876" s="2" t="s">
        <v>2430</v>
      </c>
      <c r="D876" s="2" t="s">
        <v>50</v>
      </c>
      <c r="E876" s="2" t="s">
        <v>14</v>
      </c>
      <c r="F876" s="2" t="s">
        <v>15</v>
      </c>
      <c r="G876" s="2" t="s">
        <v>2431</v>
      </c>
      <c r="H876" s="2" t="s">
        <v>298</v>
      </c>
      <c r="I876" s="2" t="str">
        <f>IFERROR(__xludf.DUMMYFUNCTION("GOOGLETRANSLATE(C876,""fr"",""en"")"),"During a statement of a claim when I was absolutely not at fault advised to start asking myself personal questions that had nothing to do with the accident, I therefore allowed myself to politely ask what the report was. ... and I am repacking by telling "&amp;"myself that if I am not happy I could go see elsewhere ... now it's been 10 days since I send emails to know where it is and I do not I still haven't received any answers and when my husband calls they don't want to answer him by pretending that the contr"&amp;"act is in my name.
In the meantime I have to drive with a demolished and not secure car for my children because the rear door closes very badly not at all.
I find it really a shame because until now I was happy with this insurance
")</f>
        <v>During a statement of a claim when I was absolutely not at fault advised to start asking myself personal questions that had nothing to do with the accident, I therefore allowed myself to politely ask what the report was. ... and I am repacking by telling myself that if I am not happy I could go see elsewhere ... now it's been 10 days since I send emails to know where it is and I do not I still haven't received any answers and when my husband calls they don't want to answer him by pretending that the contract is in my name.
In the meantime I have to drive with a demolished and not secure car for my children because the rear door closes very badly not at all.
I find it really a shame because until now I was happy with this insurance
</v>
      </c>
    </row>
    <row r="877" ht="15.75" customHeight="1">
      <c r="A877" s="2">
        <v>1.0</v>
      </c>
      <c r="B877" s="2" t="s">
        <v>2432</v>
      </c>
      <c r="C877" s="2" t="s">
        <v>2433</v>
      </c>
      <c r="D877" s="2" t="s">
        <v>329</v>
      </c>
      <c r="E877" s="2" t="s">
        <v>14</v>
      </c>
      <c r="F877" s="2" t="s">
        <v>15</v>
      </c>
      <c r="G877" s="2" t="s">
        <v>55</v>
      </c>
      <c r="H877" s="2" t="s">
        <v>38</v>
      </c>
      <c r="I877" s="2" t="str">
        <f>IFERROR(__xludf.DUMMYFUNCTION("GOOGLETRANSLATE(C877,""fr"",""en"")"),"Shabby service, everything is done not to compensate you even if you are in all risks, a shame, I sincerely regret having been insured at home, they will do everything so as not to compensate you. Run away .....")</f>
        <v>Shabby service, everything is done not to compensate you even if you are in all risks, a shame, I sincerely regret having been insured at home, they will do everything so as not to compensate you. Run away .....</v>
      </c>
    </row>
    <row r="878" ht="15.75" customHeight="1">
      <c r="A878" s="2">
        <v>1.0</v>
      </c>
      <c r="B878" s="2" t="s">
        <v>2434</v>
      </c>
      <c r="C878" s="2" t="s">
        <v>2435</v>
      </c>
      <c r="D878" s="2" t="s">
        <v>30</v>
      </c>
      <c r="E878" s="2" t="s">
        <v>14</v>
      </c>
      <c r="F878" s="2" t="s">
        <v>15</v>
      </c>
      <c r="G878" s="2" t="s">
        <v>32</v>
      </c>
      <c r="H878" s="2" t="s">
        <v>32</v>
      </c>
      <c r="I878" s="2" t="str">
        <f>IFERROR(__xludf.DUMMYFUNCTION("GOOGLETRANSLATE(C878,""fr"",""en"")"),"Impossible to join you, it is scandalous, even my bank does not manage to join you, I will not remain in these few words, termination impossible to do even with the Hamon law.")</f>
        <v>Impossible to join you, it is scandalous, even my bank does not manage to join you, I will not remain in these few words, termination impossible to do even with the Hamon law.</v>
      </c>
    </row>
    <row r="879" ht="15.75" customHeight="1">
      <c r="A879" s="2">
        <v>1.0</v>
      </c>
      <c r="B879" s="2" t="s">
        <v>2436</v>
      </c>
      <c r="C879" s="2" t="s">
        <v>2437</v>
      </c>
      <c r="D879" s="2" t="s">
        <v>296</v>
      </c>
      <c r="E879" s="2" t="s">
        <v>68</v>
      </c>
      <c r="F879" s="2" t="s">
        <v>15</v>
      </c>
      <c r="G879" s="2" t="s">
        <v>551</v>
      </c>
      <c r="H879" s="2" t="s">
        <v>340</v>
      </c>
      <c r="I879" s="2" t="str">
        <f>IFERROR(__xludf.DUMMYFUNCTION("GOOGLETRANSLATE(C879,""fr"",""en"")"),"For 10 days I have been in communication with the sinister service (not responsible) and at each communication I have a different response. And always no solution to my problem.")</f>
        <v>For 10 days I have been in communication with the sinister service (not responsible) and at each communication I have a different response. And always no solution to my problem.</v>
      </c>
    </row>
    <row r="880" ht="15.75" customHeight="1">
      <c r="A880" s="2">
        <v>4.0</v>
      </c>
      <c r="B880" s="2" t="s">
        <v>2438</v>
      </c>
      <c r="C880" s="2" t="s">
        <v>2439</v>
      </c>
      <c r="D880" s="2" t="s">
        <v>50</v>
      </c>
      <c r="E880" s="2" t="s">
        <v>14</v>
      </c>
      <c r="F880" s="2" t="s">
        <v>15</v>
      </c>
      <c r="G880" s="2" t="s">
        <v>572</v>
      </c>
      <c r="H880" s="2" t="s">
        <v>52</v>
      </c>
      <c r="I880" s="2" t="str">
        <f>IFERROR(__xludf.DUMMYFUNCTION("GOOGLETRANSLATE(C880,""fr"",""en"")"),"not fluid site in terms of signing documents and access to the bottom of the page and damage that there is no mobile application to simplify the procedures")</f>
        <v>not fluid site in terms of signing documents and access to the bottom of the page and damage that there is no mobile application to simplify the procedures</v>
      </c>
    </row>
    <row r="881" ht="15.75" customHeight="1">
      <c r="A881" s="2">
        <v>4.0</v>
      </c>
      <c r="B881" s="2" t="s">
        <v>2440</v>
      </c>
      <c r="C881" s="2" t="s">
        <v>2441</v>
      </c>
      <c r="D881" s="2" t="s">
        <v>296</v>
      </c>
      <c r="E881" s="2" t="s">
        <v>14</v>
      </c>
      <c r="F881" s="2" t="s">
        <v>15</v>
      </c>
      <c r="G881" s="2" t="s">
        <v>289</v>
      </c>
      <c r="H881" s="2" t="s">
        <v>32</v>
      </c>
      <c r="I881" s="2" t="str">
        <f>IFERROR(__xludf.DUMMYFUNCTION("GOOGLETRANSLATE(C881,""fr"",""en"")"),"I am satisfied in all the services rendered. Except that the cars sold are still on the contract even if it is not subject to the payment of insurance.
")</f>
        <v>I am satisfied in all the services rendered. Except that the cars sold are still on the contract even if it is not subject to the payment of insurance.
</v>
      </c>
    </row>
    <row r="882" ht="15.75" customHeight="1">
      <c r="A882" s="2">
        <v>3.0</v>
      </c>
      <c r="B882" s="2" t="s">
        <v>2442</v>
      </c>
      <c r="C882" s="2" t="s">
        <v>2443</v>
      </c>
      <c r="D882" s="2" t="s">
        <v>35</v>
      </c>
      <c r="E882" s="2" t="s">
        <v>36</v>
      </c>
      <c r="F882" s="2" t="s">
        <v>15</v>
      </c>
      <c r="G882" s="2" t="s">
        <v>2444</v>
      </c>
      <c r="H882" s="2" t="s">
        <v>192</v>
      </c>
      <c r="I882" s="2" t="str">
        <f>IFERROR(__xludf.DUMMYFUNCTION("GOOGLETRANSLATE(C882,""fr"",""en"")"),"I thank Ouijdane for the attention paid to my request I give him one 5 out of 5 I hope it will be beneficial to him
As for the insurance I had a divergence of understanding which did not find a solution
 It is very difficult to communicate only by phone")</f>
        <v>I thank Ouijdane for the attention paid to my request I give him one 5 out of 5 I hope it will be beneficial to him
As for the insurance I had a divergence of understanding which did not find a solution
 It is very difficult to communicate only by phone</v>
      </c>
    </row>
    <row r="883" ht="15.75" customHeight="1">
      <c r="A883" s="2">
        <v>2.0</v>
      </c>
      <c r="B883" s="2" t="s">
        <v>2445</v>
      </c>
      <c r="C883" s="2" t="s">
        <v>2446</v>
      </c>
      <c r="D883" s="2" t="s">
        <v>50</v>
      </c>
      <c r="E883" s="2" t="s">
        <v>14</v>
      </c>
      <c r="F883" s="2" t="s">
        <v>15</v>
      </c>
      <c r="G883" s="2" t="s">
        <v>2447</v>
      </c>
      <c r="H883" s="2" t="s">
        <v>397</v>
      </c>
      <c r="I883" s="2" t="str">
        <f>IFERROR(__xludf.DUMMYFUNCTION("GOOGLETRANSLATE(C883,""fr"",""en"")"),"Termination by Hamon law on time. Withholding the due date while the contract is terminated (acknowledgment of receipt of Olivier Assurances)")</f>
        <v>Termination by Hamon law on time. Withholding the due date while the contract is terminated (acknowledgment of receipt of Olivier Assurances)</v>
      </c>
    </row>
    <row r="884" ht="15.75" customHeight="1">
      <c r="A884" s="2">
        <v>5.0</v>
      </c>
      <c r="B884" s="2" t="s">
        <v>2448</v>
      </c>
      <c r="C884" s="2" t="s">
        <v>2449</v>
      </c>
      <c r="D884" s="2" t="s">
        <v>30</v>
      </c>
      <c r="E884" s="2" t="s">
        <v>14</v>
      </c>
      <c r="F884" s="2" t="s">
        <v>15</v>
      </c>
      <c r="G884" s="2" t="s">
        <v>869</v>
      </c>
      <c r="H884" s="2" t="s">
        <v>107</v>
      </c>
      <c r="I884" s="2" t="str">
        <f>IFERROR(__xludf.DUMMYFUNCTION("GOOGLETRANSLATE(C884,""fr"",""en"")"),"Simple and quick everything can be done by internet it facilitates the procedures.
Top customer service
no complaints
satisfied to be a customer for a long time")</f>
        <v>Simple and quick everything can be done by internet it facilitates the procedures.
Top customer service
no complaints
satisfied to be a customer for a long time</v>
      </c>
    </row>
    <row r="885" ht="15.75" customHeight="1">
      <c r="A885" s="2">
        <v>4.0</v>
      </c>
      <c r="B885" s="2" t="s">
        <v>2450</v>
      </c>
      <c r="C885" s="2" t="s">
        <v>2451</v>
      </c>
      <c r="D885" s="2" t="s">
        <v>50</v>
      </c>
      <c r="E885" s="2" t="s">
        <v>14</v>
      </c>
      <c r="F885" s="2" t="s">
        <v>15</v>
      </c>
      <c r="G885" s="2" t="s">
        <v>1709</v>
      </c>
      <c r="H885" s="2" t="s">
        <v>107</v>
      </c>
      <c r="I885" s="2" t="str">
        <f>IFERROR(__xludf.DUMMYFUNCTION("GOOGLETRANSLATE(C885,""fr"",""en"")"),"I am satisfied with the exchange with the team and the information about the quote from my vehicle and the choice of this insurance. I would recommend this insurance.
")</f>
        <v>I am satisfied with the exchange with the team and the information about the quote from my vehicle and the choice of this insurance. I would recommend this insurance.
</v>
      </c>
    </row>
    <row r="886" ht="15.75" customHeight="1">
      <c r="A886" s="2">
        <v>4.0</v>
      </c>
      <c r="B886" s="2" t="s">
        <v>2452</v>
      </c>
      <c r="C886" s="2" t="s">
        <v>2453</v>
      </c>
      <c r="D886" s="2" t="s">
        <v>145</v>
      </c>
      <c r="E886" s="2" t="s">
        <v>111</v>
      </c>
      <c r="F886" s="2" t="s">
        <v>15</v>
      </c>
      <c r="G886" s="2" t="s">
        <v>1898</v>
      </c>
      <c r="H886" s="2" t="s">
        <v>981</v>
      </c>
      <c r="I886" s="2" t="str">
        <f>IFERROR(__xludf.DUMMYFUNCTION("GOOGLETRANSLATE(C886,""fr"",""en"")"),"Following a disaster, the care of my motorcycle by the convenience store has been rapid and efficient, the management of my file as well. The only small reproach, I was not warned of the reimbursement neither by AMV nor by the mechanic BMW")</f>
        <v>Following a disaster, the care of my motorcycle by the convenience store has been rapid and efficient, the management of my file as well. The only small reproach, I was not warned of the reimbursement neither by AMV nor by the mechanic BMW</v>
      </c>
    </row>
    <row r="887" ht="15.75" customHeight="1">
      <c r="A887" s="2">
        <v>1.0</v>
      </c>
      <c r="B887" s="2" t="s">
        <v>2454</v>
      </c>
      <c r="C887" s="2" t="s">
        <v>2455</v>
      </c>
      <c r="D887" s="2" t="s">
        <v>184</v>
      </c>
      <c r="E887" s="2" t="s">
        <v>36</v>
      </c>
      <c r="F887" s="2" t="s">
        <v>15</v>
      </c>
      <c r="G887" s="2" t="s">
        <v>1262</v>
      </c>
      <c r="H887" s="2" t="s">
        <v>424</v>
      </c>
      <c r="I887" s="2" t="str">
        <f>IFERROR(__xludf.DUMMYFUNCTION("GOOGLETRANSLATE(C887,""fr"",""en"")"),"Catastrophic!
Mutual horribly expensive for the reimbursements provided. It's been 20 years since I have been at home, never a cold. And there, at the first problem, the mutual discomfort arguing with pseudo conditions. Obliged to make a long list of let"&amp;"ters. If the shared assistance service was correct, it could be estimated that the price is worth the candle. Well no, for the MGEN, the only good thing to do is to collect a maximum, while repaying a minimum. It is no longer a mutual, it has become a ban"&amp;"k!
I hope I can quickly suspend my membership to go to another mutual, which I hope will not be there to just cash my contributions, and withdraw when you need it !!
Honestly, take your legs at your time, and run away !!!
")</f>
        <v>Catastrophic!
Mutual horribly expensive for the reimbursements provided. It's been 20 years since I have been at home, never a cold. And there, at the first problem, the mutual discomfort arguing with pseudo conditions. Obliged to make a long list of letters. If the shared assistance service was correct, it could be estimated that the price is worth the candle. Well no, for the MGEN, the only good thing to do is to collect a maximum, while repaying a minimum. It is no longer a mutual, it has become a bank!
I hope I can quickly suspend my membership to go to another mutual, which I hope will not be there to just cash my contributions, and withdraw when you need it !!
Honestly, take your legs at your time, and run away !!!
</v>
      </c>
    </row>
    <row r="888" ht="15.75" customHeight="1">
      <c r="A888" s="2">
        <v>5.0</v>
      </c>
      <c r="B888" s="2" t="s">
        <v>2456</v>
      </c>
      <c r="C888" s="2" t="s">
        <v>2457</v>
      </c>
      <c r="D888" s="2" t="s">
        <v>50</v>
      </c>
      <c r="E888" s="2" t="s">
        <v>14</v>
      </c>
      <c r="F888" s="2" t="s">
        <v>15</v>
      </c>
      <c r="G888" s="2" t="s">
        <v>676</v>
      </c>
      <c r="H888" s="2" t="s">
        <v>192</v>
      </c>
      <c r="I888" s="2" t="str">
        <f>IFERROR(__xludf.DUMMYFUNCTION("GOOGLETRANSLATE(C888,""fr"",""en"")"),"I am satisfied with the service and I hope not to be disappointed to have subscribed to Olivier Insurance. Your advisers have been effective patients and especially attentive")</f>
        <v>I am satisfied with the service and I hope not to be disappointed to have subscribed to Olivier Insurance. Your advisers have been effective patients and especially attentive</v>
      </c>
    </row>
    <row r="889" ht="15.75" customHeight="1">
      <c r="A889" s="2">
        <v>2.0</v>
      </c>
      <c r="B889" s="2" t="s">
        <v>2458</v>
      </c>
      <c r="C889" s="2" t="s">
        <v>2459</v>
      </c>
      <c r="D889" s="2" t="s">
        <v>292</v>
      </c>
      <c r="E889" s="2" t="s">
        <v>14</v>
      </c>
      <c r="F889" s="2" t="s">
        <v>15</v>
      </c>
      <c r="G889" s="2" t="s">
        <v>1081</v>
      </c>
      <c r="H889" s="2" t="s">
        <v>27</v>
      </c>
      <c r="I889" s="2" t="str">
        <f>IFERROR(__xludf.DUMMYFUNCTION("GOOGLETRANSLATE(C889,""fr"",""en"")"),"Perfect when everything is fine!")</f>
        <v>Perfect when everything is fine!</v>
      </c>
    </row>
    <row r="890" ht="15.75" customHeight="1">
      <c r="A890" s="2">
        <v>1.0</v>
      </c>
      <c r="B890" s="2" t="s">
        <v>2460</v>
      </c>
      <c r="C890" s="2" t="s">
        <v>2461</v>
      </c>
      <c r="D890" s="2" t="s">
        <v>436</v>
      </c>
      <c r="E890" s="2" t="s">
        <v>36</v>
      </c>
      <c r="F890" s="2" t="s">
        <v>15</v>
      </c>
      <c r="G890" s="2" t="s">
        <v>679</v>
      </c>
      <c r="H890" s="2" t="s">
        <v>22</v>
      </c>
      <c r="I890" s="2" t="str">
        <f>IFERROR(__xludf.DUMMYFUNCTION("GOOGLETRANSLATE(C890,""fr"",""en"")"),"It did not take me 5 years but that a month to assess the lack of serious mutual which I had to subscribe through the company in which I work.
After a month (which I have already paid) I still have no proof, not a single piece of paper that proves my mem"&amp;"bership.
Unreachable advisor whether by email or phone ...
In short, flee, any other mutual will be better for you in case of seeds, at least you can prove that you have a mutual.")</f>
        <v>It did not take me 5 years but that a month to assess the lack of serious mutual which I had to subscribe through the company in which I work.
After a month (which I have already paid) I still have no proof, not a single piece of paper that proves my membership.
Unreachable advisor whether by email or phone ...
In short, flee, any other mutual will be better for you in case of seeds, at least you can prove that you have a mutual.</v>
      </c>
    </row>
    <row r="891" ht="15.75" customHeight="1">
      <c r="A891" s="2">
        <v>2.0</v>
      </c>
      <c r="B891" s="2" t="s">
        <v>2462</v>
      </c>
      <c r="C891" s="2" t="s">
        <v>2463</v>
      </c>
      <c r="D891" s="2" t="s">
        <v>13</v>
      </c>
      <c r="E891" s="2" t="s">
        <v>14</v>
      </c>
      <c r="F891" s="2" t="s">
        <v>15</v>
      </c>
      <c r="G891" s="2" t="s">
        <v>2464</v>
      </c>
      <c r="H891" s="2" t="s">
        <v>1553</v>
      </c>
      <c r="I891" s="2" t="str">
        <f>IFERROR(__xludf.DUMMYFUNCTION("GOOGLETRANSLATE(C891,""fr"",""en"")"),"My 78 -year -old mother is insured at Maaf, 50% bonus for life + 8% winner. She parks in a parking lot, goes to the market and returning she finds damage on her vehicle. She declares this fact to her insurance by saying that she noticed the damage in the "&amp;"parking lot. She never indicated that they had been made in the parking lot. The expert designated by the MAAF concluded: 'Inconsistency between damage noted and the declaration of claim reporting a parking shock'. Suddenly the Maaf follows the opinion ND"&amp;"E the expert and says that there is a fraudulent statement and does not take care of. My mother refused to do a counter-expertise and accepted technical expertise and not the interpretation of the expert. At his age, it may very well have ripped against t"&amp;"he cemetery post by going to The grave of her husband. Today we have seized the MAAF customer services, the Maaf complaint service, which again offers counter-expertise-mediator (it is in progress). If we have to go before a court do you think there is a "&amp;"chance to win? This is all the more so since my mother had everything to declare that it was she who had hung something. She would have erected reimbursed without loss of bonuses, except to pay (in all cases) the deductible of 200 euros.")</f>
        <v>My 78 -year -old mother is insured at Maaf, 50% bonus for life + 8% winner. She parks in a parking lot, goes to the market and returning she finds damage on her vehicle. She declares this fact to her insurance by saying that she noticed the damage in the parking lot. She never indicated that they had been made in the parking lot. The expert designated by the MAAF concluded: 'Inconsistency between damage noted and the declaration of claim reporting a parking shock'. Suddenly the Maaf follows the opinion NDE the expert and says that there is a fraudulent statement and does not take care of. My mother refused to do a counter-expertise and accepted technical expertise and not the interpretation of the expert. At his age, it may very well have ripped against the cemetery post by going to The grave of her husband. Today we have seized the MAAF customer services, the Maaf complaint service, which again offers counter-expertise-mediator (it is in progress). If we have to go before a court do you think there is a chance to win? This is all the more so since my mother had everything to declare that it was she who had hung something. She would have erected reimbursed without loss of bonuses, except to pay (in all cases) the deductible of 200 euros.</v>
      </c>
    </row>
    <row r="892" ht="15.75" customHeight="1">
      <c r="A892" s="2">
        <v>3.0</v>
      </c>
      <c r="B892" s="2" t="s">
        <v>2465</v>
      </c>
      <c r="C892" s="2" t="s">
        <v>2466</v>
      </c>
      <c r="D892" s="2" t="s">
        <v>30</v>
      </c>
      <c r="E892" s="2" t="s">
        <v>14</v>
      </c>
      <c r="F892" s="2" t="s">
        <v>15</v>
      </c>
      <c r="G892" s="2" t="s">
        <v>485</v>
      </c>
      <c r="H892" s="2" t="s">
        <v>486</v>
      </c>
      <c r="I892" s="2" t="str">
        <f>IFERROR(__xludf.DUMMYFUNCTION("GOOGLETRANSLATE(C892,""fr"",""en"")"),"Do you have a legal assistance which takes the defense of his insured. ° 2 ° Make yourself a vehicle loan in the event of: accident between 2 vehicles and especially mechanical incident of the car. I had the sad experience with one of your competitors: th"&amp;"e expert who abounded in the direction of PSA and then no vehicle loan that it was necessary to rent at 30 € per day and pay the repair of A car under 2 years of age and 18,000kms and also tell me that I did not know how to drive after being salesperson f"&amp;"or 40 years with 45000kms per year! Or that I left my foot permanently on the clutch which had died completely/ here is my criterion to change insurance. lovegdur@gmail.com")</f>
        <v>Do you have a legal assistance which takes the defense of his insured. ° 2 ° Make yourself a vehicle loan in the event of: accident between 2 vehicles and especially mechanical incident of the car. I had the sad experience with one of your competitors: the expert who abounded in the direction of PSA and then no vehicle loan that it was necessary to rent at 30 € per day and pay the repair of A car under 2 years of age and 18,000kms and also tell me that I did not know how to drive after being salesperson for 40 years with 45000kms per year! Or that I left my foot permanently on the clutch which had died completely/ here is my criterion to change insurance. lovegdur@gmail.com</v>
      </c>
    </row>
    <row r="893" ht="15.75" customHeight="1">
      <c r="A893" s="2">
        <v>5.0</v>
      </c>
      <c r="B893" s="2" t="s">
        <v>2467</v>
      </c>
      <c r="C893" s="2" t="s">
        <v>2468</v>
      </c>
      <c r="D893" s="2" t="s">
        <v>30</v>
      </c>
      <c r="E893" s="2" t="s">
        <v>14</v>
      </c>
      <c r="F893" s="2" t="s">
        <v>15</v>
      </c>
      <c r="G893" s="2" t="s">
        <v>863</v>
      </c>
      <c r="H893" s="2" t="s">
        <v>107</v>
      </c>
      <c r="I893" s="2" t="str">
        <f>IFERROR(__xludf.DUMMYFUNCTION("GOOGLETRANSLATE(C893,""fr"",""en"")"),"I am satisfied thank you for the price also direct insurance you are the best quality qualities taken the service after sale you facilitates the steps")</f>
        <v>I am satisfied thank you for the price also direct insurance you are the best quality qualities taken the service after sale you facilitates the steps</v>
      </c>
    </row>
    <row r="894" ht="15.75" customHeight="1">
      <c r="A894" s="2">
        <v>1.0</v>
      </c>
      <c r="B894" s="2" t="s">
        <v>2469</v>
      </c>
      <c r="C894" s="2" t="s">
        <v>2470</v>
      </c>
      <c r="D894" s="2" t="s">
        <v>224</v>
      </c>
      <c r="E894" s="2" t="s">
        <v>68</v>
      </c>
      <c r="F894" s="2" t="s">
        <v>15</v>
      </c>
      <c r="G894" s="2" t="s">
        <v>2471</v>
      </c>
      <c r="H894" s="2" t="s">
        <v>27</v>
      </c>
      <c r="I894" s="2" t="str">
        <f>IFERROR(__xludf.DUMMYFUNCTION("GOOGLETRANSLATE(C894,""fr"",""en"")"),"Ensure Pacifica for less than a year.
I got robbed on 10/27/19
Passage of the expert on 15/11/2019
No regulations to date the expert would have been mistaken on the Pacifica costing would have asked for a counter expertise I wrote to the consumer servi"&amp;"ce nothing I wrote to the director general nothing apart from having transmitted my mail to the consumer services
We are on 03/18/2020 or 5 months later I continue to pay my contributions despite no indemination I used a lawyer and consumer associations "&amp;"and I am waiting for the outcome
Insurance to flee
")</f>
        <v>Ensure Pacifica for less than a year.
I got robbed on 10/27/19
Passage of the expert on 15/11/2019
No regulations to date the expert would have been mistaken on the Pacifica costing would have asked for a counter expertise I wrote to the consumer service nothing I wrote to the director general nothing apart from having transmitted my mail to the consumer services
We are on 03/18/2020 or 5 months later I continue to pay my contributions despite no indemination I used a lawyer and consumer associations and I am waiting for the outcome
Insurance to flee
</v>
      </c>
    </row>
    <row r="895" ht="15.75" customHeight="1">
      <c r="A895" s="2">
        <v>5.0</v>
      </c>
      <c r="B895" s="2" t="s">
        <v>2125</v>
      </c>
      <c r="C895" s="2" t="s">
        <v>2472</v>
      </c>
      <c r="D895" s="2" t="s">
        <v>571</v>
      </c>
      <c r="E895" s="2" t="s">
        <v>80</v>
      </c>
      <c r="F895" s="2" t="s">
        <v>15</v>
      </c>
      <c r="G895" s="2" t="s">
        <v>583</v>
      </c>
      <c r="H895" s="2" t="s">
        <v>159</v>
      </c>
      <c r="I895" s="2" t="str">
        <f>IFERROR(__xludf.DUMMYFUNCTION("GOOGLETRANSLATE(C895,""fr"",""en"")"),"Very satisfied by the service and availability, speed and ease of treatment
Intuitive online service
To be confirmed in time but encouraging")</f>
        <v>Very satisfied by the service and availability, speed and ease of treatment
Intuitive online service
To be confirmed in time but encouraging</v>
      </c>
    </row>
    <row r="896" ht="15.75" customHeight="1">
      <c r="A896" s="2">
        <v>1.0</v>
      </c>
      <c r="B896" s="2" t="s">
        <v>2473</v>
      </c>
      <c r="C896" s="2" t="s">
        <v>2474</v>
      </c>
      <c r="D896" s="2" t="s">
        <v>141</v>
      </c>
      <c r="E896" s="2" t="s">
        <v>68</v>
      </c>
      <c r="F896" s="2" t="s">
        <v>15</v>
      </c>
      <c r="G896" s="2" t="s">
        <v>2475</v>
      </c>
      <c r="H896" s="2" t="s">
        <v>369</v>
      </c>
      <c r="I896" s="2" t="str">
        <f>IFERROR(__xludf.DUMMYFUNCTION("GOOGLETRANSLATE(C896,""fr"",""en"")"),"Insured for over twenty years at La Maif, I have always been happy, no car accident and two very small claims over ten years ago!")</f>
        <v>Insured for over twenty years at La Maif, I have always been happy, no car accident and two very small claims over ten years ago!</v>
      </c>
    </row>
    <row r="897" ht="15.75" customHeight="1">
      <c r="A897" s="2">
        <v>3.0</v>
      </c>
      <c r="B897" s="2" t="s">
        <v>2476</v>
      </c>
      <c r="C897" s="2" t="s">
        <v>2477</v>
      </c>
      <c r="D897" s="2" t="s">
        <v>134</v>
      </c>
      <c r="E897" s="2" t="s">
        <v>36</v>
      </c>
      <c r="F897" s="2" t="s">
        <v>15</v>
      </c>
      <c r="G897" s="2" t="s">
        <v>1424</v>
      </c>
      <c r="H897" s="2" t="s">
        <v>64</v>
      </c>
      <c r="I897" s="2" t="str">
        <f>IFERROR(__xludf.DUMMYFUNCTION("GOOGLETRANSLATE(C897,""fr"",""en"")"),"Hello
My call aimed my radiation from your mutual
Indeed I found a mutual with more coverage and at a price almost similar to your
Rawane my interlocutor was kind
")</f>
        <v>Hello
My call aimed my radiation from your mutual
Indeed I found a mutual with more coverage and at a price almost similar to your
Rawane my interlocutor was kind
</v>
      </c>
    </row>
    <row r="898" ht="15.75" customHeight="1">
      <c r="A898" s="2">
        <v>4.0</v>
      </c>
      <c r="B898" s="2" t="s">
        <v>2478</v>
      </c>
      <c r="C898" s="2" t="s">
        <v>2479</v>
      </c>
      <c r="D898" s="2" t="s">
        <v>50</v>
      </c>
      <c r="E898" s="2" t="s">
        <v>14</v>
      </c>
      <c r="F898" s="2" t="s">
        <v>15</v>
      </c>
      <c r="G898" s="2" t="s">
        <v>2339</v>
      </c>
      <c r="H898" s="2" t="s">
        <v>38</v>
      </c>
      <c r="I898" s="2" t="str">
        <f>IFERROR(__xludf.DUMMYFUNCTION("GOOGLETRANSLATE(C898,""fr"",""en"")"),"I am satisfied with the olive assurance in quality / price therme.
I renew my confidence in this second car insurance contract at the Olivier Insurance.")</f>
        <v>I am satisfied with the olive assurance in quality / price therme.
I renew my confidence in this second car insurance contract at the Olivier Insurance.</v>
      </c>
    </row>
    <row r="899" ht="15.75" customHeight="1">
      <c r="A899" s="2">
        <v>4.0</v>
      </c>
      <c r="B899" s="2" t="s">
        <v>2480</v>
      </c>
      <c r="C899" s="2" t="s">
        <v>2481</v>
      </c>
      <c r="D899" s="2" t="s">
        <v>718</v>
      </c>
      <c r="E899" s="2" t="s">
        <v>36</v>
      </c>
      <c r="F899" s="2" t="s">
        <v>15</v>
      </c>
      <c r="G899" s="2" t="s">
        <v>1402</v>
      </c>
      <c r="H899" s="2" t="s">
        <v>192</v>
      </c>
      <c r="I899" s="2" t="str">
        <f>IFERROR(__xludf.DUMMYFUNCTION("GOOGLETRANSLATE(C899,""fr"",""en"")"),"I am pleasantly surprised to find a reinforcement concerning alternative medicines.
I do not put satisfaction as much as possible because I am waiting to see the effectiveness of the service")</f>
        <v>I am pleasantly surprised to find a reinforcement concerning alternative medicines.
I do not put satisfaction as much as possible because I am waiting to see the effectiveness of the service</v>
      </c>
    </row>
    <row r="900" ht="15.75" customHeight="1">
      <c r="A900" s="2">
        <v>3.0</v>
      </c>
      <c r="B900" s="2" t="s">
        <v>2482</v>
      </c>
      <c r="C900" s="2" t="s">
        <v>2483</v>
      </c>
      <c r="D900" s="2" t="s">
        <v>224</v>
      </c>
      <c r="E900" s="2" t="s">
        <v>68</v>
      </c>
      <c r="F900" s="2" t="s">
        <v>15</v>
      </c>
      <c r="G900" s="2" t="s">
        <v>2484</v>
      </c>
      <c r="H900" s="2" t="s">
        <v>319</v>
      </c>
      <c r="I900" s="2" t="str">
        <f>IFERROR(__xludf.DUMMYFUNCTION("GOOGLETRANSLATE(C900,""fr"",""en"")"),"Very good assurance my claim was taken care of effectively and quickly alone downside the very unpleasant interlocutor I was surprised because everything has always been well with them I remarked because it was more than once it contacts me and Of course "&amp;"she took it very badly then madam, Mr. Insurers please have respect for your insured.")</f>
        <v>Very good assurance my claim was taken care of effectively and quickly alone downside the very unpleasant interlocutor I was surprised because everything has always been well with them I remarked because it was more than once it contacts me and Of course she took it very badly then madam, Mr. Insurers please have respect for your insured.</v>
      </c>
    </row>
    <row r="901" ht="15.75" customHeight="1">
      <c r="A901" s="2">
        <v>1.0</v>
      </c>
      <c r="B901" s="2" t="s">
        <v>2485</v>
      </c>
      <c r="C901" s="2" t="s">
        <v>2486</v>
      </c>
      <c r="D901" s="2" t="s">
        <v>35</v>
      </c>
      <c r="E901" s="2" t="s">
        <v>36</v>
      </c>
      <c r="F901" s="2" t="s">
        <v>15</v>
      </c>
      <c r="G901" s="2" t="s">
        <v>2487</v>
      </c>
      <c r="H901" s="2" t="s">
        <v>424</v>
      </c>
      <c r="I901" s="2" t="str">
        <f>IFERROR(__xludf.DUMMYFUNCTION("GOOGLETRANSLATE(C901,""fr"",""en"")"),"You enter, no problem! But having found a job, I contribute to a mandatory business mutual. Only, Santiane has still not terminated the CPAM after a recommended, 3 calls and 4 emails. In short, I am hostage and more reimbursed because of them!")</f>
        <v>You enter, no problem! But having found a job, I contribute to a mandatory business mutual. Only, Santiane has still not terminated the CPAM after a recommended, 3 calls and 4 emails. In short, I am hostage and more reimbursed because of them!</v>
      </c>
    </row>
    <row r="902" ht="15.75" customHeight="1">
      <c r="A902" s="2">
        <v>4.0</v>
      </c>
      <c r="B902" s="2" t="s">
        <v>2488</v>
      </c>
      <c r="C902" s="2" t="s">
        <v>2489</v>
      </c>
      <c r="D902" s="2" t="s">
        <v>30</v>
      </c>
      <c r="E902" s="2" t="s">
        <v>14</v>
      </c>
      <c r="F902" s="2" t="s">
        <v>15</v>
      </c>
      <c r="G902" s="2" t="s">
        <v>315</v>
      </c>
      <c r="H902" s="2" t="s">
        <v>64</v>
      </c>
      <c r="I902" s="2" t="str">
        <f>IFERROR(__xludf.DUMMYFUNCTION("GOOGLETRANSLATE(C902,""fr"",""en"")"),"Correct value for money. New member, I am waiting to see how the exchanges with Direct Insurance is taking place to confirm or deny my opinion")</f>
        <v>Correct value for money. New member, I am waiting to see how the exchanges with Direct Insurance is taking place to confirm or deny my opinion</v>
      </c>
    </row>
    <row r="903" ht="15.75" customHeight="1">
      <c r="A903" s="2">
        <v>5.0</v>
      </c>
      <c r="B903" s="2" t="s">
        <v>2490</v>
      </c>
      <c r="C903" s="2" t="s">
        <v>2491</v>
      </c>
      <c r="D903" s="2" t="s">
        <v>50</v>
      </c>
      <c r="E903" s="2" t="s">
        <v>14</v>
      </c>
      <c r="F903" s="2" t="s">
        <v>15</v>
      </c>
      <c r="G903" s="2" t="s">
        <v>1739</v>
      </c>
      <c r="H903" s="2" t="s">
        <v>38</v>
      </c>
      <c r="I903" s="2" t="str">
        <f>IFERROR(__xludf.DUMMYFUNCTION("GOOGLETRANSLATE(C903,""fr"",""en"")"),"I was contacted by a very friendly person who advised me very well. To recommend. I am validated to access and validate my personal space validation.")</f>
        <v>I was contacted by a very friendly person who advised me very well. To recommend. I am validated to access and validate my personal space validation.</v>
      </c>
    </row>
    <row r="904" ht="15.75" customHeight="1">
      <c r="A904" s="2">
        <v>2.0</v>
      </c>
      <c r="B904" s="2" t="s">
        <v>2492</v>
      </c>
      <c r="C904" s="2" t="s">
        <v>2493</v>
      </c>
      <c r="D904" s="2" t="s">
        <v>134</v>
      </c>
      <c r="E904" s="2" t="s">
        <v>36</v>
      </c>
      <c r="F904" s="2" t="s">
        <v>15</v>
      </c>
      <c r="G904" s="2" t="s">
        <v>340</v>
      </c>
      <c r="H904" s="2" t="s">
        <v>340</v>
      </c>
      <c r="I904" s="2" t="str">
        <f>IFERROR(__xludf.DUMMYFUNCTION("GOOGLETRANSLATE(C904,""fr"",""en"")"),"A scandal this mutual, salespeople for subscription after more people. A higher discomfort in January, so I contacted customer service, a person told me that my bank refused the sag so I contact my bank who tells me that no so I contact customer service a"&amp;"nd the a second story an exceptional lens For an association. I find this non -professional and totally liar, it is a shame, I will leave this mutual and I would not recommend it to anyone")</f>
        <v>A scandal this mutual, salespeople for subscription after more people. A higher discomfort in January, so I contacted customer service, a person told me that my bank refused the sag so I contact my bank who tells me that no so I contact customer service and the a second story an exceptional lens For an association. I find this non -professional and totally liar, it is a shame, I will leave this mutual and I would not recommend it to anyone</v>
      </c>
    </row>
    <row r="905" ht="15.75" customHeight="1">
      <c r="A905" s="2">
        <v>5.0</v>
      </c>
      <c r="B905" s="2" t="s">
        <v>2494</v>
      </c>
      <c r="C905" s="2" t="s">
        <v>2495</v>
      </c>
      <c r="D905" s="2" t="s">
        <v>481</v>
      </c>
      <c r="E905" s="2" t="s">
        <v>111</v>
      </c>
      <c r="F905" s="2" t="s">
        <v>15</v>
      </c>
      <c r="G905" s="2" t="s">
        <v>205</v>
      </c>
      <c r="H905" s="2" t="s">
        <v>159</v>
      </c>
      <c r="I905" s="2" t="str">
        <f>IFERROR(__xludf.DUMMYFUNCTION("GOOGLETRANSLATE(C905,""fr"",""en"")"),"I am satisfied with the contract The prices are affordable
I trust this insurance which already has a lot of members within please accept me")</f>
        <v>I am satisfied with the contract The prices are affordable
I trust this insurance which already has a lot of members within please accept me</v>
      </c>
    </row>
    <row r="906" ht="15.75" customHeight="1">
      <c r="A906" s="2">
        <v>5.0</v>
      </c>
      <c r="B906" s="2" t="s">
        <v>2496</v>
      </c>
      <c r="C906" s="2" t="s">
        <v>2497</v>
      </c>
      <c r="D906" s="2" t="s">
        <v>50</v>
      </c>
      <c r="E906" s="2" t="s">
        <v>14</v>
      </c>
      <c r="F906" s="2" t="s">
        <v>15</v>
      </c>
      <c r="G906" s="2" t="s">
        <v>427</v>
      </c>
      <c r="H906" s="2" t="s">
        <v>38</v>
      </c>
      <c r="I906" s="2" t="str">
        <f>IFERROR(__xludf.DUMMYFUNCTION("GOOGLETRANSLATE(C906,""fr"",""en"")"),"The site is very well done, the announcement is clear and the exchange of information in fact. If I have to make a remark: it is not easy to understand what is going on after the 11th deadline.")</f>
        <v>The site is very well done, the announcement is clear and the exchange of information in fact. If I have to make a remark: it is not easy to understand what is going on after the 11th deadline.</v>
      </c>
    </row>
    <row r="907" ht="15.75" customHeight="1">
      <c r="A907" s="2">
        <v>1.0</v>
      </c>
      <c r="B907" s="2" t="s">
        <v>2498</v>
      </c>
      <c r="C907" s="2" t="s">
        <v>2499</v>
      </c>
      <c r="D907" s="2" t="s">
        <v>30</v>
      </c>
      <c r="E907" s="2" t="s">
        <v>14</v>
      </c>
      <c r="F907" s="2" t="s">
        <v>15</v>
      </c>
      <c r="G907" s="2" t="s">
        <v>1171</v>
      </c>
      <c r="H907" s="2" t="s">
        <v>360</v>
      </c>
      <c r="I907" s="2" t="str">
        <f>IFERROR(__xludf.DUMMYFUNCTION("GOOGLETRANSLATE(C907,""fr"",""en"")"),"Hanging up on the nose are not very slow professionals when processing files do not hesitate to bypass the rules to be right. Pass customers from one service to another")</f>
        <v>Hanging up on the nose are not very slow professionals when processing files do not hesitate to bypass the rules to be right. Pass customers from one service to another</v>
      </c>
    </row>
    <row r="908" ht="15.75" customHeight="1">
      <c r="A908" s="2">
        <v>3.0</v>
      </c>
      <c r="B908" s="2" t="s">
        <v>2500</v>
      </c>
      <c r="C908" s="2" t="s">
        <v>2501</v>
      </c>
      <c r="D908" s="2" t="s">
        <v>99</v>
      </c>
      <c r="E908" s="2" t="s">
        <v>100</v>
      </c>
      <c r="F908" s="2" t="s">
        <v>15</v>
      </c>
      <c r="G908" s="2" t="s">
        <v>2502</v>
      </c>
      <c r="H908" s="2" t="s">
        <v>1965</v>
      </c>
      <c r="I908" s="2" t="str">
        <f>IFERROR(__xludf.DUMMYFUNCTION("GOOGLETRANSLATE(C908,""fr"",""en"")"),"Good insurance I have been with them for a few more than a year for my 2 dogs no unpleasant surprises I have always been reimbursed serious insurance")</f>
        <v>Good insurance I have been with them for a few more than a year for my 2 dogs no unpleasant surprises I have always been reimbursed serious insurance</v>
      </c>
    </row>
    <row r="909" ht="15.75" customHeight="1">
      <c r="A909" s="2">
        <v>5.0</v>
      </c>
      <c r="B909" s="2" t="s">
        <v>2503</v>
      </c>
      <c r="C909" s="2" t="s">
        <v>2504</v>
      </c>
      <c r="D909" s="2" t="s">
        <v>50</v>
      </c>
      <c r="E909" s="2" t="s">
        <v>14</v>
      </c>
      <c r="F909" s="2" t="s">
        <v>15</v>
      </c>
      <c r="G909" s="2" t="s">
        <v>232</v>
      </c>
      <c r="H909" s="2" t="s">
        <v>233</v>
      </c>
      <c r="I909" s="2" t="str">
        <f>IFERROR(__xludf.DUMMYFUNCTION("GOOGLETRANSLATE(C909,""fr"",""en"")"),"Listening customer service, always pleasant to chat with them.
The prices are in the low range, compared to other names in the estate.
I never had any worries with this insurer, all my questions found answers quickly.")</f>
        <v>Listening customer service, always pleasant to chat with them.
The prices are in the low range, compared to other names in the estate.
I never had any worries with this insurer, all my questions found answers quickly.</v>
      </c>
    </row>
    <row r="910" ht="15.75" customHeight="1">
      <c r="A910" s="2">
        <v>4.0</v>
      </c>
      <c r="B910" s="2" t="s">
        <v>2505</v>
      </c>
      <c r="C910" s="2" t="s">
        <v>2506</v>
      </c>
      <c r="D910" s="2" t="s">
        <v>35</v>
      </c>
      <c r="E910" s="2" t="s">
        <v>36</v>
      </c>
      <c r="F910" s="2" t="s">
        <v>15</v>
      </c>
      <c r="G910" s="2" t="s">
        <v>1893</v>
      </c>
      <c r="H910" s="2" t="s">
        <v>131</v>
      </c>
      <c r="I910" s="2" t="str">
        <f>IFERROR(__xludf.DUMMYFUNCTION("GOOGLETRANSLATE(C910,""fr"",""en"")"),"Customer service is impeccable! My interlocutor of this day ""Mame"" looked for all the solutions to meet my request. It is so important to feel accompanied and understood, especially in painful situations. A big thank you, so :))")</f>
        <v>Customer service is impeccable! My interlocutor of this day "Mame" looked for all the solutions to meet my request. It is so important to feel accompanied and understood, especially in painful situations. A big thank you, so :))</v>
      </c>
    </row>
    <row r="911" ht="15.75" customHeight="1">
      <c r="A911" s="2">
        <v>1.0</v>
      </c>
      <c r="B911" s="2" t="s">
        <v>2507</v>
      </c>
      <c r="C911" s="2" t="s">
        <v>2508</v>
      </c>
      <c r="D911" s="2" t="s">
        <v>30</v>
      </c>
      <c r="E911" s="2" t="s">
        <v>14</v>
      </c>
      <c r="F911" s="2" t="s">
        <v>15</v>
      </c>
      <c r="G911" s="2" t="s">
        <v>869</v>
      </c>
      <c r="H911" s="2" t="s">
        <v>107</v>
      </c>
      <c r="I911" s="2" t="str">
        <f>IFERROR(__xludf.DUMMYFUNCTION("GOOGLETRANSLATE(C911,""fr"",""en"")"),"Insurer not to take. Multiple management of files. Interlocutor who forces us to take more insurance from them while for a car it is already difficult to manage.")</f>
        <v>Insurer not to take. Multiple management of files. Interlocutor who forces us to take more insurance from them while for a car it is already difficult to manage.</v>
      </c>
    </row>
    <row r="912" ht="15.75" customHeight="1">
      <c r="A912" s="2">
        <v>5.0</v>
      </c>
      <c r="B912" s="2" t="s">
        <v>2509</v>
      </c>
      <c r="C912" s="2" t="s">
        <v>2510</v>
      </c>
      <c r="D912" s="2" t="s">
        <v>134</v>
      </c>
      <c r="E912" s="2" t="s">
        <v>36</v>
      </c>
      <c r="F912" s="2" t="s">
        <v>15</v>
      </c>
      <c r="G912" s="2" t="s">
        <v>594</v>
      </c>
      <c r="H912" s="2" t="s">
        <v>47</v>
      </c>
      <c r="I912" s="2" t="str">
        <f>IFERROR(__xludf.DUMMYFUNCTION("GOOGLETRANSLATE(C912,""fr"",""en"")"),"I had Angélique and during the phone call I unfortunately press one to the moon of the questions asked I was not only very well informed but more angelic was very pleasant so please give it a much more note Just during my last call if all this time is pos"&amp;"sible thank you after advance")</f>
        <v>I had Angélique and during the phone call I unfortunately press one to the moon of the questions asked I was not only very well informed but more angelic was very pleasant so please give it a much more note Just during my last call if all this time is possible thank you after advance</v>
      </c>
    </row>
    <row r="913" ht="15.75" customHeight="1">
      <c r="A913" s="2">
        <v>1.0</v>
      </c>
      <c r="B913" s="2" t="s">
        <v>2511</v>
      </c>
      <c r="C913" s="2" t="s">
        <v>2512</v>
      </c>
      <c r="D913" s="2" t="s">
        <v>25</v>
      </c>
      <c r="E913" s="2" t="s">
        <v>14</v>
      </c>
      <c r="F913" s="2" t="s">
        <v>15</v>
      </c>
      <c r="G913" s="2" t="s">
        <v>498</v>
      </c>
      <c r="H913" s="2" t="s">
        <v>52</v>
      </c>
      <c r="I913" s="2" t="str">
        <f>IFERROR(__xludf.DUMMYFUNCTION("GOOGLETRANSLATE(C913,""fr"",""en"")"),"2 av pastor 93290. Today, the agent offended me. I sold the car on March 24, 2001, I asked him to close the contract. Today 06.05.21 I went to the agency, to ask why my money is withdrawn from my account, why the contract is not firm. The agent spoke badl"&amp;"y. It is aggressive, I revolted. He told me to go out and hit me in the face. I called the police, no action on their part. The agent does not want to speak to me. What can I do., I went to talk to the agent, I asked for the phone number of the main owner"&amp;". The agent said he is, that he decides on this sector. He put me at the door aggressively. I was lucky with my friend who was next to me. He spoke to this agent and persuaded him from farm the contract. I want an explanation of the company.")</f>
        <v>2 av pastor 93290. Today, the agent offended me. I sold the car on March 24, 2001, I asked him to close the contract. Today 06.05.21 I went to the agency, to ask why my money is withdrawn from my account, why the contract is not firm. The agent spoke badly. It is aggressive, I revolted. He told me to go out and hit me in the face. I called the police, no action on their part. The agent does not want to speak to me. What can I do., I went to talk to the agent, I asked for the phone number of the main owner. The agent said he is, that he decides on this sector. He put me at the door aggressively. I was lucky with my friend who was next to me. He spoke to this agent and persuaded him from farm the contract. I want an explanation of the company.</v>
      </c>
    </row>
    <row r="914" ht="15.75" customHeight="1">
      <c r="A914" s="2">
        <v>3.0</v>
      </c>
      <c r="B914" s="2" t="s">
        <v>2513</v>
      </c>
      <c r="C914" s="2" t="s">
        <v>2514</v>
      </c>
      <c r="D914" s="2" t="s">
        <v>224</v>
      </c>
      <c r="E914" s="2" t="s">
        <v>14</v>
      </c>
      <c r="F914" s="2" t="s">
        <v>15</v>
      </c>
      <c r="G914" s="2" t="s">
        <v>1893</v>
      </c>
      <c r="H914" s="2" t="s">
        <v>131</v>
      </c>
      <c r="I914" s="2" t="str">
        <f>IFERROR(__xludf.DUMMYFUNCTION("GOOGLETRANSLATE(C914,""fr"",""en"")"),"Very well assured quick reimbursement Simple and quick management my very expensive other than that I don't know what to say we can not say that I am a fan of declarations to insurance")</f>
        <v>Very well assured quick reimbursement Simple and quick management my very expensive other than that I don't know what to say we can not say that I am a fan of declarations to insurance</v>
      </c>
    </row>
    <row r="915" ht="15.75" customHeight="1">
      <c r="A915" s="2">
        <v>2.0</v>
      </c>
      <c r="B915" s="2" t="s">
        <v>2515</v>
      </c>
      <c r="C915" s="2" t="s">
        <v>2516</v>
      </c>
      <c r="D915" s="2" t="s">
        <v>25</v>
      </c>
      <c r="E915" s="2" t="s">
        <v>14</v>
      </c>
      <c r="F915" s="2" t="s">
        <v>15</v>
      </c>
      <c r="G915" s="2" t="s">
        <v>2517</v>
      </c>
      <c r="H915" s="2" t="s">
        <v>1196</v>
      </c>
      <c r="I915" s="2" t="str">
        <f>IFERROR(__xludf.DUMMYFUNCTION("GOOGLETRANSLATE(C915,""fr"",""en"")"),"I have my car insurance at the AXA agency in Lille. Since May I have been trying to terminate my insurance because I have found a better price for the same guarantees.
I had a registered insurer sent by my new insurer to the Central Agency (postal addres"&amp;"s indicated on my insurance papers). My insurance was not terminated because the mail was not sent to the Lille agency (it must be believed that the Central Agency does not communicate with the Lille agency).
So I did a request myself by recommended to t"&amp;"he Lille agency. The agency director did not go and seek the recommended and therefore did not terminate the contract.
So I made my request politely again by email, by scanning my recommended and requesting the reimbursement of the drafts paid wrongly. I"&amp;" received an answer from the director by email ""necessary"" (no ""hello"" of course). The drafts were reimbursed.
Surprise, the following month I was taken again on my account. And this time no response to my emails!
Until now, I had had no problem wit"&amp;"h AXA. I find this opposition unfortunate to terminate our contract.")</f>
        <v>I have my car insurance at the AXA agency in Lille. Since May I have been trying to terminate my insurance because I have found a better price for the same guarantees.
I had a registered insurer sent by my new insurer to the Central Agency (postal address indicated on my insurance papers). My insurance was not terminated because the mail was not sent to the Lille agency (it must be believed that the Central Agency does not communicate with the Lille agency).
So I did a request myself by recommended to the Lille agency. The agency director did not go and seek the recommended and therefore did not terminate the contract.
So I made my request politely again by email, by scanning my recommended and requesting the reimbursement of the drafts paid wrongly. I received an answer from the director by email "necessary" (no "hello" of course). The drafts were reimbursed.
Surprise, the following month I was taken again on my account. And this time no response to my emails!
Until now, I had had no problem with AXA. I find this opposition unfortunate to terminate our contract.</v>
      </c>
    </row>
    <row r="916" ht="15.75" customHeight="1">
      <c r="A916" s="2">
        <v>3.0</v>
      </c>
      <c r="B916" s="2" t="s">
        <v>2518</v>
      </c>
      <c r="C916" s="2" t="s">
        <v>2519</v>
      </c>
      <c r="D916" s="2" t="s">
        <v>296</v>
      </c>
      <c r="E916" s="2" t="s">
        <v>14</v>
      </c>
      <c r="F916" s="2" t="s">
        <v>15</v>
      </c>
      <c r="G916" s="2" t="s">
        <v>1912</v>
      </c>
      <c r="H916" s="2" t="s">
        <v>319</v>
      </c>
      <c r="I916" s="2" t="str">
        <f>IFERROR(__xludf.DUMMYFUNCTION("GOOGLETRANSLATE(C916,""fr"",""en"")"),"My car is insured at the GMF. The premium is € 492 for a 207 all -risk pace, deductible € 102. It increased by 16% compared to last year. No responsible accident. I damaged a wheel in a hen nest. The city has recognized its responsibility. Refund of the w"&amp;"heel € 59, increase in my insurance premium € 55 and I have the same bonus rate as last year (50% + 22% discount in a good driver). The franchise has not been applied. Called GMF the advisor could not give me any explanations. I had to go to the agency wh"&amp;"ere another so incompetent advisor told me that there could not be an error but she does not know why the increase is so important. I will try to find another company")</f>
        <v>My car is insured at the GMF. The premium is € 492 for a 207 all -risk pace, deductible € 102. It increased by 16% compared to last year. No responsible accident. I damaged a wheel in a hen nest. The city has recognized its responsibility. Refund of the wheel € 59, increase in my insurance premium € 55 and I have the same bonus rate as last year (50% + 22% discount in a good driver). The franchise has not been applied. Called GMF the advisor could not give me any explanations. I had to go to the agency where another so incompetent advisor told me that there could not be an error but she does not know why the increase is so important. I will try to find another company</v>
      </c>
    </row>
    <row r="917" ht="15.75" customHeight="1">
      <c r="A917" s="2">
        <v>2.0</v>
      </c>
      <c r="B917" s="2" t="s">
        <v>2520</v>
      </c>
      <c r="C917" s="2" t="s">
        <v>2521</v>
      </c>
      <c r="D917" s="2" t="s">
        <v>296</v>
      </c>
      <c r="E917" s="2" t="s">
        <v>14</v>
      </c>
      <c r="F917" s="2" t="s">
        <v>15</v>
      </c>
      <c r="G917" s="2" t="s">
        <v>2522</v>
      </c>
      <c r="H917" s="2" t="s">
        <v>981</v>
      </c>
      <c r="I917" s="2" t="str">
        <f>IFERROR(__xludf.DUMMYFUNCTION("GOOGLETRANSLATE(C917,""fr"",""en"")"),"I did not have an accident, so I do not know the level of service of GMF. What I see nevertheless is that a quote at home for the same insurance that I have at home displays more than 100 € less ... so the more we stay, the more we pay dear !!! You might "&amp;"as well leave ... even with the 2 months offered, promo of the moment, there are not € 130 of subscription for 2 months of insurance ...
So the strategy is to appease the customer to have it helped then when it is faithful ... everything is fine, normal:"&amp;" -s")</f>
        <v>I did not have an accident, so I do not know the level of service of GMF. What I see nevertheless is that a quote at home for the same insurance that I have at home displays more than 100 € less ... so the more we stay, the more we pay dear !!! You might as well leave ... even with the 2 months offered, promo of the moment, there are not € 130 of subscription for 2 months of insurance ...
So the strategy is to appease the customer to have it helped then when it is faithful ... everything is fine, normal: -s</v>
      </c>
    </row>
    <row r="918" ht="15.75" customHeight="1">
      <c r="A918" s="2">
        <v>4.0</v>
      </c>
      <c r="B918" s="2" t="s">
        <v>2523</v>
      </c>
      <c r="C918" s="2" t="s">
        <v>2524</v>
      </c>
      <c r="D918" s="2" t="s">
        <v>30</v>
      </c>
      <c r="E918" s="2" t="s">
        <v>14</v>
      </c>
      <c r="F918" s="2" t="s">
        <v>15</v>
      </c>
      <c r="G918" s="2" t="s">
        <v>542</v>
      </c>
      <c r="H918" s="2" t="s">
        <v>159</v>
      </c>
      <c r="I918" s="2" t="str">
        <f>IFERROR(__xludf.DUMMYFUNCTION("GOOGLETRANSLATE(C918,""fr"",""en"")"),"I am satisfied with the service.
There is a short call from an advisor to be reassured about my contract and confirm me well on the amount of my direct debit etc ...
The price remains correct (I compared on the lynx beforehand) but good as everything re"&amp;"mains a little expensive knowing that I have rarely had a problem with me in 10 years.
I still plan to add my car insurance because concerning this one, the price remains competitive I think.
Have a good day")</f>
        <v>I am satisfied with the service.
There is a short call from an advisor to be reassured about my contract and confirm me well on the amount of my direct debit etc ...
The price remains correct (I compared on the lynx beforehand) but good as everything remains a little expensive knowing that I have rarely had a problem with me in 10 years.
I still plan to add my car insurance because concerning this one, the price remains competitive I think.
Have a good day</v>
      </c>
    </row>
    <row r="919" ht="15.75" customHeight="1">
      <c r="A919" s="2">
        <v>4.0</v>
      </c>
      <c r="B919" s="2" t="s">
        <v>2525</v>
      </c>
      <c r="C919" s="2" t="s">
        <v>2526</v>
      </c>
      <c r="D919" s="2" t="s">
        <v>30</v>
      </c>
      <c r="E919" s="2" t="s">
        <v>14</v>
      </c>
      <c r="F919" s="2" t="s">
        <v>15</v>
      </c>
      <c r="G919" s="2" t="s">
        <v>2527</v>
      </c>
      <c r="H919" s="2" t="s">
        <v>38</v>
      </c>
      <c r="I919" s="2" t="str">
        <f>IFERROR(__xludf.DUMMYFUNCTION("GOOGLETRANSLATE(C919,""fr"",""en"")"),"I am satisfied with the service. Simple and quick. This is the first time that I have passed through online insurance after hearing a lot about it.")</f>
        <v>I am satisfied with the service. Simple and quick. This is the first time that I have passed through online insurance after hearing a lot about it.</v>
      </c>
    </row>
    <row r="920" ht="15.75" customHeight="1">
      <c r="A920" s="2">
        <v>3.0</v>
      </c>
      <c r="B920" s="2" t="s">
        <v>2528</v>
      </c>
      <c r="C920" s="2" t="s">
        <v>2529</v>
      </c>
      <c r="D920" s="2" t="s">
        <v>141</v>
      </c>
      <c r="E920" s="2" t="s">
        <v>14</v>
      </c>
      <c r="F920" s="2" t="s">
        <v>15</v>
      </c>
      <c r="G920" s="2" t="s">
        <v>2530</v>
      </c>
      <c r="H920" s="2" t="s">
        <v>233</v>
      </c>
      <c r="I920" s="2" t="str">
        <f>IFERROR(__xludf.DUMMYFUNCTION("GOOGLETRANSLATE(C920,""fr"",""en"")"),"Very disappointed by my last call to the maif for broken ice ... The person on the phone was very unpleasant by asking me very authoritarian not to cut him while I was just telling him that I preferred to put my car at my mechanic (in whom I fully trust)."&amp;" This is the first time that I have been as badly received, it has been to think about the future ...")</f>
        <v>Very disappointed by my last call to the maif for broken ice ... The person on the phone was very unpleasant by asking me very authoritarian not to cut him while I was just telling him that I preferred to put my car at my mechanic (in whom I fully trust). This is the first time that I have been as badly received, it has been to think about the future ...</v>
      </c>
    </row>
    <row r="921" ht="15.75" customHeight="1">
      <c r="A921" s="2">
        <v>4.0</v>
      </c>
      <c r="B921" s="2" t="s">
        <v>2531</v>
      </c>
      <c r="C921" s="2" t="s">
        <v>2532</v>
      </c>
      <c r="D921" s="2" t="s">
        <v>30</v>
      </c>
      <c r="E921" s="2" t="s">
        <v>14</v>
      </c>
      <c r="F921" s="2" t="s">
        <v>15</v>
      </c>
      <c r="G921" s="2" t="s">
        <v>1511</v>
      </c>
      <c r="H921" s="2" t="s">
        <v>107</v>
      </c>
      <c r="I921" s="2" t="str">
        <f>IFERROR(__xludf.DUMMYFUNCTION("GOOGLETRANSLATE(C921,""fr"",""en"")"),"Attractive price good value for money…,. I hope it will meet my long -term expectations. I registered 2 years ago and I come back for the price which remains cheaper I hope not to lose as services")</f>
        <v>Attractive price good value for money…,. I hope it will meet my long -term expectations. I registered 2 years ago and I come back for the price which remains cheaper I hope not to lose as services</v>
      </c>
    </row>
    <row r="922" ht="15.75" customHeight="1">
      <c r="A922" s="2">
        <v>1.0</v>
      </c>
      <c r="B922" s="2" t="s">
        <v>2533</v>
      </c>
      <c r="C922" s="2" t="s">
        <v>2534</v>
      </c>
      <c r="D922" s="2" t="s">
        <v>449</v>
      </c>
      <c r="E922" s="2" t="s">
        <v>36</v>
      </c>
      <c r="F922" s="2" t="s">
        <v>15</v>
      </c>
      <c r="G922" s="2" t="s">
        <v>2535</v>
      </c>
      <c r="H922" s="2" t="s">
        <v>360</v>
      </c>
      <c r="I922" s="2" t="str">
        <f>IFERROR(__xludf.DUMMYFUNCTION("GOOGLETRANSLATE(C922,""fr"",""en"")"),"to flee at full speed ... zero stars")</f>
        <v>to flee at full speed ... zero stars</v>
      </c>
    </row>
    <row r="923" ht="15.75" customHeight="1">
      <c r="A923" s="2">
        <v>4.0</v>
      </c>
      <c r="B923" s="2" t="s">
        <v>2536</v>
      </c>
      <c r="C923" s="2" t="s">
        <v>2537</v>
      </c>
      <c r="D923" s="2" t="s">
        <v>296</v>
      </c>
      <c r="E923" s="2" t="s">
        <v>14</v>
      </c>
      <c r="F923" s="2" t="s">
        <v>15</v>
      </c>
      <c r="G923" s="2" t="s">
        <v>2538</v>
      </c>
      <c r="H923" s="2" t="s">
        <v>52</v>
      </c>
      <c r="I923" s="2" t="str">
        <f>IFERROR(__xludf.DUMMYFUNCTION("GOOGLETRANSLATE(C923,""fr"",""en"")"),"Satisfied with the GMF services for over 30 years.
Several contracts in progress for many years.
Proof of long short satisfaction")</f>
        <v>Satisfied with the GMF services for over 30 years.
Several contracts in progress for many years.
Proof of long short satisfaction</v>
      </c>
    </row>
    <row r="924" ht="15.75" customHeight="1">
      <c r="A924" s="2">
        <v>1.0</v>
      </c>
      <c r="B924" s="2" t="s">
        <v>2539</v>
      </c>
      <c r="C924" s="2" t="s">
        <v>2540</v>
      </c>
      <c r="D924" s="2" t="s">
        <v>436</v>
      </c>
      <c r="E924" s="2" t="s">
        <v>36</v>
      </c>
      <c r="F924" s="2" t="s">
        <v>15</v>
      </c>
      <c r="G924" s="2" t="s">
        <v>2541</v>
      </c>
      <c r="H924" s="2" t="s">
        <v>70</v>
      </c>
      <c r="I924" s="2" t="str">
        <f>IFERROR(__xludf.DUMMYFUNCTION("GOOGLETRANSLATE(C924,""fr"",""en"")"),"Any Mutual Dhayange's LEQUIPE is very unpleasant and disrespectful towards their customers very badly not even received a smile and more no form of politeness in our view")</f>
        <v>Any Mutual Dhayange's LEQUIPE is very unpleasant and disrespectful towards their customers very badly not even received a smile and more no form of politeness in our view</v>
      </c>
    </row>
    <row r="925" ht="15.75" customHeight="1">
      <c r="A925" s="2">
        <v>5.0</v>
      </c>
      <c r="B925" s="2" t="s">
        <v>2542</v>
      </c>
      <c r="C925" s="2" t="s">
        <v>2543</v>
      </c>
      <c r="D925" s="2" t="s">
        <v>50</v>
      </c>
      <c r="E925" s="2" t="s">
        <v>14</v>
      </c>
      <c r="F925" s="2" t="s">
        <v>15</v>
      </c>
      <c r="G925" s="2" t="s">
        <v>2544</v>
      </c>
      <c r="H925" s="2" t="s">
        <v>52</v>
      </c>
      <c r="I925" s="2" t="str">
        <f>IFERROR(__xludf.DUMMYFUNCTION("GOOGLETRANSLATE(C925,""fr"",""en"")"),"Very satisfied with the service! I highly recommend ! Very easy to access and documents received in time! Everything goes faster on the internet !!!!")</f>
        <v>Very satisfied with the service! I highly recommend ! Very easy to access and documents received in time! Everything goes faster on the internet !!!!</v>
      </c>
    </row>
    <row r="926" ht="15.75" customHeight="1">
      <c r="A926" s="2">
        <v>2.0</v>
      </c>
      <c r="B926" s="2" t="s">
        <v>2545</v>
      </c>
      <c r="C926" s="2" t="s">
        <v>2546</v>
      </c>
      <c r="D926" s="2" t="s">
        <v>30</v>
      </c>
      <c r="E926" s="2" t="s">
        <v>14</v>
      </c>
      <c r="F926" s="2" t="s">
        <v>15</v>
      </c>
      <c r="G926" s="2" t="s">
        <v>2547</v>
      </c>
      <c r="H926" s="2" t="s">
        <v>241</v>
      </c>
      <c r="I926" s="2" t="str">
        <f>IFERROR(__xludf.DUMMYFUNCTION("GOOGLETRANSLATE(C926,""fr"",""en"")"),"When you have nothing well but as soon as you have an accident no one to accompany you in the steps I find it inadmissible !!!!!! We take you for a minus than nothing if you are not insured any risk. I completely recommend this assurance to curs!")</f>
        <v>When you have nothing well but as soon as you have an accident no one to accompany you in the steps I find it inadmissible !!!!!! We take you for a minus than nothing if you are not insured any risk. I completely recommend this assurance to curs!</v>
      </c>
    </row>
    <row r="927" ht="15.75" customHeight="1">
      <c r="A927" s="2">
        <v>1.0</v>
      </c>
      <c r="B927" s="2" t="s">
        <v>2548</v>
      </c>
      <c r="C927" s="2" t="s">
        <v>2549</v>
      </c>
      <c r="D927" s="2" t="s">
        <v>134</v>
      </c>
      <c r="E927" s="2" t="s">
        <v>36</v>
      </c>
      <c r="F927" s="2" t="s">
        <v>15</v>
      </c>
      <c r="G927" s="2" t="s">
        <v>2550</v>
      </c>
      <c r="H927" s="2" t="s">
        <v>1553</v>
      </c>
      <c r="I927" s="2" t="str">
        <f>IFERROR(__xludf.DUMMYFUNCTION("GOOGLETRANSLATE(C927,""fr"",""en"")"),"After saying my urgent need because admitted to the Cross Rousse hospital in Lyon for big pathological impossible to transmit the request for care for the individual room on the phone or response to email for the paid third party card and in addition not "&amp;"Document or contract to see what we have signed in short I will send a letter recommend and oppose the bank on everything that their initial 2 does not correspond to everything to my expectations and I will do my legal service I do not recommend This mutu"&amp;"al and their satiane broker")</f>
        <v>After saying my urgent need because admitted to the Cross Rousse hospital in Lyon for big pathological impossible to transmit the request for care for the individual room on the phone or response to email for the paid third party card and in addition not Document or contract to see what we have signed in short I will send a letter recommend and oppose the bank on everything that their initial 2 does not correspond to everything to my expectations and I will do my legal service I do not recommend This mutual and their satiane broker</v>
      </c>
    </row>
    <row r="928" ht="15.75" customHeight="1">
      <c r="A928" s="2">
        <v>1.0</v>
      </c>
      <c r="B928" s="2" t="s">
        <v>2551</v>
      </c>
      <c r="C928" s="2" t="s">
        <v>2552</v>
      </c>
      <c r="D928" s="2" t="s">
        <v>403</v>
      </c>
      <c r="E928" s="2" t="s">
        <v>68</v>
      </c>
      <c r="F928" s="2" t="s">
        <v>15</v>
      </c>
      <c r="G928" s="2" t="s">
        <v>745</v>
      </c>
      <c r="H928" s="2" t="s">
        <v>159</v>
      </c>
      <c r="I928" s="2" t="str">
        <f>IFERROR(__xludf.DUMMYFUNCTION("GOOGLETRANSLATE(C928,""fr"",""en"")"),"Do not take the termination of the contract, continue the samples, and when you give the parts, do not reimburse yourself the amount, which owes you very clever.
strongly the repression of fraud")</f>
        <v>Do not take the termination of the contract, continue the samples, and when you give the parts, do not reimburse yourself the amount, which owes you very clever.
strongly the repression of fraud</v>
      </c>
    </row>
    <row r="929" ht="15.75" customHeight="1">
      <c r="A929" s="2">
        <v>3.0</v>
      </c>
      <c r="B929" s="2" t="s">
        <v>2553</v>
      </c>
      <c r="C929" s="2" t="s">
        <v>2554</v>
      </c>
      <c r="D929" s="2" t="s">
        <v>30</v>
      </c>
      <c r="E929" s="2" t="s">
        <v>14</v>
      </c>
      <c r="F929" s="2" t="s">
        <v>15</v>
      </c>
      <c r="G929" s="2" t="s">
        <v>393</v>
      </c>
      <c r="H929" s="2" t="s">
        <v>47</v>
      </c>
      <c r="I929" s="2" t="str">
        <f>IFERROR(__xludf.DUMMYFUNCTION("GOOGLETRANSLATE(C929,""fr"",""en"")"),"I trusted Diressurance for termination with my former insurer. Fortunately, I check after a month and ask for my former insurer if the termination is effective. No letter received from them! So I continued to pay and no reimbursement until termination ..."&amp;" I am waiting to see if Diressurance will take charge of his error and reimburse me the ""duplication"" of insurance concerning me.")</f>
        <v>I trusted Diressurance for termination with my former insurer. Fortunately, I check after a month and ask for my former insurer if the termination is effective. No letter received from them! So I continued to pay and no reimbursement until termination ... I am waiting to see if Diressurance will take charge of his error and reimburse me the "duplication" of insurance concerning me.</v>
      </c>
    </row>
    <row r="930" ht="15.75" customHeight="1">
      <c r="A930" s="2">
        <v>2.0</v>
      </c>
      <c r="B930" s="2" t="s">
        <v>2555</v>
      </c>
      <c r="C930" s="2" t="s">
        <v>2556</v>
      </c>
      <c r="D930" s="2" t="s">
        <v>481</v>
      </c>
      <c r="E930" s="2" t="s">
        <v>111</v>
      </c>
      <c r="F930" s="2" t="s">
        <v>15</v>
      </c>
      <c r="G930" s="2" t="s">
        <v>2557</v>
      </c>
      <c r="H930" s="2" t="s">
        <v>1553</v>
      </c>
      <c r="I930" s="2" t="str">
        <f>IFERROR(__xludf.DUMMYFUNCTION("GOOGLETRANSLATE(C930,""fr"",""en"")"),"Insurance not reliable at all - as long as you have no problem - it's not too expensive and still there is better - suite for insurance suspension time to change motorcycle - I have always been taken. You call to understand the why. After 5 to 10 minutes "&amp;"it finally wins to hear you say that there was a bug or other invention any invention and that the problem will be solved. nada the following month such re-pronouncement. Pending for 2 months of reimbursement. Insurance not reliable at all. I imagine even"&amp;" in the event of an accident !!!!")</f>
        <v>Insurance not reliable at all - as long as you have no problem - it's not too expensive and still there is better - suite for insurance suspension time to change motorcycle - I have always been taken. You call to understand the why. After 5 to 10 minutes it finally wins to hear you say that there was a bug or other invention any invention and that the problem will be solved. nada the following month such re-pronouncement. Pending for 2 months of reimbursement. Insurance not reliable at all. I imagine even in the event of an accident !!!!</v>
      </c>
    </row>
    <row r="931" ht="15.75" customHeight="1">
      <c r="A931" s="2">
        <v>5.0</v>
      </c>
      <c r="B931" s="2" t="s">
        <v>2558</v>
      </c>
      <c r="C931" s="2" t="s">
        <v>2559</v>
      </c>
      <c r="D931" s="2" t="s">
        <v>50</v>
      </c>
      <c r="E931" s="2" t="s">
        <v>14</v>
      </c>
      <c r="F931" s="2" t="s">
        <v>15</v>
      </c>
      <c r="G931" s="2" t="s">
        <v>2560</v>
      </c>
      <c r="H931" s="2" t="s">
        <v>47</v>
      </c>
      <c r="I931" s="2" t="str">
        <f>IFERROR(__xludf.DUMMYFUNCTION("GOOGLETRANSLATE(C931,""fr"",""en"")"),"I am satisfied with the function of which my file has been processed. I was very well rebseugbe and the prices are very good too.
Very satisfied and I recommend")</f>
        <v>I am satisfied with the function of which my file has been processed. I was very well rebseugbe and the prices are very good too.
Very satisfied and I recommend</v>
      </c>
    </row>
    <row r="932" ht="15.75" customHeight="1">
      <c r="A932" s="2">
        <v>1.0</v>
      </c>
      <c r="B932" s="2" t="s">
        <v>2561</v>
      </c>
      <c r="C932" s="2" t="s">
        <v>2562</v>
      </c>
      <c r="D932" s="2" t="s">
        <v>50</v>
      </c>
      <c r="E932" s="2" t="s">
        <v>14</v>
      </c>
      <c r="F932" s="2" t="s">
        <v>15</v>
      </c>
      <c r="G932" s="2" t="s">
        <v>2563</v>
      </c>
      <c r="H932" s="2" t="s">
        <v>486</v>
      </c>
      <c r="I932" s="2" t="str">
        <f>IFERROR(__xludf.DUMMYFUNCTION("GOOGLETRANSLATE(C932,""fr"",""en"")"),"After almost a week and more than a dozen calls still no responsiveness on their part.
Following a fire on my vehicle, certainly I do not have the guarantee that it is necessary, the insurance validates the intervention of a convenience store but asks me"&amp;" to settle everything, the police written black on white that insurance has It was wrong to remove the vehicle, communication problems in the group, the last advisor I had even put in fault on Europeassistance, she says that there were communication error"&amp;"s but she can do nothing to me.
Nice customer relationship ????
I am closed a sinister file while a manager gave the green light for the opening ...
Finally think two or even three times before taking out a contract with Lolivier Insurance, you will th"&amp;"ank me later believe me")</f>
        <v>After almost a week and more than a dozen calls still no responsiveness on their part.
Following a fire on my vehicle, certainly I do not have the guarantee that it is necessary, the insurance validates the intervention of a convenience store but asks me to settle everything, the police written black on white that insurance has It was wrong to remove the vehicle, communication problems in the group, the last advisor I had even put in fault on Europeassistance, she says that there were communication errors but she can do nothing to me.
Nice customer relationship ????
I am closed a sinister file while a manager gave the green light for the opening ...
Finally think two or even three times before taking out a contract with Lolivier Insurance, you will thank me later believe me</v>
      </c>
    </row>
    <row r="933" ht="15.75" customHeight="1">
      <c r="A933" s="2">
        <v>1.0</v>
      </c>
      <c r="B933" s="2" t="s">
        <v>2564</v>
      </c>
      <c r="C933" s="2" t="s">
        <v>2565</v>
      </c>
      <c r="D933" s="2" t="s">
        <v>329</v>
      </c>
      <c r="E933" s="2" t="s">
        <v>14</v>
      </c>
      <c r="F933" s="2" t="s">
        <v>15</v>
      </c>
      <c r="G933" s="2" t="s">
        <v>2566</v>
      </c>
      <c r="H933" s="2" t="s">
        <v>233</v>
      </c>
      <c r="I933" s="2" t="str">
        <f>IFERROR(__xludf.DUMMYFUNCTION("GOOGLETRANSLATE(C933,""fr"",""en"")"),"Hello I was ensuring for 12 years with them and my trip because supposedly I ensured cars too much in the year and I was customer at risk knowing that I never had an accident in 12 years with my wrongs and the worst When I asked for an information to go a"&amp;"nd assure me elsewhere I ended up with a 0 % bonus because my cars that I had and gray cards bearing my name was ensuring in the name of my spouse suddenly I have no Bonus and I found myself paying like a young driver. Thanks to the Macif !!!!! A advice t"&amp;"o flee !!!!")</f>
        <v>Hello I was ensuring for 12 years with them and my trip because supposedly I ensured cars too much in the year and I was customer at risk knowing that I never had an accident in 12 years with my wrongs and the worst When I asked for an information to go and assure me elsewhere I ended up with a 0 % bonus because my cars that I had and gray cards bearing my name was ensuring in the name of my spouse suddenly I have no Bonus and I found myself paying like a young driver. Thanks to the Macif !!!!! A advice to flee !!!!</v>
      </c>
    </row>
    <row r="934" ht="15.75" customHeight="1">
      <c r="A934" s="2">
        <v>2.0</v>
      </c>
      <c r="B934" s="2" t="s">
        <v>2567</v>
      </c>
      <c r="C934" s="2" t="s">
        <v>2568</v>
      </c>
      <c r="D934" s="2" t="s">
        <v>30</v>
      </c>
      <c r="E934" s="2" t="s">
        <v>14</v>
      </c>
      <c r="F934" s="2" t="s">
        <v>15</v>
      </c>
      <c r="G934" s="2" t="s">
        <v>1765</v>
      </c>
      <c r="H934" s="2" t="s">
        <v>47</v>
      </c>
      <c r="I934" s="2" t="str">
        <f>IFERROR(__xludf.DUMMYFUNCTION("GOOGLETRANSLATE(C934,""fr"",""en"")"),"Not satisfied with the customer relations service.
2 incidents to your assets: NOT CAUTION OF A CREFT ON 4 WAYS (Impossibility of changing the aid wheel) Deadline for such and exorbitant waiting, complaint email that has remained unanswered to date, I co"&amp;"nsider you less less reliable")</f>
        <v>Not satisfied with the customer relations service.
2 incidents to your assets: NOT CAUTION OF A CREFT ON 4 WAYS (Impossibility of changing the aid wheel) Deadline for such and exorbitant waiting, complaint email that has remained unanswered to date, I consider you less less reliable</v>
      </c>
    </row>
    <row r="935" ht="15.75" customHeight="1">
      <c r="A935" s="2">
        <v>1.0</v>
      </c>
      <c r="B935" s="2" t="s">
        <v>2569</v>
      </c>
      <c r="C935" s="2" t="s">
        <v>2570</v>
      </c>
      <c r="D935" s="2" t="s">
        <v>141</v>
      </c>
      <c r="E935" s="2" t="s">
        <v>14</v>
      </c>
      <c r="F935" s="2" t="s">
        <v>15</v>
      </c>
      <c r="G935" s="2" t="s">
        <v>519</v>
      </c>
      <c r="H935" s="2" t="s">
        <v>32</v>
      </c>
      <c r="I935" s="2" t="str">
        <f>IFERROR(__xludf.DUMMYFUNCTION("GOOGLETRANSLATE(C935,""fr"",""en"")"),"Compensation for damage suffered is minimalist. The insured needs are not properly taken into account. No arrangement possible despite several reminders.")</f>
        <v>Compensation for damage suffered is minimalist. The insured needs are not properly taken into account. No arrangement possible despite several reminders.</v>
      </c>
    </row>
    <row r="936" ht="15.75" customHeight="1">
      <c r="A936" s="2">
        <v>1.0</v>
      </c>
      <c r="B936" s="2" t="s">
        <v>2571</v>
      </c>
      <c r="C936" s="2" t="s">
        <v>2572</v>
      </c>
      <c r="D936" s="2" t="s">
        <v>481</v>
      </c>
      <c r="E936" s="2" t="s">
        <v>111</v>
      </c>
      <c r="F936" s="2" t="s">
        <v>15</v>
      </c>
      <c r="G936" s="2" t="s">
        <v>195</v>
      </c>
      <c r="H936" s="2" t="s">
        <v>52</v>
      </c>
      <c r="I936" s="2" t="str">
        <f>IFERROR(__xludf.DUMMYFUNCTION("GOOGLETRANSLATE(C936,""fr"",""en"")"),"Ah for sure it's not expensive but customer service is in perfect harmony with the prices. I sold the vehicle I took with them on January 30, 2021, after many emails to communicate the transfer certificate to terminate the contract, still nothing. The sam"&amp;"ples continue, each call I am asked to confirm the email address that I used to send them the document, that they did not receive it, except that I have receipt that proves the opposite . Last call today, I am told that I am going to be contacting within "&amp;"48 hours. So an appointment in 48 hours and if no result it will be consumer association. Fed up, I will not recommend this insurance to anyone unless you have time and money to waste.")</f>
        <v>Ah for sure it's not expensive but customer service is in perfect harmony with the prices. I sold the vehicle I took with them on January 30, 2021, after many emails to communicate the transfer certificate to terminate the contract, still nothing. The samples continue, each call I am asked to confirm the email address that I used to send them the document, that they did not receive it, except that I have receipt that proves the opposite . Last call today, I am told that I am going to be contacting within 48 hours. So an appointment in 48 hours and if no result it will be consumer association. Fed up, I will not recommend this insurance to anyone unless you have time and money to waste.</v>
      </c>
    </row>
    <row r="937" ht="15.75" customHeight="1">
      <c r="A937" s="2">
        <v>1.0</v>
      </c>
      <c r="B937" s="2" t="s">
        <v>2573</v>
      </c>
      <c r="C937" s="2" t="s">
        <v>2574</v>
      </c>
      <c r="D937" s="2" t="s">
        <v>219</v>
      </c>
      <c r="E937" s="2" t="s">
        <v>2575</v>
      </c>
      <c r="F937" s="2" t="s">
        <v>15</v>
      </c>
      <c r="G937" s="2" t="s">
        <v>2282</v>
      </c>
      <c r="H937" s="2" t="s">
        <v>64</v>
      </c>
      <c r="I937" s="2" t="str">
        <f>IFERROR(__xludf.DUMMYFUNCTION("GOOGLETRANSLATE(C937,""fr"",""en"")"),"Watch out for your contracts
When you exceed 65 years, disability insurance no longer plays, but of course Unim/ Allianz is careful not to inform you and continue in the context of its pension.
Defect of manifest advice
Conclude yourself ....")</f>
        <v>Watch out for your contracts
When you exceed 65 years, disability insurance no longer plays, but of course Unim/ Allianz is careful not to inform you and continue in the context of its pension.
Defect of manifest advice
Conclude yourself ....</v>
      </c>
    </row>
    <row r="938" ht="15.75" customHeight="1">
      <c r="A938" s="2">
        <v>1.0</v>
      </c>
      <c r="B938" s="2" t="s">
        <v>2576</v>
      </c>
      <c r="C938" s="2" t="s">
        <v>2577</v>
      </c>
      <c r="D938" s="2" t="s">
        <v>30</v>
      </c>
      <c r="E938" s="2" t="s">
        <v>14</v>
      </c>
      <c r="F938" s="2" t="s">
        <v>15</v>
      </c>
      <c r="G938" s="2" t="s">
        <v>1340</v>
      </c>
      <c r="H938" s="2" t="s">
        <v>64</v>
      </c>
      <c r="I938" s="2" t="str">
        <f>IFERROR(__xludf.DUMMYFUNCTION("GOOGLETRANSLATE(C938,""fr"",""en"")"),"Direct insurance makes me a quote and these retract I find his inadmissible is not very expensive he reimburses nothing in the end you pay insurance for nothing
600, 00 £ de franchise he sells you from the wind he always finds that something so as not to"&amp;" reimburse yourself you pay for nothing other it is no better insurers bankers and trustees all in the same bag 'Money on the back of customers Sorry for sheep.")</f>
        <v>Direct insurance makes me a quote and these retract I find his inadmissible is not very expensive he reimburses nothing in the end you pay insurance for nothing
600, 00 £ de franchise he sells you from the wind he always finds that something so as not to reimburse yourself you pay for nothing other it is no better insurers bankers and trustees all in the same bag 'Money on the back of customers Sorry for sheep.</v>
      </c>
    </row>
    <row r="939" ht="15.75" customHeight="1">
      <c r="A939" s="2">
        <v>1.0</v>
      </c>
      <c r="B939" s="2" t="s">
        <v>2578</v>
      </c>
      <c r="C939" s="2" t="s">
        <v>2579</v>
      </c>
      <c r="D939" s="2" t="s">
        <v>276</v>
      </c>
      <c r="E939" s="2" t="s">
        <v>90</v>
      </c>
      <c r="F939" s="2" t="s">
        <v>15</v>
      </c>
      <c r="G939" s="2" t="s">
        <v>2580</v>
      </c>
      <c r="H939" s="2" t="s">
        <v>945</v>
      </c>
      <c r="I939" s="2" t="str">
        <f>IFERROR(__xludf.DUMMYFUNCTION("GOOGLETRANSLATE(C939,""fr"",""en"")"),"We were contacted by a research company of heirs concerning the life insurance of my brother who died. They told us that a life insurance contract was waiting at CNP Assurance. We have had several interlocutors and sent many letters at their request. We h"&amp;"ave always received no regulations and those for more than two years. No return of recommended letters. I am thinking of making a complaint against this insurance. They do not know how to answer a phone (answering machine) CNP Angers to flee.")</f>
        <v>We were contacted by a research company of heirs concerning the life insurance of my brother who died. They told us that a life insurance contract was waiting at CNP Assurance. We have had several interlocutors and sent many letters at their request. We have always received no regulations and those for more than two years. No return of recommended letters. I am thinking of making a complaint against this insurance. They do not know how to answer a phone (answering machine) CNP Angers to flee.</v>
      </c>
    </row>
    <row r="940" ht="15.75" customHeight="1">
      <c r="A940" s="2">
        <v>1.0</v>
      </c>
      <c r="B940" s="2" t="s">
        <v>640</v>
      </c>
      <c r="C940" s="2" t="s">
        <v>2581</v>
      </c>
      <c r="D940" s="2" t="s">
        <v>292</v>
      </c>
      <c r="E940" s="2" t="s">
        <v>14</v>
      </c>
      <c r="F940" s="2" t="s">
        <v>15</v>
      </c>
      <c r="G940" s="2" t="s">
        <v>124</v>
      </c>
      <c r="H940" s="2" t="s">
        <v>124</v>
      </c>
      <c r="I940" s="2" t="str">
        <f>IFERROR(__xludf.DUMMYFUNCTION("GOOGLETRANSLATE(C940,""fr"",""en"")"),"Following a burglary on 12/29/2019, I was stolen from my two vehicles because the keys were in my safe which was ripped off. They asked me for a mountain of documents that I provided to them as well as the complaint. Impossible to join the interlocutor wh"&amp;"o takes care of the file, they have put the case in the fraud service and have been dead for more than a year, so I have to call on my lawyer to obtain compensation.
This insurance is to vomit, it is the shame of insurance, to flee !!!!")</f>
        <v>Following a burglary on 12/29/2019, I was stolen from my two vehicles because the keys were in my safe which was ripped off. They asked me for a mountain of documents that I provided to them as well as the complaint. Impossible to join the interlocutor who takes care of the file, they have put the case in the fraud service and have been dead for more than a year, so I have to call on my lawyer to obtain compensation.
This insurance is to vomit, it is the shame of insurance, to flee !!!!</v>
      </c>
    </row>
    <row r="941" ht="15.75" customHeight="1">
      <c r="A941" s="2">
        <v>1.0</v>
      </c>
      <c r="B941" s="2" t="s">
        <v>2582</v>
      </c>
      <c r="C941" s="2" t="s">
        <v>2583</v>
      </c>
      <c r="D941" s="2" t="s">
        <v>30</v>
      </c>
      <c r="E941" s="2" t="s">
        <v>14</v>
      </c>
      <c r="F941" s="2" t="s">
        <v>15</v>
      </c>
      <c r="G941" s="2" t="s">
        <v>588</v>
      </c>
      <c r="H941" s="2" t="s">
        <v>131</v>
      </c>
      <c r="I941" s="2" t="str">
        <f>IFERROR(__xludf.DUMMYFUNCTION("GOOGLETRANSLATE(C941,""fr"",""en"")"),"Customer at Direct Insurance. I was terminated for not having transmitted my new gray card. However, the prefectural service has put a lot of delay to send it to me. Despite my sincere explanations and independent of my will I was terminated in Ménagement"&amp;". The worst part is that on the information statement it is registered ""termination"" ... I risk paying a stitching in another insurer. Deplorable customer relationship without consideration.")</f>
        <v>Customer at Direct Insurance. I was terminated for not having transmitted my new gray card. However, the prefectural service has put a lot of delay to send it to me. Despite my sincere explanations and independent of my will I was terminated in Ménagement. The worst part is that on the information statement it is registered "termination" ... I risk paying a stitching in another insurer. Deplorable customer relationship without consideration.</v>
      </c>
    </row>
    <row r="942" ht="15.75" customHeight="1">
      <c r="A942" s="2">
        <v>4.0</v>
      </c>
      <c r="B942" s="2" t="s">
        <v>2584</v>
      </c>
      <c r="C942" s="2" t="s">
        <v>2585</v>
      </c>
      <c r="D942" s="2" t="s">
        <v>481</v>
      </c>
      <c r="E942" s="2" t="s">
        <v>111</v>
      </c>
      <c r="F942" s="2" t="s">
        <v>15</v>
      </c>
      <c r="G942" s="2" t="s">
        <v>106</v>
      </c>
      <c r="H942" s="2" t="s">
        <v>107</v>
      </c>
      <c r="I942" s="2" t="str">
        <f>IFERROR(__xludf.DUMMYFUNCTION("GOOGLETRANSLATE(C942,""fr"",""en"")"),"Clearly simple and fast, I am satisfied with the service, payment is secure. I recommend April Moto. I hope that the services in the event of theft or accidents will live up to the reception.")</f>
        <v>Clearly simple and fast, I am satisfied with the service, payment is secure. I recommend April Moto. I hope that the services in the event of theft or accidents will live up to the reception.</v>
      </c>
    </row>
    <row r="943" ht="15.75" customHeight="1">
      <c r="A943" s="2">
        <v>3.0</v>
      </c>
      <c r="B943" s="2" t="s">
        <v>2586</v>
      </c>
      <c r="C943" s="2" t="s">
        <v>2587</v>
      </c>
      <c r="D943" s="2" t="s">
        <v>50</v>
      </c>
      <c r="E943" s="2" t="s">
        <v>14</v>
      </c>
      <c r="F943" s="2" t="s">
        <v>15</v>
      </c>
      <c r="G943" s="2" t="s">
        <v>2374</v>
      </c>
      <c r="H943" s="2" t="s">
        <v>32</v>
      </c>
      <c r="I943" s="2" t="str">
        <f>IFERROR(__xludf.DUMMYFUNCTION("GOOGLETRANSLATE(C943,""fr"",""en"")"),"Be well I recommend this insurence in his fast her insurance can be appreciable to work with people like you very cordially")</f>
        <v>Be well I recommend this insurence in his fast her insurance can be appreciable to work with people like you very cordially</v>
      </c>
    </row>
    <row r="944" ht="15.75" customHeight="1">
      <c r="A944" s="2">
        <v>2.0</v>
      </c>
      <c r="B944" s="2" t="s">
        <v>2588</v>
      </c>
      <c r="C944" s="2" t="s">
        <v>2589</v>
      </c>
      <c r="D944" s="2" t="s">
        <v>30</v>
      </c>
      <c r="E944" s="2" t="s">
        <v>14</v>
      </c>
      <c r="F944" s="2" t="s">
        <v>15</v>
      </c>
      <c r="G944" s="2" t="s">
        <v>2384</v>
      </c>
      <c r="H944" s="2" t="s">
        <v>159</v>
      </c>
      <c r="I944" s="2" t="str">
        <f>IFERROR(__xludf.DUMMYFUNCTION("GOOGLETRANSLATE(C944,""fr"",""en"")"),"I am satisfied with the services but I find the price of the car contract a little expensive otherwise I would like to receive by emails the schedule for Habitat insurance since I receive that of car insurance")</f>
        <v>I am satisfied with the services but I find the price of the car contract a little expensive otherwise I would like to receive by emails the schedule for Habitat insurance since I receive that of car insurance</v>
      </c>
    </row>
    <row r="945" ht="15.75" customHeight="1">
      <c r="A945" s="2">
        <v>2.0</v>
      </c>
      <c r="B945" s="2" t="s">
        <v>2590</v>
      </c>
      <c r="C945" s="2" t="s">
        <v>2591</v>
      </c>
      <c r="D945" s="2" t="s">
        <v>145</v>
      </c>
      <c r="E945" s="2" t="s">
        <v>111</v>
      </c>
      <c r="F945" s="2" t="s">
        <v>15</v>
      </c>
      <c r="G945" s="2" t="s">
        <v>798</v>
      </c>
      <c r="H945" s="2" t="s">
        <v>32</v>
      </c>
      <c r="I945" s="2" t="str">
        <f>IFERROR(__xludf.DUMMYFUNCTION("GOOGLETRANSLATE(C945,""fr"",""en"")"),"Unpleasant interlocutor very difficult to reach this one of the highway with a lassifying Goldwing took care of the troubleshooting of the motorcycle but we have prenake a taxi to the Honda dealership at our expense not even a result of the result vehicle"&amp;" we have lost the lamentable inexpensive insurance but no efficiency I will stop this insurance")</f>
        <v>Unpleasant interlocutor very difficult to reach this one of the highway with a lassifying Goldwing took care of the troubleshooting of the motorcycle but we have prenake a taxi to the Honda dealership at our expense not even a result of the result vehicle we have lost the lamentable inexpensive insurance but no efficiency I will stop this insurance</v>
      </c>
    </row>
    <row r="946" ht="15.75" customHeight="1">
      <c r="A946" s="2">
        <v>1.0</v>
      </c>
      <c r="B946" s="2" t="s">
        <v>2592</v>
      </c>
      <c r="C946" s="2" t="s">
        <v>2593</v>
      </c>
      <c r="D946" s="2" t="s">
        <v>30</v>
      </c>
      <c r="E946" s="2" t="s">
        <v>14</v>
      </c>
      <c r="F946" s="2" t="s">
        <v>15</v>
      </c>
      <c r="G946" s="2" t="s">
        <v>863</v>
      </c>
      <c r="H946" s="2" t="s">
        <v>107</v>
      </c>
      <c r="I946" s="2" t="str">
        <f>IFERROR(__xludf.DUMMYFUNCTION("GOOGLETRANSLATE(C946,""fr"",""en"")"),"I am not satisfied. I had an increase in my subscription between 2020 and 2021.
On the same guarantees, I went from € 545 to € 562.
I must have the delivery of a second car soon, without commercial effort on your part, I will not guarantee my new car at"&amp;" home, and I will leave as soon as possible direct insurance")</f>
        <v>I am not satisfied. I had an increase in my subscription between 2020 and 2021.
On the same guarantees, I went from € 545 to € 562.
I must have the delivery of a second car soon, without commercial effort on your part, I will not guarantee my new car at home, and I will leave as soon as possible direct insurance</v>
      </c>
    </row>
    <row r="947" ht="15.75" customHeight="1">
      <c r="A947" s="2">
        <v>4.0</v>
      </c>
      <c r="B947" s="2" t="s">
        <v>2594</v>
      </c>
      <c r="C947" s="2" t="s">
        <v>2595</v>
      </c>
      <c r="D947" s="2" t="s">
        <v>30</v>
      </c>
      <c r="E947" s="2" t="s">
        <v>14</v>
      </c>
      <c r="F947" s="2" t="s">
        <v>15</v>
      </c>
      <c r="G947" s="2" t="s">
        <v>2596</v>
      </c>
      <c r="H947" s="2" t="s">
        <v>32</v>
      </c>
      <c r="I947" s="2" t="str">
        <f>IFERROR(__xludf.DUMMYFUNCTION("GOOGLETRANSLATE(C947,""fr"",""en"")"),"I am satisfied by the price and the services.
To be confirmed if a disaster occurs .....
The site is very well done and practical to use. The advice is very useful.
")</f>
        <v>I am satisfied by the price and the services.
To be confirmed if a disaster occurs .....
The site is very well done and practical to use. The advice is very useful.
</v>
      </c>
    </row>
    <row r="948" ht="15.75" customHeight="1">
      <c r="A948" s="2">
        <v>1.0</v>
      </c>
      <c r="B948" s="2" t="s">
        <v>2597</v>
      </c>
      <c r="C948" s="2" t="s">
        <v>2598</v>
      </c>
      <c r="D948" s="2" t="s">
        <v>2599</v>
      </c>
      <c r="E948" s="2" t="s">
        <v>100</v>
      </c>
      <c r="F948" s="2" t="s">
        <v>15</v>
      </c>
      <c r="G948" s="2" t="s">
        <v>1674</v>
      </c>
      <c r="H948" s="2" t="s">
        <v>70</v>
      </c>
      <c r="I948" s="2" t="str">
        <f>IFERROR(__xludf.DUMMYFUNCTION("GOOGLETRANSLATE(C948,""fr"",""en"")"),"This insurer has a great ability to flee customer issues. 8 years ago, having taken the integrated formula, service 3 out of 4, I paid 21,55 euros, following the reception of the last schedule on October 29 for an application on November 01, 2018 The prem"&amp;"ium went to 45.69 euros more than doubled in 8 years. You will also notice the time of convenience of the 4 -day letter, which is not a reasonable and admissible time.
In 1 year, 25.7% increase where only Solly Azar justifies the 10% provided for in arti"&amp;"cle 10 of the GTC, which I have neither received nor signed. On the other hand, no detailed response on the 15.7% remaining found, apart from the technical results.
After making contact with Solly Azar, not simple, the communicated response is purely for"&amp;"mal, without any personalization.
With more than 3000 euros of bonus paid for this dog and with regard to the chosen service, I am more than disappointed.
The future will tell us ...")</f>
        <v>This insurer has a great ability to flee customer issues. 8 years ago, having taken the integrated formula, service 3 out of 4, I paid 21,55 euros, following the reception of the last schedule on October 29 for an application on November 01, 2018 The premium went to 45.69 euros more than doubled in 8 years. You will also notice the time of convenience of the 4 -day letter, which is not a reasonable and admissible time.
In 1 year, 25.7% increase where only Solly Azar justifies the 10% provided for in article 10 of the GTC, which I have neither received nor signed. On the other hand, no detailed response on the 15.7% remaining found, apart from the technical results.
After making contact with Solly Azar, not simple, the communicated response is purely formal, without any personalization.
With more than 3000 euros of bonus paid for this dog and with regard to the chosen service, I am more than disappointed.
The future will tell us ...</v>
      </c>
    </row>
    <row r="949" ht="15.75" customHeight="1">
      <c r="A949" s="2">
        <v>5.0</v>
      </c>
      <c r="B949" s="2" t="s">
        <v>2600</v>
      </c>
      <c r="C949" s="2" t="s">
        <v>2601</v>
      </c>
      <c r="D949" s="2" t="s">
        <v>145</v>
      </c>
      <c r="E949" s="2" t="s">
        <v>111</v>
      </c>
      <c r="F949" s="2" t="s">
        <v>15</v>
      </c>
      <c r="G949" s="2" t="s">
        <v>1614</v>
      </c>
      <c r="H949" s="2" t="s">
        <v>107</v>
      </c>
      <c r="I949" s="2" t="str">
        <f>IFERROR(__xludf.DUMMYFUNCTION("GOOGLETRANSLATE(C949,""fr"",""en"")"),"I am satisfied with the price, the services of AMV. They have always been able to respond present if necessary.
Their prices are affordable and it feels good
")</f>
        <v>I am satisfied with the price, the services of AMV. They have always been able to respond present if necessary.
Their prices are affordable and it feels good
</v>
      </c>
    </row>
    <row r="950" ht="15.75" customHeight="1">
      <c r="A950" s="2">
        <v>4.0</v>
      </c>
      <c r="B950" s="2" t="s">
        <v>2602</v>
      </c>
      <c r="C950" s="2" t="s">
        <v>2603</v>
      </c>
      <c r="D950" s="2" t="s">
        <v>50</v>
      </c>
      <c r="E950" s="2" t="s">
        <v>14</v>
      </c>
      <c r="F950" s="2" t="s">
        <v>15</v>
      </c>
      <c r="G950" s="2" t="s">
        <v>2604</v>
      </c>
      <c r="H950" s="2" t="s">
        <v>159</v>
      </c>
      <c r="I950" s="2" t="str">
        <f>IFERROR(__xludf.DUMMYFUNCTION("GOOGLETRANSLATE(C950,""fr"",""en"")"),"Very attractive price in comparison with other insurers for the same guarantees, possibility of being insured immediately, clear information.")</f>
        <v>Very attractive price in comparison with other insurers for the same guarantees, possibility of being insured immediately, clear information.</v>
      </c>
    </row>
    <row r="951" ht="15.75" customHeight="1">
      <c r="A951" s="2">
        <v>4.0</v>
      </c>
      <c r="B951" s="2" t="s">
        <v>2605</v>
      </c>
      <c r="C951" s="2" t="s">
        <v>2606</v>
      </c>
      <c r="D951" s="2" t="s">
        <v>50</v>
      </c>
      <c r="E951" s="2" t="s">
        <v>14</v>
      </c>
      <c r="F951" s="2" t="s">
        <v>15</v>
      </c>
      <c r="G951" s="2" t="s">
        <v>2607</v>
      </c>
      <c r="H951" s="2" t="s">
        <v>192</v>
      </c>
      <c r="I951" s="2" t="str">
        <f>IFERROR(__xludf.DUMMYFUNCTION("GOOGLETRANSLATE(C951,""fr"",""en"")"),"Attractive price, simple online procedure, contract received quickly on the letter box. Nothing to report, I will recommend my loved ones surely, thank you")</f>
        <v>Attractive price, simple online procedure, contract received quickly on the letter box. Nothing to report, I will recommend my loved ones surely, thank you</v>
      </c>
    </row>
    <row r="952" ht="15.75" customHeight="1">
      <c r="A952" s="2">
        <v>4.0</v>
      </c>
      <c r="B952" s="2" t="s">
        <v>2608</v>
      </c>
      <c r="C952" s="2" t="s">
        <v>2609</v>
      </c>
      <c r="D952" s="2" t="s">
        <v>50</v>
      </c>
      <c r="E952" s="2" t="s">
        <v>14</v>
      </c>
      <c r="F952" s="2" t="s">
        <v>15</v>
      </c>
      <c r="G952" s="2" t="s">
        <v>1656</v>
      </c>
      <c r="H952" s="2" t="s">
        <v>32</v>
      </c>
      <c r="I952" s="2" t="str">
        <f>IFERROR(__xludf.DUMMYFUNCTION("GOOGLETRANSLATE(C952,""fr"",""en"")"),"Really good, quality question taken and service, I recommend this insurance, fast and efficient to be able to reach them on the phone, I highly recommend the olive tree")</f>
        <v>Really good, quality question taken and service, I recommend this insurance, fast and efficient to be able to reach them on the phone, I highly recommend the olive tree</v>
      </c>
    </row>
    <row r="953" ht="15.75" customHeight="1">
      <c r="A953" s="2">
        <v>3.0</v>
      </c>
      <c r="B953" s="2" t="s">
        <v>2610</v>
      </c>
      <c r="C953" s="2" t="s">
        <v>2611</v>
      </c>
      <c r="D953" s="2" t="s">
        <v>35</v>
      </c>
      <c r="E953" s="2" t="s">
        <v>36</v>
      </c>
      <c r="F953" s="2" t="s">
        <v>15</v>
      </c>
      <c r="G953" s="2" t="s">
        <v>2612</v>
      </c>
      <c r="H953" s="2" t="s">
        <v>566</v>
      </c>
      <c r="I953" s="2" t="str">
        <f>IFERROR(__xludf.DUMMYFUNCTION("GOOGLETRANSLATE(C953,""fr"",""en"")"),"Thank you Nelly for your listening and your kindness, as well as the management of my request")</f>
        <v>Thank you Nelly for your listening and your kindness, as well as the management of my request</v>
      </c>
    </row>
    <row r="954" ht="15.75" customHeight="1">
      <c r="A954" s="2">
        <v>5.0</v>
      </c>
      <c r="B954" s="2" t="s">
        <v>2613</v>
      </c>
      <c r="C954" s="2" t="s">
        <v>2614</v>
      </c>
      <c r="D954" s="2" t="s">
        <v>30</v>
      </c>
      <c r="E954" s="2" t="s">
        <v>14</v>
      </c>
      <c r="F954" s="2" t="s">
        <v>15</v>
      </c>
      <c r="G954" s="2" t="s">
        <v>1520</v>
      </c>
      <c r="H954" s="2" t="s">
        <v>38</v>
      </c>
      <c r="I954" s="2" t="str">
        <f>IFERROR(__xludf.DUMMYFUNCTION("GOOGLETRANSLATE(C954,""fr"",""en"")"),"A friend my direct insurance advisor.
Simple registration and price are attractive I would recommend you to friends and family and their loved ones.
 I have accepted my greetings")</f>
        <v>A friend my direct insurance advisor.
Simple registration and price are attractive I would recommend you to friends and family and their loved ones.
 I have accepted my greetings</v>
      </c>
    </row>
    <row r="955" ht="15.75" customHeight="1">
      <c r="A955" s="2">
        <v>4.0</v>
      </c>
      <c r="B955" s="2" t="s">
        <v>2615</v>
      </c>
      <c r="C955" s="2" t="s">
        <v>2616</v>
      </c>
      <c r="D955" s="2" t="s">
        <v>50</v>
      </c>
      <c r="E955" s="2" t="s">
        <v>14</v>
      </c>
      <c r="F955" s="2" t="s">
        <v>15</v>
      </c>
      <c r="G955" s="2" t="s">
        <v>1402</v>
      </c>
      <c r="H955" s="2" t="s">
        <v>192</v>
      </c>
      <c r="I955" s="2" t="str">
        <f>IFERROR(__xludf.DUMMYFUNCTION("GOOGLETRANSLATE(C955,""fr"",""en"")"),"I am satisfied with the service at the moment, to see in time. On the other hand, I would have liked to speak to an advisor before signature. I also had to start the quote several times because your site has bugged ... you have to be motivated!")</f>
        <v>I am satisfied with the service at the moment, to see in time. On the other hand, I would have liked to speak to an advisor before signature. I also had to start the quote several times because your site has bugged ... you have to be motivated!</v>
      </c>
    </row>
    <row r="956" ht="15.75" customHeight="1">
      <c r="A956" s="2">
        <v>1.0</v>
      </c>
      <c r="B956" s="2" t="s">
        <v>2617</v>
      </c>
      <c r="C956" s="2" t="s">
        <v>2618</v>
      </c>
      <c r="D956" s="2" t="s">
        <v>30</v>
      </c>
      <c r="E956" s="2" t="s">
        <v>68</v>
      </c>
      <c r="F956" s="2" t="s">
        <v>15</v>
      </c>
      <c r="G956" s="2" t="s">
        <v>2619</v>
      </c>
      <c r="H956" s="2" t="s">
        <v>64</v>
      </c>
      <c r="I956" s="2" t="str">
        <f>IFERROR(__xludf.DUMMYFUNCTION("GOOGLETRANSLATE(C956,""fr"",""en"")"),"Deplorable customer service, insulting limit. Was not of any help and the person I had at the end of the line was very unpleasant, no empathy. I do not recommend and I changed insurer.")</f>
        <v>Deplorable customer service, insulting limit. Was not of any help and the person I had at the end of the line was very unpleasant, no empathy. I do not recommend and I changed insurer.</v>
      </c>
    </row>
    <row r="957" ht="15.75" customHeight="1">
      <c r="A957" s="2">
        <v>2.0</v>
      </c>
      <c r="B957" s="2" t="s">
        <v>2620</v>
      </c>
      <c r="C957" s="2" t="s">
        <v>2621</v>
      </c>
      <c r="D957" s="2" t="s">
        <v>141</v>
      </c>
      <c r="E957" s="2" t="s">
        <v>14</v>
      </c>
      <c r="F957" s="2" t="s">
        <v>15</v>
      </c>
      <c r="G957" s="2" t="s">
        <v>482</v>
      </c>
      <c r="H957" s="2" t="s">
        <v>107</v>
      </c>
      <c r="I957" s="2" t="str">
        <f>IFERROR(__xludf.DUMMYFUNCTION("GOOGLETRANSLATE(C957,""fr"",""en"")"),"The shameful maif!
Never again, I have subscribed 5 different insurance at home, their services and their skills are really deplorable. Everything is done with them so that their responsibility is not engaged, to flee !!!")</f>
        <v>The shameful maif!
Never again, I have subscribed 5 different insurance at home, their services and their skills are really deplorable. Everything is done with them so that their responsibility is not engaged, to flee !!!</v>
      </c>
    </row>
    <row r="958" ht="15.75" customHeight="1">
      <c r="A958" s="2">
        <v>3.0</v>
      </c>
      <c r="B958" s="2" t="s">
        <v>2622</v>
      </c>
      <c r="C958" s="2" t="s">
        <v>2623</v>
      </c>
      <c r="D958" s="2" t="s">
        <v>67</v>
      </c>
      <c r="E958" s="2" t="s">
        <v>68</v>
      </c>
      <c r="F958" s="2" t="s">
        <v>15</v>
      </c>
      <c r="G958" s="2" t="s">
        <v>2624</v>
      </c>
      <c r="H958" s="2" t="s">
        <v>326</v>
      </c>
      <c r="I958" s="2" t="str">
        <f>IFERROR(__xludf.DUMMYFUNCTION("GOOGLETRANSLATE(C958,""fr"",""en"")"),"The concern in the event of a claim is the experts.
Almost 45 days to come and see the damage
SCE BANQUE OK SCE NUST EXPERT")</f>
        <v>The concern in the event of a claim is the experts.
Almost 45 days to come and see the damage
SCE BANQUE OK SCE NUST EXPERT</v>
      </c>
    </row>
    <row r="959" ht="15.75" customHeight="1">
      <c r="A959" s="2">
        <v>1.0</v>
      </c>
      <c r="B959" s="2" t="s">
        <v>2625</v>
      </c>
      <c r="C959" s="2" t="s">
        <v>2626</v>
      </c>
      <c r="D959" s="2" t="s">
        <v>2001</v>
      </c>
      <c r="E959" s="2" t="s">
        <v>68</v>
      </c>
      <c r="F959" s="2" t="s">
        <v>15</v>
      </c>
      <c r="G959" s="2" t="s">
        <v>1343</v>
      </c>
      <c r="H959" s="2" t="s">
        <v>352</v>
      </c>
      <c r="I959" s="2" t="str">
        <f>IFERROR(__xludf.DUMMYFUNCTION("GOOGLETRANSLATE(C959,""fr"",""en"")"),"Hi there. We undergo a fire in our outbuildings on 08/07. If, among other things, our laundromat and our cellar found. We therefore no longer have a washing machine, freezer or food reserve. We have my parents with us, aged 84 (and my mother in Alzheimer)"&amp;". To start we stayed 10 days without anyone contacting us, then the expert offered us expertise by Visio 12 days after the disaster but as it is not enough they now offer me an expert passage on August 11! Almost 2 months after the claim !!! I explained o"&amp;"ur situation well but everyone does not care. It has been years and years that I have paid for this insurance without ever a claim, on the other hand, to be taken care of is another story. It is a shame, we are delivered to ourselves, no assistance, no ad"&amp;"vance, nothing.")</f>
        <v>Hi there. We undergo a fire in our outbuildings on 08/07. If, among other things, our laundromat and our cellar found. We therefore no longer have a washing machine, freezer or food reserve. We have my parents with us, aged 84 (and my mother in Alzheimer). To start we stayed 10 days without anyone contacting us, then the expert offered us expertise by Visio 12 days after the disaster but as it is not enough they now offer me an expert passage on August 11! Almost 2 months after the claim !!! I explained our situation well but everyone does not care. It has been years and years that I have paid for this insurance without ever a claim, on the other hand, to be taken care of is another story. It is a shame, we are delivered to ourselves, no assistance, no advance, nothing.</v>
      </c>
    </row>
    <row r="960" ht="15.75" customHeight="1">
      <c r="A960" s="2">
        <v>5.0</v>
      </c>
      <c r="B960" s="2" t="s">
        <v>2627</v>
      </c>
      <c r="C960" s="2" t="s">
        <v>2628</v>
      </c>
      <c r="D960" s="2" t="s">
        <v>50</v>
      </c>
      <c r="E960" s="2" t="s">
        <v>14</v>
      </c>
      <c r="F960" s="2" t="s">
        <v>15</v>
      </c>
      <c r="G960" s="2" t="s">
        <v>591</v>
      </c>
      <c r="H960" s="2" t="s">
        <v>64</v>
      </c>
      <c r="I960" s="2" t="str">
        <f>IFERROR(__xludf.DUMMYFUNCTION("GOOGLETRANSLATE(C960,""fr"",""en"")"),"Fully satisfied with the young auto contract made this day with a welcoming and kind advisor who clearly gave all the explanations.
Thank you")</f>
        <v>Fully satisfied with the young auto contract made this day with a welcoming and kind advisor who clearly gave all the explanations.
Thank you</v>
      </c>
    </row>
    <row r="961" ht="15.75" customHeight="1">
      <c r="A961" s="2">
        <v>2.0</v>
      </c>
      <c r="B961" s="2" t="s">
        <v>2629</v>
      </c>
      <c r="C961" s="2" t="s">
        <v>2630</v>
      </c>
      <c r="D961" s="2" t="s">
        <v>219</v>
      </c>
      <c r="E961" s="2" t="s">
        <v>14</v>
      </c>
      <c r="F961" s="2" t="s">
        <v>15</v>
      </c>
      <c r="G961" s="2" t="s">
        <v>2631</v>
      </c>
      <c r="H961" s="2" t="s">
        <v>124</v>
      </c>
      <c r="I961" s="2" t="str">
        <f>IFERROR(__xludf.DUMMYFUNCTION("GOOGLETRANSLATE(C961,""fr"",""en"")"),"Liars ...
Since June 17, 2018 have had referred for 4 expertise 4000 euros
Say they don't have the results while the lawyer has the acknowledgment of receipt
No supply....
To be countered +++")</f>
        <v>Liars ...
Since June 17, 2018 have had referred for 4 expertise 4000 euros
Say they don't have the results while the lawyer has the acknowledgment of receipt
No supply....
To be countered +++</v>
      </c>
    </row>
    <row r="962" ht="15.75" customHeight="1">
      <c r="A962" s="2">
        <v>1.0</v>
      </c>
      <c r="B962" s="2" t="s">
        <v>2632</v>
      </c>
      <c r="C962" s="2" t="s">
        <v>2633</v>
      </c>
      <c r="D962" s="2" t="s">
        <v>25</v>
      </c>
      <c r="E962" s="2" t="s">
        <v>90</v>
      </c>
      <c r="F962" s="2" t="s">
        <v>15</v>
      </c>
      <c r="G962" s="2" t="s">
        <v>2634</v>
      </c>
      <c r="H962" s="2" t="s">
        <v>199</v>
      </c>
      <c r="I962" s="2" t="str">
        <f>IFERROR(__xludf.DUMMYFUNCTION("GOOGLETRANSLATE(C962,""fr"",""en"")"),"Agipipi Cap contract to flee! 71 days without news because don't respond to emails! Teleworking on a good back !!! No compensation paid to date")</f>
        <v>Agipipi Cap contract to flee! 71 days without news because don't respond to emails! Teleworking on a good back !!! No compensation paid to date</v>
      </c>
    </row>
    <row r="963" ht="15.75" customHeight="1">
      <c r="A963" s="2">
        <v>4.0</v>
      </c>
      <c r="B963" s="2" t="s">
        <v>2635</v>
      </c>
      <c r="C963" s="2" t="s">
        <v>2636</v>
      </c>
      <c r="D963" s="2" t="s">
        <v>50</v>
      </c>
      <c r="E963" s="2" t="s">
        <v>14</v>
      </c>
      <c r="F963" s="2" t="s">
        <v>15</v>
      </c>
      <c r="G963" s="2" t="s">
        <v>2637</v>
      </c>
      <c r="H963" s="2" t="s">
        <v>326</v>
      </c>
      <c r="I963" s="2" t="str">
        <f>IFERROR(__xludf.DUMMYFUNCTION("GOOGLETRANSLATE(C963,""fr"",""en"")"),"It's been a few months since I was insured by the olive tree so I have not yet needed to contact customer service but the prices are attractive and online registration is very easy and fast.")</f>
        <v>It's been a few months since I was insured by the olive tree so I have not yet needed to contact customer service but the prices are attractive and online registration is very easy and fast.</v>
      </c>
    </row>
    <row r="964" ht="15.75" customHeight="1">
      <c r="A964" s="2">
        <v>1.0</v>
      </c>
      <c r="B964" s="2" t="s">
        <v>2638</v>
      </c>
      <c r="C964" s="2" t="s">
        <v>2639</v>
      </c>
      <c r="D964" s="2" t="s">
        <v>25</v>
      </c>
      <c r="E964" s="2" t="s">
        <v>14</v>
      </c>
      <c r="F964" s="2" t="s">
        <v>15</v>
      </c>
      <c r="G964" s="2" t="s">
        <v>462</v>
      </c>
      <c r="H964" s="2" t="s">
        <v>17</v>
      </c>
      <c r="I964" s="2" t="str">
        <f>IFERROR(__xludf.DUMMYFUNCTION("GOOGLETRANSLATE(C964,""fr"",""en"")"),"Hello, I am currently in disaster at AXA a real galley !! After a roller steaper with window breaking and steals double the keys my car and at the Axa garage was unchanged to find me an approved garage with a loan car so he offers me 5 days of car rental "&amp;"at my expense then I will be reimbursed and that's all then I debrou the repairs will last 2 weeks and I would not have a vehicle I am all risk at most with a deductible of 405 euros and I am leaving me without a vehicle saying because I do not are not su"&amp;"bscribed to the special pack a pack that I have never heard of !!! I will never recommend AXA. After her I will go to the Matmut or the care and excellent.")</f>
        <v>Hello, I am currently in disaster at AXA a real galley !! After a roller steaper with window breaking and steals double the keys my car and at the Axa garage was unchanged to find me an approved garage with a loan car so he offers me 5 days of car rental at my expense then I will be reimbursed and that's all then I debrou the repairs will last 2 weeks and I would not have a vehicle I am all risk at most with a deductible of 405 euros and I am leaving me without a vehicle saying because I do not are not subscribed to the special pack a pack that I have never heard of !!! I will never recommend AXA. After her I will go to the Matmut or the care and excellent.</v>
      </c>
    </row>
    <row r="965" ht="15.75" customHeight="1">
      <c r="A965" s="2">
        <v>3.0</v>
      </c>
      <c r="B965" s="2" t="s">
        <v>2640</v>
      </c>
      <c r="C965" s="2" t="s">
        <v>2641</v>
      </c>
      <c r="D965" s="2" t="s">
        <v>180</v>
      </c>
      <c r="E965" s="2" t="s">
        <v>14</v>
      </c>
      <c r="F965" s="2" t="s">
        <v>15</v>
      </c>
      <c r="G965" s="2" t="s">
        <v>1635</v>
      </c>
      <c r="H965" s="2" t="s">
        <v>1196</v>
      </c>
      <c r="I965" s="2" t="str">
        <f>IFERROR(__xludf.DUMMYFUNCTION("GOOGLETRANSLATE(C965,""fr"",""en"")"),"My first opinion will be for Eurofil Congratulations!
I see a lot of negative comments due to many contract terminations.
Wake up seriously, you pay your assurance a misery (€ 17 per month for a 136 CV for my part).
And you complain after a card "&amp;"that insurance reminds you of your contract.
You earn money with them, but must also win with you!
If you do not want to be terminated after an accident regardless of your years of loyalty that are going to another insurance pay the double see triple "&amp;"per month!
I am happy to pay if can for car insurance! And I know what to stick if I make a responsible accident! It's up to me to be careful!
Here is !
PS: I still note excessive terminations in a negative point even if from my point of view I fin"&amp;"d it normal.")</f>
        <v>My first opinion will be for Eurofil Congratulations!
I see a lot of negative comments due to many contract terminations.
Wake up seriously, you pay your assurance a misery (€ 17 per month for a 136 CV for my part).
And you complain after a card that insurance reminds you of your contract.
You earn money with them, but must also win with you!
If you do not want to be terminated after an accident regardless of your years of loyalty that are going to another insurance pay the double see triple per month!
I am happy to pay if can for car insurance! And I know what to stick if I make a responsible accident! It's up to me to be careful!
Here is !
PS: I still note excessive terminations in a negative point even if from my point of view I find it normal.</v>
      </c>
    </row>
    <row r="966" ht="15.75" customHeight="1">
      <c r="A966" s="2">
        <v>4.0</v>
      </c>
      <c r="B966" s="2" t="s">
        <v>2642</v>
      </c>
      <c r="C966" s="2" t="s">
        <v>2643</v>
      </c>
      <c r="D966" s="2" t="s">
        <v>481</v>
      </c>
      <c r="E966" s="2" t="s">
        <v>111</v>
      </c>
      <c r="F966" s="2" t="s">
        <v>15</v>
      </c>
      <c r="G966" s="2" t="s">
        <v>315</v>
      </c>
      <c r="H966" s="2" t="s">
        <v>64</v>
      </c>
      <c r="I966" s="2" t="str">
        <f>IFERROR(__xludf.DUMMYFUNCTION("GOOGLETRANSLATE(C966,""fr"",""en"")"),"Very interesting quote, the advisers of the 1st very pleasant, patient contact, calmly explains things and above all does not force the hand now to see the rest")</f>
        <v>Very interesting quote, the advisers of the 1st very pleasant, patient contact, calmly explains things and above all does not force the hand now to see the rest</v>
      </c>
    </row>
    <row r="967" ht="15.75" customHeight="1">
      <c r="A967" s="2">
        <v>5.0</v>
      </c>
      <c r="B967" s="2" t="s">
        <v>2644</v>
      </c>
      <c r="C967" s="2" t="s">
        <v>2645</v>
      </c>
      <c r="D967" s="2" t="s">
        <v>134</v>
      </c>
      <c r="E967" s="2" t="s">
        <v>36</v>
      </c>
      <c r="F967" s="2" t="s">
        <v>15</v>
      </c>
      <c r="G967" s="2" t="s">
        <v>2646</v>
      </c>
      <c r="H967" s="2" t="s">
        <v>17</v>
      </c>
      <c r="I967" s="2" t="str">
        <f>IFERROR(__xludf.DUMMYFUNCTION("GOOGLETRANSLATE(C967,""fr"",""en"")"),"Very good mutual The advisers are very nice and good explanation and the price very interesting .. I really recommend because in addition I can manage everything online and 3N more online signature")</f>
        <v>Very good mutual The advisers are very nice and good explanation and the price very interesting .. I really recommend because in addition I can manage everything online and 3N more online signature</v>
      </c>
    </row>
    <row r="968" ht="15.75" customHeight="1">
      <c r="A968" s="2">
        <v>4.0</v>
      </c>
      <c r="B968" s="2" t="s">
        <v>2647</v>
      </c>
      <c r="C968" s="2" t="s">
        <v>2648</v>
      </c>
      <c r="D968" s="2" t="s">
        <v>30</v>
      </c>
      <c r="E968" s="2" t="s">
        <v>14</v>
      </c>
      <c r="F968" s="2" t="s">
        <v>15</v>
      </c>
      <c r="G968" s="2" t="s">
        <v>2302</v>
      </c>
      <c r="H968" s="2" t="s">
        <v>64</v>
      </c>
      <c r="I968" s="2" t="str">
        <f>IFERROR(__xludf.DUMMYFUNCTION("GOOGLETRANSLATE(C968,""fr"",""en"")"),"I was already assured dear direct insurance and I was very containing it
So here I am back a few years later because I was not found cheaper for as well")</f>
        <v>I was already assured dear direct insurance and I was very containing it
So here I am back a few years later because I was not found cheaper for as well</v>
      </c>
    </row>
    <row r="969" ht="15.75" customHeight="1">
      <c r="A969" s="2">
        <v>5.0</v>
      </c>
      <c r="B969" s="2" t="s">
        <v>2649</v>
      </c>
      <c r="C969" s="2" t="s">
        <v>2650</v>
      </c>
      <c r="D969" s="2" t="s">
        <v>50</v>
      </c>
      <c r="E969" s="2" t="s">
        <v>14</v>
      </c>
      <c r="F969" s="2" t="s">
        <v>15</v>
      </c>
      <c r="G969" s="2" t="s">
        <v>626</v>
      </c>
      <c r="H969" s="2" t="s">
        <v>159</v>
      </c>
      <c r="I969" s="2" t="str">
        <f>IFERROR(__xludf.DUMMYFUNCTION("GOOGLETRANSLATE(C969,""fr"",""en"")"),"I went through an insurance comparator you were best placed in terms of prices
Simple to ensure and speed hoping to have no
concern in the future")</f>
        <v>I went through an insurance comparator you were best placed in terms of prices
Simple to ensure and speed hoping to have no
concern in the future</v>
      </c>
    </row>
    <row r="970" ht="15.75" customHeight="1">
      <c r="A970" s="2">
        <v>1.0</v>
      </c>
      <c r="B970" s="2" t="s">
        <v>2651</v>
      </c>
      <c r="C970" s="2" t="s">
        <v>2652</v>
      </c>
      <c r="D970" s="2" t="s">
        <v>292</v>
      </c>
      <c r="E970" s="2" t="s">
        <v>14</v>
      </c>
      <c r="F970" s="2" t="s">
        <v>15</v>
      </c>
      <c r="G970" s="2" t="s">
        <v>130</v>
      </c>
      <c r="H970" s="2" t="s">
        <v>131</v>
      </c>
      <c r="I970" s="2" t="str">
        <f>IFERROR(__xludf.DUMMYFUNCTION("GOOGLETRANSLATE(C970,""fr"",""en"")"),"Good contact with this insurer when subscribing, on the other hand this company only ensures the persons who declare any claim so after 2 declarations of claims to seek another insurer because you must expect to receive your registered letter from termina"&amp;"tion.
Matmut only assures those who have no claim, it's all bénef!")</f>
        <v>Good contact with this insurer when subscribing, on the other hand this company only ensures the persons who declare any claim so after 2 declarations of claims to seek another insurer because you must expect to receive your registered letter from termination.
Matmut only assures those who have no claim, it's all bénef!</v>
      </c>
    </row>
    <row r="971" ht="15.75" customHeight="1">
      <c r="A971" s="2">
        <v>5.0</v>
      </c>
      <c r="B971" s="2" t="s">
        <v>2653</v>
      </c>
      <c r="C971" s="2" t="s">
        <v>2654</v>
      </c>
      <c r="D971" s="2" t="s">
        <v>50</v>
      </c>
      <c r="E971" s="2" t="s">
        <v>14</v>
      </c>
      <c r="F971" s="2" t="s">
        <v>15</v>
      </c>
      <c r="G971" s="2" t="s">
        <v>697</v>
      </c>
      <c r="H971" s="2" t="s">
        <v>47</v>
      </c>
      <c r="I971" s="2" t="str">
        <f>IFERROR(__xludf.DUMMYFUNCTION("GOOGLETRANSLATE(C971,""fr"",""en"")"),"I am satisfied by the contract which was proposed to me.
The contacts I had by phone have systematically went well.
Up to my expectations")</f>
        <v>I am satisfied by the contract which was proposed to me.
The contacts I had by phone have systematically went well.
Up to my expectations</v>
      </c>
    </row>
    <row r="972" ht="15.75" customHeight="1">
      <c r="A972" s="2">
        <v>1.0</v>
      </c>
      <c r="B972" s="2" t="s">
        <v>2655</v>
      </c>
      <c r="C972" s="2" t="s">
        <v>2656</v>
      </c>
      <c r="D972" s="2" t="s">
        <v>329</v>
      </c>
      <c r="E972" s="2" t="s">
        <v>68</v>
      </c>
      <c r="F972" s="2" t="s">
        <v>15</v>
      </c>
      <c r="G972" s="2" t="s">
        <v>2657</v>
      </c>
      <c r="H972" s="2" t="s">
        <v>613</v>
      </c>
      <c r="I972" s="2" t="str">
        <f>IFERROR(__xludf.DUMMYFUNCTION("GOOGLETRANSLATE(C972,""fr"",""en"")"),"Am for years for years at the Macif. In April I have a damage of the waters in my shower. After my declaration an expert passes in August and subsequently I receive a letter in September tell me that my file was classified without follow -up .")</f>
        <v>Am for years for years at the Macif. In April I have a damage of the waters in my shower. After my declaration an expert passes in August and subsequently I receive a letter in September tell me that my file was classified without follow -up .</v>
      </c>
    </row>
    <row r="973" ht="15.75" customHeight="1">
      <c r="A973" s="2">
        <v>1.0</v>
      </c>
      <c r="B973" s="2" t="s">
        <v>2658</v>
      </c>
      <c r="C973" s="2" t="s">
        <v>2659</v>
      </c>
      <c r="D973" s="2" t="s">
        <v>30</v>
      </c>
      <c r="E973" s="2" t="s">
        <v>14</v>
      </c>
      <c r="F973" s="2" t="s">
        <v>15</v>
      </c>
      <c r="G973" s="2" t="s">
        <v>2660</v>
      </c>
      <c r="H973" s="2" t="s">
        <v>319</v>
      </c>
      <c r="I973" s="2" t="str">
        <f>IFERROR(__xludf.DUMMYFUNCTION("GOOGLETRANSLATE(C973,""fr"",""en"")"),"Before launching with Direct Insurance Read this ...
My insurance of my old Audi 80 ends on 01/31/16, I decide to go around the insurance to save a little year on this car since it does not drive anymore.
On quotes, Direct Assurance offers me the ch"&amp;"eapest. I subscribe for a total amount of € 274.90/year.
I sign this contract of € 274.90/year (photocopy at the support) and the next evening I receive a direct insurance email telling me that my insurance goes to € 288.23/years due to a bad calculation"&amp;" of My bonus/penalty (so a new contract that I have not signed) ...
The next day, I try to call customer service minimum 35 '! I hang up and recall ... 30 'and nobody on the phone !!!
In short, I am trying the next day and after 18 'I come across a comp"&amp;"letely incompetent person in the field of auto insurance contracts ...
I let him know that I did not sign this contract of € 288.23/years and that it was out of the question to pay insurance that I have not signed (no contract signed with my hands for th"&amp;"is ). In addition, it is written ""if you exceed the deadline for sending your documents, your contract will be terminated"".
This lady asks me to make a registered letter to terminate the contract.
I send by registered letter my termination of the insu"&amp;"rance contract on 09/12/16 (received on 12/12/16).
On 12/20/12/16 I receive a Direct Insurance voice message telling me that I must provide a certificate of sale of my vehicle ...
On 12/21/16 I am debited from my account € 288.23 (for insurance that beg"&amp;"ins on 01/01/17 whose file is incomplete from the main driver) !!!!!!
I find it ashamed how direct insurance if takes with his customers, I will recover my sum of that he has stolen me (because yes it is theft) and I am ready to appeal with the justice i"&amp;"f necessary. ..
Above all, do not go to them, I found less dear on an Allianz agency!
")</f>
        <v>Before launching with Direct Insurance Read this ...
My insurance of my old Audi 80 ends on 01/31/16, I decide to go around the insurance to save a little year on this car since it does not drive anymore.
On quotes, Direct Assurance offers me the cheapest. I subscribe for a total amount of € 274.90/year.
I sign this contract of € 274.90/year (photocopy at the support) and the next evening I receive a direct insurance email telling me that my insurance goes to € 288.23/years due to a bad calculation of My bonus/penalty (so a new contract that I have not signed) ...
The next day, I try to call customer service minimum 35 '! I hang up and recall ... 30 'and nobody on the phone !!!
In short, I am trying the next day and after 18 'I come across a completely incompetent person in the field of auto insurance contracts ...
I let him know that I did not sign this contract of € 288.23/years and that it was out of the question to pay insurance that I have not signed (no contract signed with my hands for this ). In addition, it is written "if you exceed the deadline for sending your documents, your contract will be terminated".
This lady asks me to make a registered letter to terminate the contract.
I send by registered letter my termination of the insurance contract on 09/12/16 (received on 12/12/16).
On 12/20/12/16 I receive a Direct Insurance voice message telling me that I must provide a certificate of sale of my vehicle ...
On 12/21/16 I am debited from my account € 288.23 (for insurance that begins on 01/01/17 whose file is incomplete from the main driver) !!!!!!
I find it ashamed how direct insurance if takes with his customers, I will recover my sum of that he has stolen me (because yes it is theft) and I am ready to appeal with the justice if necessary. ..
Above all, do not go to them, I found less dear on an Allianz agency!
</v>
      </c>
    </row>
    <row r="974" ht="15.75" customHeight="1">
      <c r="A974" s="2">
        <v>3.0</v>
      </c>
      <c r="B974" s="2" t="s">
        <v>2661</v>
      </c>
      <c r="C974" s="2" t="s">
        <v>2662</v>
      </c>
      <c r="D974" s="2" t="s">
        <v>224</v>
      </c>
      <c r="E974" s="2" t="s">
        <v>68</v>
      </c>
      <c r="F974" s="2" t="s">
        <v>15</v>
      </c>
      <c r="G974" s="2" t="s">
        <v>2663</v>
      </c>
      <c r="H974" s="2" t="s">
        <v>340</v>
      </c>
      <c r="I974" s="2" t="str">
        <f>IFERROR(__xludf.DUMMYFUNCTION("GOOGLETRANSLATE(C974,""fr"",""en"")"),"I was robbed in 2013 with the reimbursement option without obsolescence and everything went well on the processing of the file and the reimbursements")</f>
        <v>I was robbed in 2013 with the reimbursement option without obsolescence and everything went well on the processing of the file and the reimbursements</v>
      </c>
    </row>
    <row r="975" ht="15.75" customHeight="1">
      <c r="A975" s="2">
        <v>4.0</v>
      </c>
      <c r="B975" s="2" t="s">
        <v>2664</v>
      </c>
      <c r="C975" s="2" t="s">
        <v>2665</v>
      </c>
      <c r="D975" s="2" t="s">
        <v>50</v>
      </c>
      <c r="E975" s="2" t="s">
        <v>14</v>
      </c>
      <c r="F975" s="2" t="s">
        <v>15</v>
      </c>
      <c r="G975" s="2" t="s">
        <v>2666</v>
      </c>
      <c r="H975" s="2" t="s">
        <v>192</v>
      </c>
      <c r="I975" s="2" t="str">
        <f>IFERROR(__xludf.DUMMYFUNCTION("GOOGLETRANSLATE(C975,""fr"",""en"")"),"I am satisfied by the Sercives.
Telephone conversation in the hair, staff attentive to customers and very good information I was giving.
Fast efficient and correct price
Thank you and see you soon")</f>
        <v>I am satisfied by the Sercives.
Telephone conversation in the hair, staff attentive to customers and very good information I was giving.
Fast efficient and correct price
Thank you and see you soon</v>
      </c>
    </row>
    <row r="976" ht="15.75" customHeight="1">
      <c r="A976" s="2">
        <v>1.0</v>
      </c>
      <c r="B976" s="2" t="s">
        <v>2667</v>
      </c>
      <c r="C976" s="2" t="s">
        <v>2668</v>
      </c>
      <c r="D976" s="2" t="s">
        <v>642</v>
      </c>
      <c r="E976" s="2" t="s">
        <v>80</v>
      </c>
      <c r="F976" s="2" t="s">
        <v>15</v>
      </c>
      <c r="G976" s="2" t="s">
        <v>2374</v>
      </c>
      <c r="H976" s="2" t="s">
        <v>32</v>
      </c>
      <c r="I976" s="2" t="str">
        <f>IFERROR(__xludf.DUMMYFUNCTION("GOOGLETRANSLATE(C976,""fr"",""en"")"),"To flee at all costs ... unheard of ... errors on the effects of the contract ... hours to have them correct ... nobody of reachable to have the corrections ... monthly payments levied 4 times higher than those announced ... I did not know that it could e"&amp;"xist")</f>
        <v>To flee at all costs ... unheard of ... errors on the effects of the contract ... hours to have them correct ... nobody of reachable to have the corrections ... monthly payments levied 4 times higher than those announced ... I did not know that it could exist</v>
      </c>
    </row>
    <row r="977" ht="15.75" customHeight="1">
      <c r="A977" s="2">
        <v>3.0</v>
      </c>
      <c r="B977" s="2" t="s">
        <v>2669</v>
      </c>
      <c r="C977" s="2" t="s">
        <v>2670</v>
      </c>
      <c r="D977" s="2" t="s">
        <v>50</v>
      </c>
      <c r="E977" s="2" t="s">
        <v>14</v>
      </c>
      <c r="F977" s="2" t="s">
        <v>15</v>
      </c>
      <c r="G977" s="2" t="s">
        <v>2671</v>
      </c>
      <c r="H977" s="2" t="s">
        <v>107</v>
      </c>
      <c r="I977" s="2" t="str">
        <f>IFERROR(__xludf.DUMMYFUNCTION("GOOGLETRANSLATE(C977,""fr"",""en"")"),"I am satisfied at the moment now this is only the beginning ... .. I am waiting for confirmation when for example I will have a problem to report ………………….")</f>
        <v>I am satisfied at the moment now this is only the beginning ... .. I am waiting for confirmation when for example I will have a problem to report ………………….</v>
      </c>
    </row>
    <row r="978" ht="15.75" customHeight="1">
      <c r="A978" s="2">
        <v>1.0</v>
      </c>
      <c r="B978" s="2" t="s">
        <v>2672</v>
      </c>
      <c r="C978" s="2" t="s">
        <v>2673</v>
      </c>
      <c r="D978" s="2" t="s">
        <v>247</v>
      </c>
      <c r="E978" s="2" t="s">
        <v>36</v>
      </c>
      <c r="F978" s="2" t="s">
        <v>15</v>
      </c>
      <c r="G978" s="2" t="s">
        <v>2674</v>
      </c>
      <c r="H978" s="2" t="s">
        <v>91</v>
      </c>
      <c r="I978" s="2" t="str">
        <f>IFERROR(__xludf.DUMMYFUNCTION("GOOGLETRANSLATE(C978,""fr"",""en"")"),"40 minutes on the phone so that I was hung up on the nose !!!! Never seen !!!!
They are unreachable and dare you send letters and reminders but do not even answer .... better and better")</f>
        <v>40 minutes on the phone so that I was hung up on the nose !!!! Never seen !!!!
They are unreachable and dare you send letters and reminders but do not even answer .... better and better</v>
      </c>
    </row>
    <row r="979" ht="15.75" customHeight="1">
      <c r="A979" s="2">
        <v>5.0</v>
      </c>
      <c r="B979" s="2" t="s">
        <v>2675</v>
      </c>
      <c r="C979" s="2" t="s">
        <v>2676</v>
      </c>
      <c r="D979" s="2" t="s">
        <v>296</v>
      </c>
      <c r="E979" s="2" t="s">
        <v>14</v>
      </c>
      <c r="F979" s="2" t="s">
        <v>15</v>
      </c>
      <c r="G979" s="2" t="s">
        <v>264</v>
      </c>
      <c r="H979" s="2" t="s">
        <v>38</v>
      </c>
      <c r="I979" s="2" t="str">
        <f>IFERROR(__xludf.DUMMYFUNCTION("GOOGLETRANSLATE(C979,""fr"",""en"")"),"Telephone platform..Super nice, attentive and professionals on the phone. Less in agency, too bad.
A note of excellence for auto assistance.")</f>
        <v>Telephone platform..Super nice, attentive and professionals on the phone. Less in agency, too bad.
A note of excellence for auto assistance.</v>
      </c>
    </row>
    <row r="980" ht="15.75" customHeight="1">
      <c r="A980" s="2">
        <v>2.0</v>
      </c>
      <c r="B980" s="2" t="s">
        <v>2677</v>
      </c>
      <c r="C980" s="2" t="s">
        <v>2678</v>
      </c>
      <c r="D980" s="2" t="s">
        <v>134</v>
      </c>
      <c r="E980" s="2" t="s">
        <v>36</v>
      </c>
      <c r="F980" s="2" t="s">
        <v>15</v>
      </c>
      <c r="G980" s="2" t="s">
        <v>1784</v>
      </c>
      <c r="H980" s="2" t="s">
        <v>52</v>
      </c>
      <c r="I980" s="2" t="str">
        <f>IFERROR(__xludf.DUMMYFUNCTION("GOOGLETRANSLATE(C980,""fr"",""en"")"),"very bad mutual that does not want the led
He refuses to reimburse me to the pro rata, because I am forced to take a mandatory mutual at work
He do me)))) with their papers and their answers, you always need something in addition I will rot them on the "&amp;"resale thoroughly, don't interest you they are not expensive but it is really worth nothing
Tomorrow my file goes into the hands of Julien Courbet")</f>
        <v>very bad mutual that does not want the led
He refuses to reimburse me to the pro rata, because I am forced to take a mandatory mutual at work
He do me)))) with their papers and their answers, you always need something in addition I will rot them on the resale thoroughly, don't interest you they are not expensive but it is really worth nothing
Tomorrow my file goes into the hands of Julien Courbet</v>
      </c>
    </row>
    <row r="981" ht="15.75" customHeight="1">
      <c r="A981" s="2">
        <v>4.0</v>
      </c>
      <c r="B981" s="2" t="s">
        <v>2679</v>
      </c>
      <c r="C981" s="2" t="s">
        <v>2680</v>
      </c>
      <c r="D981" s="2" t="s">
        <v>35</v>
      </c>
      <c r="E981" s="2" t="s">
        <v>36</v>
      </c>
      <c r="F981" s="2" t="s">
        <v>15</v>
      </c>
      <c r="G981" s="2" t="s">
        <v>811</v>
      </c>
      <c r="H981" s="2" t="s">
        <v>233</v>
      </c>
      <c r="I981" s="2" t="str">
        <f>IFERROR(__xludf.DUMMYFUNCTION("GOOGLETRANSLATE(C981,""fr"",""en"")"),"Very welcome from the person on the phone Madame Sara M and competent to guided me in some of my efforts.")</f>
        <v>Very welcome from the person on the phone Madame Sara M and competent to guided me in some of my efforts.</v>
      </c>
    </row>
    <row r="982" ht="15.75" customHeight="1">
      <c r="A982" s="2">
        <v>2.0</v>
      </c>
      <c r="B982" s="2" t="s">
        <v>2681</v>
      </c>
      <c r="C982" s="2" t="s">
        <v>2682</v>
      </c>
      <c r="D982" s="2" t="s">
        <v>35</v>
      </c>
      <c r="E982" s="2" t="s">
        <v>36</v>
      </c>
      <c r="F982" s="2" t="s">
        <v>15</v>
      </c>
      <c r="G982" s="2" t="s">
        <v>2683</v>
      </c>
      <c r="H982" s="2" t="s">
        <v>613</v>
      </c>
      <c r="I982" s="2" t="str">
        <f>IFERROR(__xludf.DUMMYFUNCTION("GOOGLETRANSLATE(C982,""fr"",""en"")"),"After launching a comparative mutual research on a website, I was very quickly contacted by the Santiane broker. I explained that I wanted to change my mutual provided that I find better guarantees for an almost equivalent price. After having targeted the"&amp;" guarantees on which I wanted to obtain good reimbursements, in this case orthodontics, dental care and optics, the salesperson offered me the LP4 formula at Linea Santé &amp; Provident. As I was wary of the veracity of the gain of guarantees compared to my o"&amp;"ld UNO mutual mutual, he compared each line of the tables of guarantees to prove to me that my old mutual was much less interesting. After more than an hour of telephone conversation, I ended up giving in to his argument and signed the contract at the end"&amp;".
Excellent commercial !!!
15 days later, I had an appointment with my dentist with whom I wanted to see if he was not more judicious to wait January (date on which I had subscribed to my new contract with Santiane) to start care. And there what was my "&amp;"surprise when the dentist tells me that I will largely lose !!! We suddenly simulate an orthodontic reimbursement, and there too, disaster!
In fact the salesperson, if we can call it thus (I would rather call it usurper), compared each other percentage"&amp;"s which had nothing to do with each other: the percentages of his mutual include The percentage reimbursed by the compulsory scheme, while my current mutual, designates the percentage which comes in complement to that of Social Security.
As I am beyond"&amp;" the 14 days of the withdrawal period, they refuse to terminate my contract.
The operator of the complaint service was ironic in a 1st step, asking me if, before signing a contract, I did not read the content (I specify that the paragraph, indicating tha"&amp;"t the % comprises that of the regime , is written in tiny at the top of the document). In a 2nd time, since I got angry (because she started to explain to me how a percentage calculation works !!!), she was aggressive telling me that I was not going to te"&amp;"ach her her job she was doing For 5 years, and especially that I did not understand anything.
My conclusion is that they are liars.
I am interested for any information that could tell me an appeal.")</f>
        <v>After launching a comparative mutual research on a website, I was very quickly contacted by the Santiane broker. I explained that I wanted to change my mutual provided that I find better guarantees for an almost equivalent price. After having targeted the guarantees on which I wanted to obtain good reimbursements, in this case orthodontics, dental care and optics, the salesperson offered me the LP4 formula at Linea Santé &amp; Provident. As I was wary of the veracity of the gain of guarantees compared to my old UNO mutual mutual, he compared each line of the tables of guarantees to prove to me that my old mutual was much less interesting. After more than an hour of telephone conversation, I ended up giving in to his argument and signed the contract at the end.
Excellent commercial !!!
15 days later, I had an appointment with my dentist with whom I wanted to see if he was not more judicious to wait January (date on which I had subscribed to my new contract with Santiane) to start care. And there what was my surprise when the dentist tells me that I will largely lose !!! We suddenly simulate an orthodontic reimbursement, and there too, disaster!
In fact the salesperson, if we can call it thus (I would rather call it usurper), compared each other percentages which had nothing to do with each other: the percentages of his mutual include The percentage reimbursed by the compulsory scheme, while my current mutual, designates the percentage which comes in complement to that of Social Security.
As I am beyond the 14 days of the withdrawal period, they refuse to terminate my contract.
The operator of the complaint service was ironic in a 1st step, asking me if, before signing a contract, I did not read the content (I specify that the paragraph, indicating that the % comprises that of the regime , is written in tiny at the top of the document). In a 2nd time, since I got angry (because she started to explain to me how a percentage calculation works !!!), she was aggressive telling me that I was not going to teach her her job she was doing For 5 years, and especially that I did not understand anything.
My conclusion is that they are liars.
I am interested for any information that could tell me an appeal.</v>
      </c>
    </row>
    <row r="983" ht="15.75" customHeight="1">
      <c r="A983" s="2">
        <v>4.0</v>
      </c>
      <c r="B983" s="2" t="s">
        <v>2684</v>
      </c>
      <c r="C983" s="2" t="s">
        <v>2685</v>
      </c>
      <c r="D983" s="2" t="s">
        <v>30</v>
      </c>
      <c r="E983" s="2" t="s">
        <v>14</v>
      </c>
      <c r="F983" s="2" t="s">
        <v>15</v>
      </c>
      <c r="G983" s="2" t="s">
        <v>63</v>
      </c>
      <c r="H983" s="2" t="s">
        <v>64</v>
      </c>
      <c r="I983" s="2" t="str">
        <f>IFERROR(__xludf.DUMMYFUNCTION("GOOGLETRANSLATE(C983,""fr"",""en"")"),"I am very satisfied with the customer service, I was able to ensure my vehicle in a few minutes perfect.
No worries with Direct Insurance as usual")</f>
        <v>I am very satisfied with the customer service, I was able to ensure my vehicle in a few minutes perfect.
No worries with Direct Insurance as usual</v>
      </c>
    </row>
    <row r="984" ht="15.75" customHeight="1">
      <c r="A984" s="2">
        <v>3.0</v>
      </c>
      <c r="B984" s="2" t="s">
        <v>2686</v>
      </c>
      <c r="C984" s="2" t="s">
        <v>2687</v>
      </c>
      <c r="D984" s="2" t="s">
        <v>30</v>
      </c>
      <c r="E984" s="2" t="s">
        <v>14</v>
      </c>
      <c r="F984" s="2" t="s">
        <v>15</v>
      </c>
      <c r="G984" s="2" t="s">
        <v>37</v>
      </c>
      <c r="H984" s="2" t="s">
        <v>38</v>
      </c>
      <c r="I984" s="2" t="str">
        <f>IFERROR(__xludf.DUMMYFUNCTION("GOOGLETRANSLATE(C984,""fr"",""en"")"),"I am satisfied with the service. The site is very well constructed and very easy to use. Prices are affordable for young drivers, especially thanks to the Youdrive system.")</f>
        <v>I am satisfied with the service. The site is very well constructed and very easy to use. Prices are affordable for young drivers, especially thanks to the Youdrive system.</v>
      </c>
    </row>
    <row r="985" ht="15.75" customHeight="1">
      <c r="A985" s="2">
        <v>2.0</v>
      </c>
      <c r="B985" s="2" t="s">
        <v>2688</v>
      </c>
      <c r="C985" s="2" t="s">
        <v>2689</v>
      </c>
      <c r="D985" s="2" t="s">
        <v>50</v>
      </c>
      <c r="E985" s="2" t="s">
        <v>14</v>
      </c>
      <c r="F985" s="2" t="s">
        <v>15</v>
      </c>
      <c r="G985" s="2" t="s">
        <v>413</v>
      </c>
      <c r="H985" s="2" t="s">
        <v>107</v>
      </c>
      <c r="I985" s="2" t="str">
        <f>IFERROR(__xludf.DUMMYFUNCTION("GOOGLETRANSLATE(C985,""fr"",""en"")"),"We will have to think about removing the record costs for customers who already benefit from a 1st insurance contract.
                                ")</f>
        <v>We will have to think about removing the record costs for customers who already benefit from a 1st insurance contract.
                                </v>
      </c>
    </row>
    <row r="986" ht="15.75" customHeight="1">
      <c r="A986" s="2">
        <v>4.0</v>
      </c>
      <c r="B986" s="2" t="s">
        <v>2690</v>
      </c>
      <c r="C986" s="2" t="s">
        <v>2691</v>
      </c>
      <c r="D986" s="2" t="s">
        <v>30</v>
      </c>
      <c r="E986" s="2" t="s">
        <v>14</v>
      </c>
      <c r="F986" s="2" t="s">
        <v>15</v>
      </c>
      <c r="G986" s="2" t="s">
        <v>498</v>
      </c>
      <c r="H986" s="2" t="s">
        <v>52</v>
      </c>
      <c r="I986" s="2" t="str">
        <f>IFERROR(__xludf.DUMMYFUNCTION("GOOGLETRANSLATE(C986,""fr"",""en"")"),"Correct price but for simplicity we will iron the shipments of photos are very complicated when you do not have a latest generation smartphone")</f>
        <v>Correct price but for simplicity we will iron the shipments of photos are very complicated when you do not have a latest generation smartphone</v>
      </c>
    </row>
    <row r="987" ht="15.75" customHeight="1">
      <c r="A987" s="2">
        <v>5.0</v>
      </c>
      <c r="B987" s="2" t="s">
        <v>2692</v>
      </c>
      <c r="C987" s="2" t="s">
        <v>2693</v>
      </c>
      <c r="D987" s="2" t="s">
        <v>30</v>
      </c>
      <c r="E987" s="2" t="s">
        <v>14</v>
      </c>
      <c r="F987" s="2" t="s">
        <v>15</v>
      </c>
      <c r="G987" s="2" t="s">
        <v>1730</v>
      </c>
      <c r="H987" s="2" t="s">
        <v>159</v>
      </c>
      <c r="I987" s="2" t="str">
        <f>IFERROR(__xludf.DUMMYFUNCTION("GOOGLETRANSLATE(C987,""fr"",""en"")"),"I am satisfied with your services.
I am satisfied with your prices.
It's a bit complicated to create a personal account.
So far I haven't had any problems, hope it continues.
thank you.")</f>
        <v>I am satisfied with your services.
I am satisfied with your prices.
It's a bit complicated to create a personal account.
So far I haven't had any problems, hope it continues.
thank you.</v>
      </c>
    </row>
    <row r="988" ht="15.75" customHeight="1">
      <c r="A988" s="2">
        <v>3.0</v>
      </c>
      <c r="B988" s="2" t="s">
        <v>2694</v>
      </c>
      <c r="C988" s="2" t="s">
        <v>2695</v>
      </c>
      <c r="D988" s="2" t="s">
        <v>30</v>
      </c>
      <c r="E988" s="2" t="s">
        <v>14</v>
      </c>
      <c r="F988" s="2" t="s">
        <v>15</v>
      </c>
      <c r="G988" s="2" t="s">
        <v>76</v>
      </c>
      <c r="H988" s="2" t="s">
        <v>52</v>
      </c>
      <c r="I988" s="2" t="str">
        <f>IFERROR(__xludf.DUMMYFUNCTION("GOOGLETRANSLATE(C988,""fr"",""en"")"),"I am moderately satisfied because it is not easy to have a person on the phone. In addition, some time, we have the impression that our interlocutors do not understand us.")</f>
        <v>I am moderately satisfied because it is not easy to have a person on the phone. In addition, some time, we have the impression that our interlocutors do not understand us.</v>
      </c>
    </row>
    <row r="989" ht="15.75" customHeight="1">
      <c r="A989" s="2">
        <v>4.0</v>
      </c>
      <c r="B989" s="2" t="s">
        <v>2696</v>
      </c>
      <c r="C989" s="2" t="s">
        <v>2697</v>
      </c>
      <c r="D989" s="2" t="s">
        <v>30</v>
      </c>
      <c r="E989" s="2" t="s">
        <v>14</v>
      </c>
      <c r="F989" s="2" t="s">
        <v>15</v>
      </c>
      <c r="G989" s="2" t="s">
        <v>751</v>
      </c>
      <c r="H989" s="2" t="s">
        <v>64</v>
      </c>
      <c r="I989" s="2" t="str">
        <f>IFERROR(__xludf.DUMMYFUNCTION("GOOGLETRANSLATE(C989,""fr"",""en"")"),"Thank you for the service. I apprehend the inscription and the services via an internet subscription. Indeed, I like the verbal exchange for information.")</f>
        <v>Thank you for the service. I apprehend the inscription and the services via an internet subscription. Indeed, I like the verbal exchange for information.</v>
      </c>
    </row>
    <row r="990" ht="15.75" customHeight="1">
      <c r="A990" s="2">
        <v>4.0</v>
      </c>
      <c r="B990" s="2" t="s">
        <v>2698</v>
      </c>
      <c r="C990" s="2" t="s">
        <v>2699</v>
      </c>
      <c r="D990" s="2" t="s">
        <v>134</v>
      </c>
      <c r="E990" s="2" t="s">
        <v>36</v>
      </c>
      <c r="F990" s="2" t="s">
        <v>15</v>
      </c>
      <c r="G990" s="2" t="s">
        <v>2700</v>
      </c>
      <c r="H990" s="2" t="s">
        <v>192</v>
      </c>
      <c r="I990" s="2" t="str">
        <f>IFERROR(__xludf.DUMMYFUNCTION("GOOGLETRANSLATE(C990,""fr"",""en"")"),"It was Émeline who treated my call. She was attentive to my difficulties.
She was very responsive, wishing to do everything to make me satisfied.
Person who was very understanding.
")</f>
        <v>It was Émeline who treated my call. She was attentive to my difficulties.
She was very responsive, wishing to do everything to make me satisfied.
Person who was very understanding.
</v>
      </c>
    </row>
    <row r="991" ht="15.75" customHeight="1">
      <c r="A991" s="2">
        <v>5.0</v>
      </c>
      <c r="B991" s="2" t="s">
        <v>2701</v>
      </c>
      <c r="C991" s="2" t="s">
        <v>2702</v>
      </c>
      <c r="D991" s="2" t="s">
        <v>145</v>
      </c>
      <c r="E991" s="2" t="s">
        <v>111</v>
      </c>
      <c r="F991" s="2" t="s">
        <v>15</v>
      </c>
      <c r="G991" s="2" t="s">
        <v>1614</v>
      </c>
      <c r="H991" s="2" t="s">
        <v>107</v>
      </c>
      <c r="I991" s="2" t="str">
        <f>IFERROR(__xludf.DUMMYFUNCTION("GOOGLETRANSLATE(C991,""fr"",""en"")"),"Very happy with the service The price is correct and the telephone reception pleasant and competent I recommend your services to my friends and family")</f>
        <v>Very happy with the service The price is correct and the telephone reception pleasant and competent I recommend your services to my friends and family</v>
      </c>
    </row>
    <row r="992" ht="15.75" customHeight="1">
      <c r="A992" s="2">
        <v>2.0</v>
      </c>
      <c r="B992" s="2" t="s">
        <v>2703</v>
      </c>
      <c r="C992" s="2" t="s">
        <v>2704</v>
      </c>
      <c r="D992" s="2" t="s">
        <v>219</v>
      </c>
      <c r="E992" s="2" t="s">
        <v>14</v>
      </c>
      <c r="F992" s="2" t="s">
        <v>15</v>
      </c>
      <c r="G992" s="2" t="s">
        <v>1790</v>
      </c>
      <c r="H992" s="2" t="s">
        <v>47</v>
      </c>
      <c r="I992" s="2" t="str">
        <f>IFERROR(__xludf.DUMMYFUNCTION("GOOGLETRANSLATE(C992,""fr"",""en"")"),"I have just taken out a car contract I will immediately terminate because since this morning I can't reach them and this afternoon I had a person after 3 hours who could not solve my problem she put into Waiting for another service which it transferred me"&amp;" to another thing I will do the bank for the samples to flee")</f>
        <v>I have just taken out a car contract I will immediately terminate because since this morning I can't reach them and this afternoon I had a person after 3 hours who could not solve my problem she put into Waiting for another service which it transferred me to another thing I will do the bank for the samples to flee</v>
      </c>
    </row>
    <row r="993" ht="15.75" customHeight="1">
      <c r="A993" s="2">
        <v>2.0</v>
      </c>
      <c r="B993" s="2" t="s">
        <v>2705</v>
      </c>
      <c r="C993" s="2" t="s">
        <v>2706</v>
      </c>
      <c r="D993" s="2" t="s">
        <v>85</v>
      </c>
      <c r="E993" s="2" t="s">
        <v>36</v>
      </c>
      <c r="F993" s="2" t="s">
        <v>15</v>
      </c>
      <c r="G993" s="2" t="s">
        <v>2707</v>
      </c>
      <c r="H993" s="2" t="s">
        <v>113</v>
      </c>
      <c r="I993" s="2" t="str">
        <f>IFERROR(__xludf.DUMMYFUNCTION("GOOGLETRANSLATE(C993,""fr"",""en"")"),"I benefit from the portability I even received my radiation for August 31, 2018 but AG2R claims me reimbursement costs and when I look at my customer area I am no longer part of their customer I have called and the advisor said that I had portability. I d"&amp;"on't understand anything anymore and don't know if I am always insured")</f>
        <v>I benefit from the portability I even received my radiation for August 31, 2018 but AG2R claims me reimbursement costs and when I look at my customer area I am no longer part of their customer I have called and the advisor said that I had portability. I don't understand anything anymore and don't know if I am always insured</v>
      </c>
    </row>
    <row r="994" ht="15.75" customHeight="1">
      <c r="A994" s="2">
        <v>3.0</v>
      </c>
      <c r="B994" s="2" t="s">
        <v>2708</v>
      </c>
      <c r="C994" s="2" t="s">
        <v>2709</v>
      </c>
      <c r="D994" s="2" t="s">
        <v>50</v>
      </c>
      <c r="E994" s="2" t="s">
        <v>14</v>
      </c>
      <c r="F994" s="2" t="s">
        <v>15</v>
      </c>
      <c r="G994" s="2" t="s">
        <v>930</v>
      </c>
      <c r="H994" s="2" t="s">
        <v>38</v>
      </c>
      <c r="I994" s="2" t="str">
        <f>IFERROR(__xludf.DUMMYFUNCTION("GOOGLETRANSLATE(C994,""fr"",""en"")"),"I am half satisfied with the price, I find that the registration fees seems expensive even if they contain the tax and everything else I find that paying two hundred five euros is expensive to start")</f>
        <v>I am half satisfied with the price, I find that the registration fees seems expensive even if they contain the tax and everything else I find that paying two hundred five euros is expensive to start</v>
      </c>
    </row>
    <row r="995" ht="15.75" customHeight="1">
      <c r="A995" s="2">
        <v>4.0</v>
      </c>
      <c r="B995" s="2" t="s">
        <v>2710</v>
      </c>
      <c r="C995" s="2" t="s">
        <v>2711</v>
      </c>
      <c r="D995" s="2" t="s">
        <v>50</v>
      </c>
      <c r="E995" s="2" t="s">
        <v>14</v>
      </c>
      <c r="F995" s="2" t="s">
        <v>15</v>
      </c>
      <c r="G995" s="2" t="s">
        <v>580</v>
      </c>
      <c r="H995" s="2" t="s">
        <v>38</v>
      </c>
      <c r="I995" s="2" t="str">
        <f>IFERROR(__xludf.DUMMYFUNCTION("GOOGLETRANSLATE(C995,""fr"",""en"")"),"I am satisfied Maxime and Laura are very professional they deserve 10/10, a bonus and an increase is really happy cordially")</f>
        <v>I am satisfied Maxime and Laura are very professional they deserve 10/10, a bonus and an increase is really happy cordially</v>
      </c>
    </row>
    <row r="996" ht="15.75" customHeight="1">
      <c r="A996" s="2">
        <v>5.0</v>
      </c>
      <c r="B996" s="2" t="s">
        <v>2712</v>
      </c>
      <c r="C996" s="2" t="s">
        <v>2713</v>
      </c>
      <c r="D996" s="2" t="s">
        <v>145</v>
      </c>
      <c r="E996" s="2" t="s">
        <v>111</v>
      </c>
      <c r="F996" s="2" t="s">
        <v>15</v>
      </c>
      <c r="G996" s="2" t="s">
        <v>1592</v>
      </c>
      <c r="H996" s="2" t="s">
        <v>124</v>
      </c>
      <c r="I996" s="2" t="str">
        <f>IFERROR(__xludf.DUMMYFUNCTION("GOOGLETRANSLATE(C996,""fr"",""en"")"),"Very good insurance at the competitive rate. Excellent customer relations and follow -up of files in the event of claims.
The most is the delivery gain thanks to the seniority.
I recommend .")</f>
        <v>Very good insurance at the competitive rate. Excellent customer relations and follow -up of files in the event of claims.
The most is the delivery gain thanks to the seniority.
I recommend .</v>
      </c>
    </row>
    <row r="997" ht="15.75" customHeight="1">
      <c r="A997" s="2">
        <v>2.0</v>
      </c>
      <c r="B997" s="2" t="s">
        <v>2714</v>
      </c>
      <c r="C997" s="2" t="s">
        <v>2715</v>
      </c>
      <c r="D997" s="2" t="s">
        <v>13</v>
      </c>
      <c r="E997" s="2" t="s">
        <v>14</v>
      </c>
      <c r="F997" s="2" t="s">
        <v>15</v>
      </c>
      <c r="G997" s="2" t="s">
        <v>2716</v>
      </c>
      <c r="H997" s="2" t="s">
        <v>1007</v>
      </c>
      <c r="I997" s="2" t="str">
        <f>IFERROR(__xludf.DUMMYFUNCTION("GOOGLETRANSLATE(C997,""fr"",""en"")"),"After more than 10 years of auto and home insurance at Maaf, I receive a termination letter for the following reason: 2 accidents in 10 years over the last 3 years including 1 not responsible ... It's shameful ... Bravo The maaf and thank you for your loy"&amp;"alty! (I am unfortunately forced to put a star)")</f>
        <v>After more than 10 years of auto and home insurance at Maaf, I receive a termination letter for the following reason: 2 accidents in 10 years over the last 3 years including 1 not responsible ... It's shameful ... Bravo The maaf and thank you for your loyalty! (I am unfortunately forced to put a star)</v>
      </c>
    </row>
    <row r="998" ht="15.75" customHeight="1">
      <c r="A998" s="2">
        <v>5.0</v>
      </c>
      <c r="B998" s="2" t="s">
        <v>2717</v>
      </c>
      <c r="C998" s="2" t="s">
        <v>2718</v>
      </c>
      <c r="D998" s="2" t="s">
        <v>145</v>
      </c>
      <c r="E998" s="2" t="s">
        <v>111</v>
      </c>
      <c r="F998" s="2" t="s">
        <v>15</v>
      </c>
      <c r="G998" s="2" t="s">
        <v>2719</v>
      </c>
      <c r="H998" s="2" t="s">
        <v>38</v>
      </c>
      <c r="I998" s="2" t="str">
        <f>IFERROR(__xludf.DUMMYFUNCTION("GOOGLETRANSLATE(C998,""fr"",""en"")"),"I am satisfied with the service and the efficiency of the implementation of insurance contracts. fast and serious internet service and listening to advisers when I need it. Personally, I will not change insurance because for me everything is good.")</f>
        <v>I am satisfied with the service and the efficiency of the implementation of insurance contracts. fast and serious internet service and listening to advisers when I need it. Personally, I will not change insurance because for me everything is good.</v>
      </c>
    </row>
    <row r="999" ht="15.75" customHeight="1">
      <c r="A999" s="2">
        <v>4.0</v>
      </c>
      <c r="B999" s="2" t="s">
        <v>2720</v>
      </c>
      <c r="C999" s="2" t="s">
        <v>2721</v>
      </c>
      <c r="D999" s="2" t="s">
        <v>50</v>
      </c>
      <c r="E999" s="2" t="s">
        <v>14</v>
      </c>
      <c r="F999" s="2" t="s">
        <v>15</v>
      </c>
      <c r="G999" s="2" t="s">
        <v>1659</v>
      </c>
      <c r="H999" s="2" t="s">
        <v>32</v>
      </c>
      <c r="I999" s="2" t="str">
        <f>IFERROR(__xludf.DUMMYFUNCTION("GOOGLETRANSLATE(C999,""fr"",""en"")"),"The contact with the advisor was immediate. All the information that my data was clear. The price has a good value for money.")</f>
        <v>The contact with the advisor was immediate. All the information that my data was clear. The price has a good value for money.</v>
      </c>
    </row>
    <row r="1000" ht="15.75" customHeight="1">
      <c r="A1000" s="2">
        <v>5.0</v>
      </c>
      <c r="B1000" s="2" t="s">
        <v>2722</v>
      </c>
      <c r="C1000" s="2" t="s">
        <v>2723</v>
      </c>
      <c r="D1000" s="2" t="s">
        <v>30</v>
      </c>
      <c r="E1000" s="2" t="s">
        <v>14</v>
      </c>
      <c r="F1000" s="2" t="s">
        <v>15</v>
      </c>
      <c r="G1000" s="2" t="s">
        <v>1703</v>
      </c>
      <c r="H1000" s="2" t="s">
        <v>64</v>
      </c>
      <c r="I1000" s="2" t="str">
        <f>IFERROR(__xludf.DUMMYFUNCTION("GOOGLETRANSLATE(C1000,""fr"",""en"")"),"Excellent perfect I recommend to friends quality price perfect I highly recommend this insurance thank you very much to you cordially Madame Canfin")</f>
        <v>Excellent perfect I recommend to friends quality price perfect I highly recommend this insurance thank you very much to you cordially Madame Canfin</v>
      </c>
    </row>
    <row r="1001" ht="15.75" customHeight="1">
      <c r="A1001" s="2">
        <v>1.0</v>
      </c>
      <c r="B1001" s="2" t="s">
        <v>2724</v>
      </c>
      <c r="C1001" s="2" t="s">
        <v>2725</v>
      </c>
      <c r="D1001" s="2" t="s">
        <v>85</v>
      </c>
      <c r="E1001" s="2" t="s">
        <v>90</v>
      </c>
      <c r="F1001" s="2" t="s">
        <v>15</v>
      </c>
      <c r="G1001" s="2" t="s">
        <v>2726</v>
      </c>
      <c r="H1001" s="2" t="s">
        <v>47</v>
      </c>
      <c r="I1001" s="2" t="str">
        <f>IFERROR(__xludf.DUMMYFUNCTION("GOOGLETRANSLATE(C1001,""fr"",""en"")"),"Hello my maternity leave began on November 25, 2019 I was waiting for compensation because for my first child I received it automatically without any procedure (in 2017) I called in March to ask they asked me to send parts whose payrolls ... I sent everyt"&amp;"hing after nothing I call each me every time a story (a piece is missing, we must redo the file, we have to wait we are not yet on your file and there my child is 15 months old without receiving My compensation. I think we have contributed and this is an "&amp;"absolute right we are not doing charity. I would like to do something legal against this insurance because you have to stop taking people for ....")</f>
        <v>Hello my maternity leave began on November 25, 2019 I was waiting for compensation because for my first child I received it automatically without any procedure (in 2017) I called in March to ask they asked me to send parts whose payrolls ... I sent everything after nothing I call each me every time a story (a piece is missing, we must redo the file, we have to wait we are not yet on your file and there my child is 15 months old without receiving My compensation. I think we have contributed and this is an absolute right we are not doing charity. I would like to do something legal against this insurance because you have to stop taking people for ....</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2022-12-16T15:48:21Z</dcterms:created>
</cp:coreProperties>
</file>