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50X5O2JLKPh6ZQVwctO7SppDyEA=="/>
    </ext>
  </extLst>
</workbook>
</file>

<file path=xl/sharedStrings.xml><?xml version="1.0" encoding="utf-8"?>
<sst xmlns="http://schemas.openxmlformats.org/spreadsheetml/2006/main" count="7011" uniqueCount="2812">
  <si>
    <t>note</t>
  </si>
  <si>
    <t>auteur</t>
  </si>
  <si>
    <t>avis</t>
  </si>
  <si>
    <t>assureur</t>
  </si>
  <si>
    <t>produit</t>
  </si>
  <si>
    <t>type</t>
  </si>
  <si>
    <t>date_publication</t>
  </si>
  <si>
    <t>date_exp</t>
  </si>
  <si>
    <t>avis_en</t>
  </si>
  <si>
    <t>avis_cor</t>
  </si>
  <si>
    <t>avis_cor_en</t>
  </si>
  <si>
    <t>vava-102193</t>
  </si>
  <si>
    <t>Cette assurance est pas chère cette mais ils sont d'une inefficacité qui frise la perfection !!! Voilà 10 mois que nous attendons un remboursement pour un changement de pare brise ! Nous avons racheté une voiture depuis et nous ne pouvons pas nous séparer de l'ancienne à cause de ce litige avec la MATMUT !!! Un scandale. Fuyez cette assurance.</t>
  </si>
  <si>
    <t>Matmut</t>
  </si>
  <si>
    <t>auto</t>
  </si>
  <si>
    <t>test</t>
  </si>
  <si>
    <t>05/01/2021</t>
  </si>
  <si>
    <t>01/01/2021</t>
  </si>
  <si>
    <t>cocopelli51-101829</t>
  </si>
  <si>
    <t>Bonjour, je suis client (sociétaire) de la Matmut depuis plus de 40 ans.  J'avais 65 % de bonus incluant les 15% du bonus "Matmut"car sans sinistre responsable depuis plus de 20 ans.
j'ai eu en janvier 2020 un petit accrochage (très léger et uniquement matériel) dont la responsabilité m'a été attribuée (c'est déjà très discutable mais c'est un autre débat).
Sur mon échéance de janvier 2021 la Matmut me retire 8% de bonus Matmut .
Je demande donc des explications et sur quel "texte" ou "règlement interne" ils s'appuient par messagerie. 
Depuis 3 semaines ils me font tourner en bourrique en me citant notamment la règlementation concernant les 50 % "officiels" de bonus, mais en aucun cas ils ne sont capables de me fournir un texte sur lequel s'appuie cette réduction du bonus Matmut dès le 1er sinistre "responsable".
j'attendais un autre traitement pour un client aussi fidèle depuis plus de 40 ans.</t>
  </si>
  <si>
    <t>24/12/2020</t>
  </si>
  <si>
    <t>01/12/2020</t>
  </si>
  <si>
    <t>0-101255</t>
  </si>
  <si>
    <t xml:space="preserve">très mauvais assureur leur slogan ne mérite pas sa place( la MATMUT elle assure )
très mauvais conseiller pas a latente de ses assurée
accueil très mauvais 
cette entreprise doit disparaitre </t>
  </si>
  <si>
    <t>10/12/2020</t>
  </si>
  <si>
    <t>louis3d-100935</t>
  </si>
  <si>
    <t>Assureur à l’écoute mais BEAUCOUP trop chère pour les services proposés. 100€ pour une moto A2 c’est beaucoup trop malgré le fait d’avoir 2 voitures assurées au même endroit avec un bonus maximal...</t>
  </si>
  <si>
    <t>03/12/2020</t>
  </si>
  <si>
    <t>anais-100587</t>
  </si>
  <si>
    <t xml:space="preserve">La Matmut, comme grande assurance qu'ils sont, n'ont rien trouvé de mieux que de me résilier mon contrat après 5 ans de contrat, pour deux sinistres dont un d'entre eux qui leur a coûté 0€. Niveau des prix, chaque année une montée fulgurante non justifiée et nécessite des "excuses" de leur part, ils suivent juste l'évolution de l'état de la planète (pollution, dégâts des eaux....). Pour finir au fond du courrier on me rajoute "nous sommes contient de la difficulté que vous allez rencontrer pour retrouver une assurance, nous avons tout de même un contrat adapté à vous proposer", franchement rien ne va dans votre façon de faire ni dans votre façon de proposer une solution. C'est soit tout soit rien. Je ne vais pas leur faire de la bonne pub.. </t>
  </si>
  <si>
    <t>25/11/2020</t>
  </si>
  <si>
    <t>01/11/2020</t>
  </si>
  <si>
    <t>wattie-zit-jean-claude-100486</t>
  </si>
  <si>
    <t xml:space="preserve">J'ai eu la confirmation aujourd'hui que les tarifs proposés sur le net ne sont pas applicables aux anciens clients malgré les devis personnalisés fait directement sur le site Matmut à ces clients qui ont fait vivre la Matmut pendant toutes ces années .                                                                                             Ces tarifs alléchants sont réservés aux nouveaux clients et par dérogation aux anciens clients qui déménagent ou achètent un nouveau véhicule .                                       Ce qui fait qu'un client qui à acheté par exemple une Mercedes à 40000 euros paye encore le prix fort pour son assurance même si son véhicule à 9 ans .    Par contre le nouveau client paye une somme largement inférieure avec un nouveau véhicule acheté à un prix largement supérieur.  Le bonus de 65 % qui m'a été attribué il y a de nombreuses années en tant que conducteur exemplaire ne sert donc absolument à rien .      Les têtes pensantes de la Matmut devraient demander conseil à leurs subalternes qui sont sur le terrain avant de mettre en place des règles qui font fuir leurs anciens clients.                                                                J'ai déposé une réclamation au siège en sachant très bien que j'aurai une réponse qui ne va pas me satisfaire et je changerai d'assureur dés que possible.   </t>
  </si>
  <si>
    <t>23/11/2020</t>
  </si>
  <si>
    <t>dplonguet-100457</t>
  </si>
  <si>
    <t>Sociétaire depuis plus de 50 ans, mon contrat Matmut a été résilié pour  3 accidents sur 3 ans (2 pour collision en Stationnement) et 1 pour collision (50 % partagés..).à la sortie d'un parking
Compliments pour récompenser la fidélité.
Je suis passé ailleurs  moins cher.(mutuelle 120 euros moins cher sur un an )
Néanmoins aucune compréhension,ils sont intraitables.
Je vais leur faire" ma "publicité</t>
  </si>
  <si>
    <t>22/11/2020</t>
  </si>
  <si>
    <t>clementine--99774</t>
  </si>
  <si>
    <t xml:space="preserve">Payant 144 euros par mois depuis deux ans, je me vois recevoir un courrier disant que matmut résilie mon assurance suite à deux sinistres dont un qui est dû à du vandalisme
Merci Matmut car maintenant je galère à trouver une assurance qui veuille bien m assurer </t>
  </si>
  <si>
    <t>06/11/2020</t>
  </si>
  <si>
    <t>mikha30-99712</t>
  </si>
  <si>
    <t>Compagnie d'assurance compétitive question tarif et avec des personnels compétents et à l'écoute, ce qui permet de pouvoir négocier et comparer avec d'autres compagnies.
Très satisfait de la MATMUT.</t>
  </si>
  <si>
    <t>05/11/2020</t>
  </si>
  <si>
    <t>shamjug-99680</t>
  </si>
  <si>
    <t>Lors de l'obtention de mon premier véhicule, c'est vers eux que je me suis tourné. Toute la famille est assuré chez eux pour les véhicules et habitation. Malheureusement après quelques sinistres NON RESPONSABLE , la Matmut m'adresse un simple courrier me notifiant que mon contrat sera résilié. Super de l'apprendre comme cela ... 
Ce n'est plus un simple contrat auto qui quitte la Matmut mais bel et bien 3 contrat auto et 2 habitation.
C'est dommage car nous étions tous très satisfait de la Matmut.</t>
  </si>
  <si>
    <t>philippe-p-99097</t>
  </si>
  <si>
    <t xml:space="preserve">La Matmut n est pas capable de gérer un dossier seule , demande des informations aux clients et ne les retransmet pas aux intervenants pour les repartions . Nul niveau service </t>
  </si>
  <si>
    <t>22/10/2020</t>
  </si>
  <si>
    <t>01/10/2020</t>
  </si>
  <si>
    <t>sabrina-98928</t>
  </si>
  <si>
    <t>Agence de Melun: conseillère très  professionnelle, patiente et à l'écoute; Accueil au top. Geste commercial particulièrement apprécié; du coup souscription assurée!</t>
  </si>
  <si>
    <t>19/10/2020</t>
  </si>
  <si>
    <t>pat53-52204</t>
  </si>
  <si>
    <t xml:space="preserve">je suis assuré chez eux pour 5 contrats 3 voitures une maison et accident de la vie pour 2000 euros par an depuis 15 ans et je suis tres déçu de leurs comportements ma femme est tombé dans les escaliers et ile ne veulent rien rembourser (une honte) en plus j ai eu une infiltration d eau ils m ont comptés 2 fois la franchise en plus mes contrats voiture sont plus cher que chez groupama de 20/100 la franchise de ma bmw de plus de 10 ans est de 515 euros et chez groupama de 187 euros en plus publicité mensongere quand ils disent la matmut elle assure c est une bande de menteurs et les conseilleres des incapables un conseil aller chez groupama vous payerer moins cher et mieux assuré </t>
  </si>
  <si>
    <t>29/09/2020</t>
  </si>
  <si>
    <t>01/09/2020</t>
  </si>
  <si>
    <t>jpbah-97786</t>
  </si>
  <si>
    <t xml:space="preserve">Ancien client.  Très déçu par cette compagnie   Je la quitte immédiatement 
Exemple.  Courrier pour demander un geste commercial pour ma franchise 415 euros pour une simple rayure sur mon véhicule ( acte de vandalisme )
Pas possible sauf personnel Hopital cause colid.        Vraiment du n'importe quoi 
Bien triste 
Jp  B </t>
  </si>
  <si>
    <t>24/09/2020</t>
  </si>
  <si>
    <t>kevin-97711</t>
  </si>
  <si>
    <t>Sinistrés depuis plus de 2 ans suite à une catastrophe naturelle de sécheresse ; notre maison se délabre de jours en jours et pas de réponse de la matmut qui fait traîner notre dossier .... alors qu’attend notre assurance pour débloquer l’argent nécessaire aux travaux ?</t>
  </si>
  <si>
    <t>22/09/2020</t>
  </si>
  <si>
    <t>db--97526</t>
  </si>
  <si>
    <t xml:space="preserve">Fidèle client depuis de nombreuses années, je recommande l'agence Matmut Tinqueux.
Personnel de qualité,  à l'écoute de ses clients, attentif et très disponible. 
Parfaite gestion des dossiers. </t>
  </si>
  <si>
    <t>17/09/2020</t>
  </si>
  <si>
    <t>irony-97312</t>
  </si>
  <si>
    <t>Impossible de souscrire au prix du devis proposé en ligne en modification d'un contrat existant.
Déçu de l'accompagnement en cas de sinistre :
Exemple, Bris de glace : Automatiquement dirigé vers le moins cher avec menace de ne pas rembourser sinon, malgré la demande soutenue de trouver une autre solution ou de convenir d'un prix pour réparation hors circuit low cost agréés
Temps de réponses à la messagerie personnelle extrêmement longs (parfois absence de réponse)
Modification du contrat d'assurance par téléphone uniquement, afin de mieux rouler le client : le prix varie en fonction de l'insistance du client en jouant sur X options que l'on ne lui annonce pas.
J'aimerais bien que la loi, qui nous oblige à avoir des assurances, oblige les assureurs à avoir un comportement de transparence et une attitude non commerciale, car je me doute que cela n'est pas spécifique à la Matmut.</t>
  </si>
  <si>
    <t>12/09/2020</t>
  </si>
  <si>
    <t>franky48-96827</t>
  </si>
  <si>
    <t>Client chez eux depuis de nombreuses années sans sinistre, ils ont refusés d'assurer mon nouveau véhicule supplémentaire, protestant que je pouvais pas prouvé l origine des fonds pour l’achat de cette dernière 
Dans la soirée les documents de résiliation était postés.. ( 6 contrats tout de même )
ASSURANCE DE COLLABO ET NON RESPECTUEUSE DE LA VIE PRIVÉE DE SES CLIENTS.... FUYEZ ALLEZ CHEZ LA CONCURRENCE ...</t>
  </si>
  <si>
    <t>30/08/2020</t>
  </si>
  <si>
    <t>01/08/2020</t>
  </si>
  <si>
    <t>cellou-96809</t>
  </si>
  <si>
    <t>j'ai eu 3 voitures successives étrangères de 6cv on m'a prétexté un surcout car elles n'étaient pas françaises or maintenant j'ai une voiture française de seulement 5cv et je paye pareil,voire quelques euros de plus,comme les assurances sont plus ou moins au mème tarif on est obligé de passer par la ils se gavent,mais je suis a la recherche d'une bonne promo</t>
  </si>
  <si>
    <t>29/08/2020</t>
  </si>
  <si>
    <t>rioufamily-96699</t>
  </si>
  <si>
    <t xml:space="preserve">Très bien, devis en ligne, le bureau de Worivas m’a rappelle le lendemain. Voiture assurée tout par téléphone, attestation provisoire reçue immédiatement par mail. </t>
  </si>
  <si>
    <t>26/08/2020</t>
  </si>
  <si>
    <t>ferro--96574</t>
  </si>
  <si>
    <t xml:space="preserve">Je déconseille fortement la Matmut aucun, mais aucun professionnalisme leur siège social 66 Rue de Sotteville
76100 Rouen ont une gestion des dossiers catastrophiques, une responsable qui ce prénomme Annabelle et la championne toute catégorie, franchement fuyez cette assurance qui a énormément de mépris. </t>
  </si>
  <si>
    <t>22/08/2020</t>
  </si>
  <si>
    <t>nico-96552</t>
  </si>
  <si>
    <t>Suite à mon appel à leur centrale téléphonique, le conseiller MATMUT m'a raccroché au nez car il était 17h30, sans m'avoir trouver de solution ni même pris en compte mon sinistre. Assurance à éviter absolument !!!!!</t>
  </si>
  <si>
    <t>21/08/2020</t>
  </si>
  <si>
    <t>falaghar-96485</t>
  </si>
  <si>
    <t>Bonne assurance quand il n'y a aucun soucis car on en entend plus parler.
Par contre, le jour d'un accident, l'augmentation est bien présente ce qui est logique quand nous sommes en tord. Mais que nous ne sommes pas en tord 2 ans plus tard, ils vous proposent une assurance Matmut and co avec des prix inimaginable quand vous êtes jeune chauffeur en vous disant de souscrire chez eux sinon c'est la porte.
De ce fait, après avoir bataillé etc... Ils vous promettent une suite favorable mais tout compte fait non, excuses ? Vous êtes jeune chauffeur donc à risque.
Conclusion ? en tant que jeune chauffeur, pas le droit aux fautes. Vous venez de perdre 3 clients.</t>
  </si>
  <si>
    <t>19/08/2020</t>
  </si>
  <si>
    <t>louis-96443</t>
  </si>
  <si>
    <t xml:space="preserve">Personne pour est capable de vous résilier votre contrat auto une fois vendu par téléphone, malgré de noombreuses relance je paie toujours le véhicule déjà vendu.
Si je pouvais mettre 0 étoile... 
</t>
  </si>
  <si>
    <t>18/08/2020</t>
  </si>
  <si>
    <t>raudine-96407</t>
  </si>
  <si>
    <t>Étonnamment, je n'avais pas de soucis tant que tout se passait bien avec mes véhicules. En 15 ans jamais d'accident, ni de grosse panne (loin de chez moi). Mon auto est tombé en panne sur l'autoroute pour partir en vacances, irréparable dans le garage où elle se trouvait elle doit partir chez Citroën. La matmut, nous demande d'appeler nous même les autres garages pour connaître les disponibilités ailleurs (Évidemment on nous annonce des délais à 15 jours de réparation) ! Aucune solution proposée pour aller sur le lieu de vacances, pas de proposition de location de voiture hors petite voiture et seulement 10j (la reparation dur plus longtemps que 10j debrouillez vous !). Nous nous decidons à rentrer, j'annonce une voiture très chargée et un enfant en situation d'handicap et un en bas age, on nous amène un taxi skoda superb ! 2.5 places a l'arrière avec 2 sièges autos et un coffre absolument pas adapté. J'ai rappelé l'assistance qui m'a dit : vous savez il y a pire que vous ! Laissez les packs d'eau dans votre voiture, gardez seulement le nécessaire (ahhhh merci c'était prévu !). Donc 1h45 sur un bout de siège, a pleurer car nous avons clairement été pris pour des imbéciles, 2h avant 4 personnes tombés en panne (juste après nous) ont été rapatrié sur leur lieu de vacances en taxi type monospace via visiblement une bien meilleure assurance. Il faut deja digerer le fait de ne pas partir en vacances alors un minimum de compassion serait souhaitable pour faire ce metier. Merci la matmut. Plus jamais.</t>
  </si>
  <si>
    <t>mecontant-95890</t>
  </si>
  <si>
    <t>C'est quand on a un sinistre que on voit que on ne peut pas compter sur eux. J'ai eu un sinistre Auto , j'ai compris ma douleur . La personne que j'ai eu au tel était à la limite de l'insolence. Tout ce que je demandais c'était un véhicule de prêt dont j'avais droit qui était compris dans mon assurance. A 70 ans j'étais seul avec mes 3 petits enfants à la montagne. Merçi MATMUT</t>
  </si>
  <si>
    <t>04/08/2020</t>
  </si>
  <si>
    <t>mulder-2642</t>
  </si>
  <si>
    <t xml:space="preserve">Client depuis plus de 20 ans sans sinistres responsable, j'ai eu le malheur d'avoir eu le 20/05 un accident (50/50).
Je ne m'attendais pas à un tel parcours du combattant pour l'indemnisation de mes réparations (4 500€).
Véhicule déposé le 08/06 après expertise, réparé le 18/06.
Après envoi au siège de Rouen de la cession de créance (envoi en recommandé avec AR car il ne veulent pas de fax ou mail), ils me disent que le dossier est au service compta et traitement en cours :1er mensonge.
le 17/07, Ne voyant rien venir , je vais à l'agence et les appelle: Ils n'ont rien reçu (alors que j'ai une copie de l'AR): 2ème mensonge.
Le temps passant (nous sommes le 23/07), je vais en concession et on appelle la plateforme : Nous n'avons pas reçu la facture !!!
Le concessionnaire veut la faxer mais envoi par courrier impératif (qu'il ne vont pas recevoir évidemment).
En fait, on a compris que la concession n'étant pas agréé par leurs soins, ils font traîner le dossier.
Je vais donc à l'agence qui transmet la facture par mail.
Je retournerais donc la semaine prochaine et je suis certain qu'il manquera encore quelque chose.
J'ai demandé s'ils faisaient un geste commercial vu mon ancienneté, on m'a répondu négativement (en me proposant un contrat prévoyance obsèques) : véridique, ils n'ont honte de rien.
Bref, je suis toujours sans véhicule, en étant prélevé tout les mois.
Comme dirait la pub , « La MATMUT, elle assure » (pas du tout)
</t>
  </si>
  <si>
    <t>23/07/2020</t>
  </si>
  <si>
    <t>01/07/2020</t>
  </si>
  <si>
    <t>candice-93630</t>
  </si>
  <si>
    <t>Fuyez la MATMUT j'ai déclarer un sinistre en Décembre 2019 et aujourd'hui 0 réponses car débordés, 0 personne au bout du fil du service sinistre ( si vous arrivez à avoir quelqu'un il ne peut rien faire pour vous car il ne gère pas ce service, ça en est un autre ) vraiment une catastrophe!
Assure tout risque, avec une expertise qui conclu l'es réparations ( qui lui aussi attend un retour de son côté de leur part ) et une plainte déposer à la police ça ne suffit pas apparement. 
Par contre pour envoyez des lettre pour demander de réglée là ils sont bien présent.
A croire qu'ils font exprès pour vous faire renoncer..
A fuir de toute urgence!</t>
  </si>
  <si>
    <t>09/07/2020</t>
  </si>
  <si>
    <t>claude-93169</t>
  </si>
  <si>
    <t>Très mauvaise assurance, tout est fait  pour vous soutirer de l'argent aucun avantage en tous risques, vous serez taxer au maximum même si votre responsabilité n'est pas totalement engagée, bonus impacté et franchise au maximum. Le seul but débourser le moins possible. Pas digne d'une assurance.</t>
  </si>
  <si>
    <t>04/07/2020</t>
  </si>
  <si>
    <t>psj-93004</t>
  </si>
  <si>
    <t>A Toulouse nous avons apprécié l'accueil de Mme Martine Frayssinet pour répondre à nos besoins. Elle a répondu à toutes nos questions avec clarté.</t>
  </si>
  <si>
    <t>02/07/2020</t>
  </si>
  <si>
    <t>mat-91848</t>
  </si>
  <si>
    <t>je suis affilié depuis plusieurs années à la MATMUT à Grasse et jusqu'à présent leur équipe m'ont toujours apporté satisfaction.</t>
  </si>
  <si>
    <t>22/06/2020</t>
  </si>
  <si>
    <t>01/06/2020</t>
  </si>
  <si>
    <t>dada77-90188</t>
  </si>
  <si>
    <t>Très mauvaise qualité de la gestion des sinistres.</t>
  </si>
  <si>
    <t>04/06/2020</t>
  </si>
  <si>
    <t>clemreb-90059</t>
  </si>
  <si>
    <t xml:space="preserve">Ils sont très réactifs, proposent des prestations haut de gamme (indemnisation renforcé, panne mecanique, garantie conducteur renforcé...)
De plus lorsque l'on appel l'assistance ils sont très rapide et prennent en charge ce qui doit être pris sans essayer de trouver des fails pour se derouter. </t>
  </si>
  <si>
    <t>29/05/2020</t>
  </si>
  <si>
    <t>01/05/2020</t>
  </si>
  <si>
    <t>acb-89258</t>
  </si>
  <si>
    <t xml:space="preserve">Je suis le Conseil d'un des sociétaires de la MATMUT qui a déclaré le vol de son véhicule le 6 janvier 2020, depuis lors rien n'a été fait. 
Aucune mission d'expertise et aucune proposition d'indemnité. 
Pis encore, la MATMUT a été informée que le véhicule a été retrouvé le 1 avril 2020 à l'étranger et toujours aucune diligence de sa part. 
Compagnie d'assurances qui n'a que faire de ses obligations professionnelles et préfère s'enferrer dans un mutisme plutôt que d'accompagner ses assurés malgré les missives qui lui ont été adressées.
Compagnie d'assurances à bannir. </t>
  </si>
  <si>
    <t>29/04/2020</t>
  </si>
  <si>
    <t>01/04/2020</t>
  </si>
  <si>
    <t>marie-89225</t>
  </si>
  <si>
    <t>Bonjour, Suite au confinement la Matmut annonce geler ses tarifs pour 2021; les assurés qui ne seront pas à la Matmut en 2021, ne profiteront donc pas de ce geste... et c'est bien en ce moment que le confinement a un impact sur la valorisation  des sinistres.</t>
  </si>
  <si>
    <t>28/04/2020</t>
  </si>
  <si>
    <t>delfdesbois-89150</t>
  </si>
  <si>
    <t>Crevaison à domicile.  Appel 18h42. Pneu réparé et regonflé à 19h15</t>
  </si>
  <si>
    <t>25/04/2020</t>
  </si>
  <si>
    <t>arno-88997</t>
  </si>
  <si>
    <t>Je suis client matmut depuis toujours, 3 véhicules et la maison sont assurés, bonus 65%.
J'attends depuis 3 mois un versement pour un sinistre sur mon véhicule professionnel.
Le service est INJOIGNABLE et ne repond au mail que par intermittence et réponses déjà toute faites.
Je ne recommande pas du tout.</t>
  </si>
  <si>
    <t>20/04/2020</t>
  </si>
  <si>
    <t>adeline12-88921</t>
  </si>
  <si>
    <t xml:space="preserve">Bonjour, 
Il y'a plus de 2 mois que mon véhicule â été volé. 
Malgré de nombreux mails et appels le service sinistre de la matmut reste injoignable.
La matmut nous a promis mardi sur le site de Opinion-assurances quelle fessait le nécessaire pour qu'ont soit contacté rapidement par un conseiller, hors à ce jour toujours aucune nouvelle.
Comment faire pour être entendu de l'URGENCE.
Je me retrouve à pied dans l'impossibilité d'aller faire mes courses ou De me rendre sur son lieux de travail car malheureusement le télétravail est impossible. 
Nous comprenons le contexte actuel, mais au dire du délégué régional de la matmut que nous avions contacté, le deux premières semaine de confinement on été compliquée à mettre en place, mais que depuis la solution a été trouvé pour que les services soient toujours actif. 
Et pourtant toujours aucune nouvelles non plus. 
S'il vous plaît aidez-nous, cette situation devient plus que gênante et urgente !!!! </t>
  </si>
  <si>
    <t>16/04/2020</t>
  </si>
  <si>
    <t>phicad-88755</t>
  </si>
  <si>
    <t>Assuré à la Matmut depuis 1997, j'ai eu 3 sinistres.1 accident et 2 bris de glaces. Bien remboursé et dans les temps. Mais jamais de remise de fidélité. En ce moment la MAIF et certaines autres assurances font des remises cause confinement. J'attends la réaction de la Matmut...</t>
  </si>
  <si>
    <t>07/04/2020</t>
  </si>
  <si>
    <t>maeva-78283</t>
  </si>
  <si>
    <t>Je continue ma lutte avec la Matmut. Accident corporel en décembre 2017. Ils ne reconnaissent pas que j'ai été blessée dans l'accident alors qu'un van m'avait percutée par l'arrière et que ma voiture avait été mise  à la casse. Et en plus je n'étais pas en tort. Vous rendez-vous compte ? 
Alors j'en suis au stade où j'ai demandé un arbitrage. Ils m'ont répondu qu'ils allaient me proposer 3 médecins et que j'allais devoir en choisir un. J'attends toujours. Surtout ne faites pas comme moi, n'adhérez pas à La Matmut car ils font tout pour ne pas vous aider quand vous avez le plus besoin d'eux. C'est marrant, ils reconnaissent le préjudice corporel quand il y a l'accident et pourtant ils déclarent qu'il n'y a pas de corrélation entre le choc subi et vos dommages corporels ; que finalement non, vous n'avez pas été blessée dans l'accident, toutes vos séquelles ne sont pas dues au choc du van qui a détruit votre voiture car leur médecin soit disant expert qui vous a vue un an après estime que non. Je vis un cauchemar éveillé. Si j'ai un seul conseil : Ne vous mettez pas dans ma situation. 
Ne choisissez pas cette assurance.</t>
  </si>
  <si>
    <t>24/03/2020</t>
  </si>
  <si>
    <t>01/03/2020</t>
  </si>
  <si>
    <t>lionel-87860</t>
  </si>
  <si>
    <t xml:space="preserve">assuré depuis une quinzaine d'années, sans aucun problème, sauf récemment suite au vol de mon camping-car chez un garagiste, donc aucunement responsable, le service "Indemnisation" s'est montré pas du tout impliqué, j'ai dù moi même me débrouiller et faire intervenir un médiateur. L' assurance adverse m'à remboursé qu'au bout de 8 mois. Le service Indemnisation , m'à laissé entendre qu'il ne pouvait rien faire pour moi!! </t>
  </si>
  <si>
    <t>02/03/2020</t>
  </si>
  <si>
    <t>laurent-87802</t>
  </si>
  <si>
    <t>en cas de litige .besoin de rien ils sont la sinon passez votre chemin.ils mettent tous en oeuvre pour ne pas vous dédommager .</t>
  </si>
  <si>
    <t>29/02/2020</t>
  </si>
  <si>
    <t>01/02/2020</t>
  </si>
  <si>
    <t>kinder5781-87688</t>
  </si>
  <si>
    <t xml:space="preserve">en ligite avec cet assurance il son de tres mauvaise fois pour indemniser l'ors d'un accident de voiture </t>
  </si>
  <si>
    <t>27/02/2020</t>
  </si>
  <si>
    <t>alexl12-87332</t>
  </si>
  <si>
    <t>J'avais posté un excellent commentaire il y a quelques semaines.
Suite au vol de mon véhicule j'ai du faire intervenir la matmut pour l'indemnisation. Le véhicule a été retrouvé incendié,  l'expert est passé,  le récupérateur est également passé. Voilà plusieurs semaines que j'attends ma proposition d'indemnisation. Je peux voir que je ne suis pas le seul. De nombreux commentaires font remonter un problème au niveau des propositions d'indemnisation. J'ai souscris une assurance tout risque plus, le dossier est complet. Impossible de savoir ce qui bloque.
J'ai 8 contrats à la matmut. Honnêtement des qu'ils arrivent à échéance sa sera fini pour moi. Je pars. Meme avec un recommandé on a pas de proposition. Je pense qu'il est nécessaire d'aller en justice. A suivre 
200N01552T</t>
  </si>
  <si>
    <t>18/02/2020</t>
  </si>
  <si>
    <t>blandinel-87143</t>
  </si>
  <si>
    <t>Après 17 ans de fidélité, ils nous ont radié pour avoir eu 2 sinistres et 1 impact pare brise dans la même année. 
Par ailleurs, on nous a volé notre voiture le dernier mois en volant les clés dans notre sac lors d'une sortie. Malgré notre contrat multirisques et après1,5 mois d'échange de courrier pour des documents toujours manquants, ils refusent finalement toute indemnisation sous motif que les clés n'étaient pas dans un local fermé à clé.
Assureur à fuir !</t>
  </si>
  <si>
    <t>14/02/2020</t>
  </si>
  <si>
    <t>audrey-87087</t>
  </si>
  <si>
    <t>Une assurance pas du tout faite pour les professionnels</t>
  </si>
  <si>
    <t>13/02/2020</t>
  </si>
  <si>
    <t>nvnmichel-86513</t>
  </si>
  <si>
    <t xml:space="preserve">suite à un accident où je ne suis pas en tord ! </t>
  </si>
  <si>
    <t>30/01/2020</t>
  </si>
  <si>
    <t>01/01/2020</t>
  </si>
  <si>
    <t>dav21-85945</t>
  </si>
  <si>
    <t>15 ans chez eux et je résilie les prix sont en train de flambée depuis quelques années.....je signale un accident non responsable le litige se résout a l'amiable et il baisse quand même mon bonus.</t>
  </si>
  <si>
    <t>15/01/2020</t>
  </si>
  <si>
    <t>a-n-85406</t>
  </si>
  <si>
    <t xml:space="preserve">Bonjour,
Réassurée depuis peu à la MATMUT, je me suis fait résilier à cause d'une accident que j'avais déclaré lors de ma suscription. Je ne comprends pas qu'on puisse accepter de faire une assurance auto pour ensuite la relier 2 mois après pour des raisons que vous aviez déjà lors de la suscription du contrat. Ce n'est pas comme si vous n'étiez pas au courant de ma situation. Le relevé d'information vous a été envoyé au moment de la suscription. 
De ce fait, merci d'honorer votre engagement. </t>
  </si>
  <si>
    <t>02/01/2020</t>
  </si>
  <si>
    <t>talounette-85376</t>
  </si>
  <si>
    <t>les promesses en cas d'immobilisation du véhicule par panne et réparation ne sont pas tenues:aucune aide, pas de prise en charge et orientation , surtout pas de voiture de remplacement.Débrouillez vous !</t>
  </si>
  <si>
    <t>31/12/2019</t>
  </si>
  <si>
    <t>01/12/2019</t>
  </si>
  <si>
    <t>momo-81447</t>
  </si>
  <si>
    <t xml:space="preserve">Dommage que je ne peux pas mettre 0 étoiles.
Accident le 13/08/2019. Un véhicule me rentre à l'arrière. Ce véhicule responsable a été réparé et indemnisé par son assurance en Tunisie. Mon dossier n'est toujours pas traité mais la matmut m'a déjà résilié mon contrat et m'a envoyé un relevé d'information en mentionnant 100 %responsable. Non ce n'est pas une blague. Service client pire que lamentable et irrespectueux ( raccroche au nez, oh bipppp, vous aviez qu'à prendre une assurance ailleurs, nous sommes en sous effectifs etc...). J'ai laissé un commentaire sur Facebook on m'a bloqué. J'espère ne pas l'être sur ce site. </t>
  </si>
  <si>
    <t>28/11/2019</t>
  </si>
  <si>
    <t>01/11/2019</t>
  </si>
  <si>
    <t>solili-81045</t>
  </si>
  <si>
    <t xml:space="preserve">Dommage que 0 étoiles n'existe pas.. Assurance à fuir qui ne respectent même pas ses clients. Manque réel de sérieux et professionnalisme </t>
  </si>
  <si>
    <t>15/11/2019</t>
  </si>
  <si>
    <t>laura-80757</t>
  </si>
  <si>
    <t xml:space="preserve">Je decide de financer l'assurance de mon fils chez mon assureur matmut. Sinistre le 12 janvier 2019 véhicule bien pris en charge par la matmut. Après 3 ou 4 mois expertise et proposition d'indemnisation de la matmut. Un agent de la matmut me fait par que vu que je suis assuré avec une assurance renforcé je peux justifier de l'achat du véhicule et me faire rembourser au prix d'achat a ce jour l'assurance du moins la personne qui gère le dossier déclare être débordé de travail et avoir des dossiers   en retard de plus sans compter ses vacances fête.. .. la matmut me facture l'assurance de ce véhicule a hauteur de 146euro par mois je paie. L'assurance me demande des papiers et me redemande les même. A ce jour ils se permettent de me résilier en date du 1 janvier 2019 alors que je suis assuré chez eux depuis 2003. 
Je conseiller la matmut, a ce jour en qu'à de réel problème ne faite pas l'erreur d'aller chez eux vous payer le tarif fort car vous penser être en sécurité ou cela est vrai pour les petit dégât mais des que eux doivent régler cela ne va pas dans leur sens </t>
  </si>
  <si>
    <t>06/11/2019</t>
  </si>
  <si>
    <t>rr9494-80111</t>
  </si>
  <si>
    <t xml:space="preserve">Clairement pas une assurance qui me donne le sourir après plus de 10 ans de bon et loyaux services je vais retirer l'ensemble de mes contrats. Je vais me faire le porte parole du totale manque de professionnalisme de cet assureur. </t>
  </si>
  <si>
    <t>16/10/2019</t>
  </si>
  <si>
    <t>01/10/2019</t>
  </si>
  <si>
    <t>sandrinegt-79565</t>
  </si>
  <si>
    <t>Attention ne pas aller chez eux...une assurance qui se fout complémentent de ces clients. Sinistre en janvier 2019 avec un tiers non assuré qui était 100% en tort, après m'avoir notifié que je devais être remboursé par le fond de garantie, aucunes nouvelles de la matmut depuis 9 mois... qui ne gère rien et fait le mort a mes demandes (emails, téléphone  envoies lettres AR etc..).</t>
  </si>
  <si>
    <t>28/09/2019</t>
  </si>
  <si>
    <t>01/09/2019</t>
  </si>
  <si>
    <t>farouk59-78763</t>
  </si>
  <si>
    <t xml:space="preserve">Franchement je déconseille cette assurance a tout le monde 
Service client qui ce fou de notre gueule 
Augmentation de cotisations et sur tout les conseillers pas compréhensible du tout 
0/20
Moi j'ai souscrit à une voiture de pres en cas de panne , ma voiture est tomber en panne et je n'est pas le droit a la voiture de pres et je tien a précisé que je suis à 1100 km de cher moi et que je suis avec 2 enfant de 24 mois avec une handicapée </t>
  </si>
  <si>
    <t>28/08/2019</t>
  </si>
  <si>
    <t>01/08/2019</t>
  </si>
  <si>
    <t>ng91-78729</t>
  </si>
  <si>
    <t>A FUIR 
vol de voiture le 26/06/19  nous sommes le 27/08 et toujours aucune indemnisation car la MATMUT trouve tjs une pièce manquante de dernière minute au dossier.  incompétents pas l'écoute je fuis cette assurance dans laquelle je suis depuis 1993  ainsi que mes parents. 5 contrats d'assurance partis en fumée grâce à l'incompétence de cette assurance  pas de voiture pendant 2 mois une prise en charge de 15 j alors qu'il en faudrait 30 pour le traitement du dossier. 1 problème de vol en 26 ans et rien d'autre voilà ce que la MAtmut a traité pour moi et voila le résultat</t>
  </si>
  <si>
    <t>27/08/2019</t>
  </si>
  <si>
    <t>marie-78571</t>
  </si>
  <si>
    <t>Très professionnel très réactif, j ai demenagé sur Montpellier mais je suis restée dans l'agence de Marseille st louis car j ai toujours été très satisfaite à  chaque demande.</t>
  </si>
  <si>
    <t>20/08/2019</t>
  </si>
  <si>
    <t>david-77230-78353</t>
  </si>
  <si>
    <t>Très mécontent car la matmut sont en cheville avec des experts qui non aucun scrupule !!! Je me suis fait voler mon véhicule qui na pas été retrouver ! A la remise des clés l expert me dit qu'il y est des chances que mon véhicule soit trafiqué car il viens d Allemagne ce qui est fort possible ! Ensuite l expert me fait une estimation du véhicule avec une perte de 7000 euro sur un véhicule que jai a peine garder 6 mois sans aucune preuve à l appui !! Maintenant c demerder vous a faire une contre-expertise mais forcement a vos frais !!! Matmut c une très mauvaise expérience</t>
  </si>
  <si>
    <t>11/08/2019</t>
  </si>
  <si>
    <t>patoch26-77776</t>
  </si>
  <si>
    <t xml:space="preserve">Bonjour , franchement c'est une assurances qui est pas du tout fiable , je me suis fais vole ma voiture et la voiture est retrouvé en belgique . Lassurance me dis on a pas accès a la voiture , la belgique veut pas nous laissee passez . Sa dure 6 mois comme sa . Je prend un avocat et hop le garage en belgique me dis sa fais 5 mois que on attends que l'assurance vien chercher la voiture...lassurance me dis quil y a 100 e de gardiennage par jour et lavocate ma confirmé que c'est 1.22 par jour..je demande a assurance de me fournir les justificatifs et la boom plu personne. Le pire cest que jai tout les véhicules et les entreprise la bas . Je vais pas me laisser faire . Sa dire 8 mois et en plus la voiture est retrouver et fonctionne ! Je pense aller au 50 million de consommateur et a la radio si dans 1 mois c'est pas réglé. J'ai jamais vu sa !!! Je suis mr monti patrick de valence si la matmut vouq voulez me contacté . </t>
  </si>
  <si>
    <t>19/07/2019</t>
  </si>
  <si>
    <t>01/07/2019</t>
  </si>
  <si>
    <t>ahmed-77424</t>
  </si>
  <si>
    <t>J'ai eu un accrochage l'an dernier avec un tiers, (09/2018) et j'attends toujours mon dédommagement. Bien que mon dossier soit complet; il n'y a aucun avancement ni remboursement.</t>
  </si>
  <si>
    <t>08/07/2019</t>
  </si>
  <si>
    <t>coco-76862</t>
  </si>
  <si>
    <t xml:space="preserve">Malheureusement jai eter victime ce samedi 15 juin de la limteperie la grêle sur ma voiture qui a causer des dégâts en étant au tiers plus je ne fais pas partie des sinistres je les ai appeller aujourd'hui et me dise de rappeler dans 10jours pour voir si il peuvent me déclarer le sinistre car jai mon amie assurer ailleurs et en tiers plus et son assurance le prenne en charge et pris en compte le sinistre jespere que j'aurais une bonne nouvelle car ce sinistre on la pas choisi ca na eter causer par un accident sinon je partirais de chez eux et voir d'autres concurrents ainsi que mn père et mon frère </t>
  </si>
  <si>
    <t>17/06/2019</t>
  </si>
  <si>
    <t>01/06/2019</t>
  </si>
  <si>
    <t>anglette-76758</t>
  </si>
  <si>
    <t>accueil souriant et prestation efficace, réalisée en moins de dix minutes sans erreur ; relance commerciale logique mais non contraignante sur d'autres produits d'assurance...</t>
  </si>
  <si>
    <t>13/06/2019</t>
  </si>
  <si>
    <t>gregory45-75871</t>
  </si>
  <si>
    <t>Mon seul et unique assureur depuis ma première voiture, il y a plus de 25 ans.  Au premier gros pépin,  un refus de pris en charge de la panne (via le contrat panne mécanique)  en évoquant un   dépassement de kilométrage de la révision. Une voiture à 126 000 kms, un volant moteur qui devrait lâcher vers 200 000 kms, un injecteur défaillant, et un service panne fermé à tout recours ou proposition.  A quoi sert la fidélité, la confiance est rompue. J'envisage un changement d'assurance. (2 contrats habitations, 2 contrats auto, et 3 autres contrats).</t>
  </si>
  <si>
    <t>13/05/2019</t>
  </si>
  <si>
    <t>01/05/2019</t>
  </si>
  <si>
    <t>marineg27-75232</t>
  </si>
  <si>
    <t>Je déconseille fortement d'assurer un véhicule à la MATMUT! J'ai subi un accident grave avec la perte totale de mon véhicule en Juillet 2018, mon véhicule (déclaré épave) a été cédé à la MATMUT le 24 aout 2018 et malgré que je ne sois plus propriétaire de mon véhicule ET que le code d'assurance précise que 'la résiliation après une perte totale est jugée de plein droit' Art L121-9, la MATMUT s'autorise dans ces Conditions générales de vente, à garder le paiement des cotisations jusqu'à la fin du contrat !!! du 24 aout au 1 janvier 2019 pour un véhicule que je n'ai plus et que je leur ai cédé !! (certificat de cession signé en agence et incapable de me fournir une copie) Ne signez pas chez eux car quand il y a une difficulté il n'y a personne pour vous aider!!! Je suis la fille d'un assuré MATMUT depuis plus de 30ans, il est triste de constater que la fidélité n'est pas reconnue... Leurs conditions générales vont à l'encontre du CODE DE L'ASSURANCE : Comment la MATMUT passe au dessus des Lois...</t>
  </si>
  <si>
    <t>19/04/2019</t>
  </si>
  <si>
    <t>01/04/2019</t>
  </si>
  <si>
    <t>bilal-74736</t>
  </si>
  <si>
    <t xml:space="preserve">Client à la Matmut depuis 2014 je n'ai eu aucun problème jusqu'à ce qu'un prélèvement ne passe pas. Un courrier arrive et la surprise La Matmut me demande de rembourser la totalité des échéances jusqu'à la fin de l'année et comme si ça ne suffisais pas... mon contrat est rompu. Je dois donc payer une somme assez conséquente pour rien car je ne serais quand même plus assuré. J'appelle le service client pour leur expliquer que je n'avais pas vu que le prélèvement n'était pas passé et que j'allais régulariser ma situation. La conseillère au bout du fil m'informe que ce n'est pas possible, je dois payer la somme et mon contrat est rompu, il n'y a AUCUNE solution, ils ne veulent rien savoir et en plus de sa, il m'envoie des huissiers de justice. Je déconseille fortement cette société ! Presque 5 ans d'ancienneté !!! </t>
  </si>
  <si>
    <t>04/04/2019</t>
  </si>
  <si>
    <t>sims35-74662</t>
  </si>
  <si>
    <t>Je suis tombé en panne récemment et remorquage et rapatriement rapide en plus un samedi soir dans la nuit et en plus om me paye le taxi pour aller chercher la voiture une fois réparer.</t>
  </si>
  <si>
    <t>02/04/2019</t>
  </si>
  <si>
    <t>ben-74564</t>
  </si>
  <si>
    <t>Je suis client MATMUT depuis 23 ans avec plusieurs contrats auto et habitation
J'ai un bonus de 035 sans jamais avoir eu aucun sinistre responsable depuis ces 23 ans
Il existe un nouveau contrat auto et au motif que ce n'est pas pour un nouveau véhicule ils ne veulent pas m'en faire profiter
Je trouve ce comportement inapproprié pour un client avec un historique comme le mien
Je suis tellement dégouté que je vais résilier mes contrats chez eux</t>
  </si>
  <si>
    <t>28/03/2019</t>
  </si>
  <si>
    <t>01/03/2019</t>
  </si>
  <si>
    <t>nono-72440</t>
  </si>
  <si>
    <t>La Matmut prends l'initiative de faire souscrire à ces adhérents des contrat d'assurances sans leurs consentements, observer bien attentivement vos échéanciers annuel</t>
  </si>
  <si>
    <t>25/03/2019</t>
  </si>
  <si>
    <t>christoams-69122</t>
  </si>
  <si>
    <t>J'étais assuré chez eux depuis 20 ans, suite a un changement de véhicule ils n'ont pas voulu me réassurer même pour quelques jours (j'étais dans mon nouveau véhicule lorsque j'ai fait la demande...), il ne m'ont jamais avertis qu'il ne m'assurerais plus (mais continuais a assurer l'ancien véhicule)...
20 ans a payer...la fidélité ne payes assurément pas chez eux...  fuyez les comme la peste...
Je suis maintenant chez la MAIF qui en plus me fait payer moins chers...</t>
  </si>
  <si>
    <t>04/12/2018</t>
  </si>
  <si>
    <t>01/12/2018</t>
  </si>
  <si>
    <t>erow-68236</t>
  </si>
  <si>
    <t>Cet assureur m'a résilié mon contrat auto après 2 sinistres en 3ans. Pas de chance pour eux, j'avais toute ma famille et moi-même assuré chez eux en contrat auto + logement, ils ont perdu 5 clients.</t>
  </si>
  <si>
    <t>31/10/2018</t>
  </si>
  <si>
    <t>01/10/2018</t>
  </si>
  <si>
    <t>stan-68103</t>
  </si>
  <si>
    <t>Rien a dire assuré chez eux depuis 1976 . Tarifs attractifs pour une qualité d'assistance et d'assurance . Sans problème</t>
  </si>
  <si>
    <t>26/10/2018</t>
  </si>
  <si>
    <t>mimi31-67253</t>
  </si>
  <si>
    <t>Je déconseille! On me réclame de l'argent alors que c'est l'assurance qui m'en doit! je suis très déçu... Et dire que c'est censé être une assurance mutualiste!!!!</t>
  </si>
  <si>
    <t>caro-66475</t>
  </si>
  <si>
    <t>Bonne assurance. Je vais toujours au bureau de Maubeuge ou je suis entièrement satisfaite. J ai une conseillère très compétente qui me suis depuis longtemps. J ai eu plusieurs soucis la matmut m a toujours réglé au mieux mes problèmes.</t>
  </si>
  <si>
    <t>04/09/2018</t>
  </si>
  <si>
    <t>01/09/2018</t>
  </si>
  <si>
    <t>piloupilou2a68-66090</t>
  </si>
  <si>
    <t>A l'agence de COLMAR, je suis totalement satisfaite des services et produits (auto et habitation). Agence accessible directement au lieu de passer par des plate formes anonymes et payantes, réactivité et efficacité en cas de sinistre (du vécu), prise en charge individuelle (les employées connaissent chacun de leurs clients) et amabilité. Je ne changerais pour rien au monde même si les tarifs sont moins élevés auprès d'autres assureurs.</t>
  </si>
  <si>
    <t>09/08/2018</t>
  </si>
  <si>
    <t>01/08/2018</t>
  </si>
  <si>
    <t>benoit-deluca-66035</t>
  </si>
  <si>
    <t>1 sinistre en 6 ans, une catastrophe</t>
  </si>
  <si>
    <t>07/08/2018</t>
  </si>
  <si>
    <t>nathy74-65936</t>
  </si>
  <si>
    <t>Une assurance qui tient la route qui est vraiment à l'écoute et au service de ses clients. Je fréquente l'antenne de Colmar je l'équipe est toujours disponible souriante et de bon conseil pour ses clients. Je me sens à l'aise en confiance et en cas de pépin ils sont là et font le job. Merci</t>
  </si>
  <si>
    <t>02/08/2018</t>
  </si>
  <si>
    <t>zak-65208</t>
  </si>
  <si>
    <t>En février 2018 un véhicule m'est rentré dedans et a refusé de faire un constat. j'ai pris les informations nécessaire pour remplir le constat de mon coté.
Le lendemain, je vais voir un conseillé MATMUT pour qu'il m'aide a remplir le constat. 
4 mois et après plusieurs relance j'appel la matmut au téléphone. un télé-conseillé me répond et me dit que sa n'a pas encore été traité. deux minute après il me fait patienté 5 minutes et me reprend pour me dire que j'étais totalement en tord car j'ai mal remplit mon constat. 
Sa faisait 6 ans que je suis chez eux et trois ans en tout risque sans aucun accident. La seul fois ou je les sollicites il en on rien a faire !!!!
Il m'on fait remplir un constat et un constat en ligne et m'on répondu une chose que je n'ai jamais écrit.
a la fin de mon engagement je quitte ce groupe qui pompe l'argent des client mais en on rien a faire!!!!
NE VOUS ENGAGER PAS CHEZ EUXX!!</t>
  </si>
  <si>
    <t>03/07/2018</t>
  </si>
  <si>
    <t>01/07/2018</t>
  </si>
  <si>
    <t>chloe14-64778</t>
  </si>
  <si>
    <t>MATMUT : UNE ASSURANCE AUTO À FUIR
Suite à un accrochage sur un parking privé le 23/05/18, j’ai refusé de signé un constat n’étant pas d’accord avec ce qui y été indiqué. J’ai déposé ce constat non signé à l’agence MATMUT de Boulogne sur mer le vendredi 25/05/18 qui m’a indiqué que le constat n’étant pas signé il y aurait une procédure. A mon grand étonnement un courrier m’a été écrit le lundi 28/05/18 m’indiquant que je serai selon eux 100% responsable. J’ai alors appelé l’agence de Boulogne sur mer sans me présenter en demandant qu’elle était la procédure en cas de constat non signé on m’a indiqué que c’était « Très long, car nous devons contacter l’assurance adverse » le délai d’un week end me semble donc très court. J’ai alors envoyé une lettre recommandée avec accusé de réception contestant ce courrier, qui est à ce jour non distribué l’adresse du siège étant une boîte postale. J’ai de plus déposé une copie de ce courrier à l’agence MATMUT de Boulogne sur mer. A ce jour aucun retour. De plus, aucune expertise n’a eu lieu avant aujourd’hui, expertise réalisée par le garagiste qui envoie des photographies à l’expert qui ne se déplace pas. Je tente en vain de joindre le numéro que l’on m’a fourni, je patiente plusieurs minutes puis on décroche sans parler avant de raccrocher ou on prêtant ne pas m’entendre « je ne vous entends pas veuillez nous rappeler ».
Assurée tout risques chez vous je suis particulièrement étonnée des méthodes utilisés, de plus nous avons plusieurs contrats chez vous... on se demande s’ils sont réellement utiles.
Bien à vous.</t>
  </si>
  <si>
    <t>14/06/2018</t>
  </si>
  <si>
    <t>01/06/2018</t>
  </si>
  <si>
    <t>damien-64625</t>
  </si>
  <si>
    <t xml:space="preserve">Se débrouille pour pas rembourser // ralenti les démarches au lieu d’aider ses clients à fuir </t>
  </si>
  <si>
    <t>08/06/2018</t>
  </si>
  <si>
    <t>pinacolada-64417</t>
  </si>
  <si>
    <t>La Matmut arbitre entre ses clients selon le plus gros contrat</t>
  </si>
  <si>
    <t>02/06/2018</t>
  </si>
  <si>
    <t>grumsi-60830</t>
  </si>
  <si>
    <t xml:space="preserve">J’ai retrouvé ma voiture vendalisé après l’avoir cepedant garée sur une place désignée  à cet usage. Je suis assurée tout risque à presque 900€ par an. J’ai retrouvé ma voiture avec un enfoncement de portière  et rayures éormes  sur le côté exposé à la route. En garant celle ci je vérifie a chaque fois qu’il n’y a rien d’anormal sur ma voiture. La nuit passe et je récupère ma voiture le lendemain dans l’etat que je vous l’ai décrite.  Je n’ai jamais eu d’accident à tord en 4 ans. Cependant quand je déclare avoir retrouvée ma voiture dans cette état, me voici dans un combat infernal contre cet assereur. L’expert pense que c’est moi qui me suis prit un objet fixe en roulant. La version de l’expert n’etant  pas  la meme que la mienne , on refuse de me réparer la voiture sauf si je prend un malus car pour eux c’est moi même qui ai fait ça à ma voiture.  TRÈS MAUVAISE PRISE EN CHARGE!!!!! En plus  il faut appeler matmut sinistre et pas votre agence donc prise en charge très longue deja deux mois et demi que ma voiture est abîmée sur la carrosserie et prends la pluie étc . ÉNORMÉMENT DÉÇUE, je compte résilier mon contrat une fois que mon combat contre eux sera finit ! On veut me faire dire une version qui n’est pas la vraie! Je suis honnête   ma voiture a été vendalisee  je ne sais de quelle manière mais pour eux ma déclaration est  fausse car l’expert dit que ce que je raconte ce n’est pas possible. Voilà ça c’est sur la matmut  elle  assure  PAS DU TOUT !!!! </t>
  </si>
  <si>
    <t>25/01/2018</t>
  </si>
  <si>
    <t>01/01/2018</t>
  </si>
  <si>
    <t>jose-60146</t>
  </si>
  <si>
    <t>Très bon accueil aucune assurance que j ai pu faire sur internet n a les mêmes garanties que j ai de très bon conseiller surtout madame SIFFRES</t>
  </si>
  <si>
    <t>03/01/2018</t>
  </si>
  <si>
    <t>sarah-58591</t>
  </si>
  <si>
    <t>Aucun soutient de la part de la Matmut apres un accrochage suite a un refus de priorité à droite la dame de la matmut m'annonce que mm si en effet sur maps on voit bien que c est une rue avec une priorité elle ne peut rien pr moi concernant l'accrochage pck l'adversaire lui à note que je sortais d une résidence privée  !!!! Alors que le parking est a 200 metres derriere et que le choc a bien eu lieu ds le carrefours !!!
 Nn mais du pipo !!!!!! Elle se souci plus de l'autre assurance que moi assurée !!! Je vais me battre pr un recours et partir de chez eux des incapables!!!!!! Le 50/ 50 c est mieux bin oui comme ça franchise et malus et encore plus dargent pr la matmut !!!! ??</t>
  </si>
  <si>
    <t>04/11/2017</t>
  </si>
  <si>
    <t>01/11/2017</t>
  </si>
  <si>
    <t>sarra23-58239</t>
  </si>
  <si>
    <t xml:space="preserve">J’ai eu un dégât des eaux cette été qui n’est toujours pas réglé alors que nous somme fin octobre un expert qui viens à la maison qui insinue que c’est une fausse déclaration j’avais plus de 10cm d’eaux chez moi mais pour aucun dégât il nous balade depuis en disant qui manque des documents ou qui faut autre choses assurance minable que je conseillerai à personne </t>
  </si>
  <si>
    <t>20/10/2017</t>
  </si>
  <si>
    <t>01/10/2017</t>
  </si>
  <si>
    <t>ms-57139</t>
  </si>
  <si>
    <t>Assurance à éviter!!! 
Les personnes en charge des litiges clients ne font pas (ou très mal) leurs travail!!!!
 en cas de litige sur un accident pour définir la responsabilité ils ne lisent pas les constats, ne sont pas au courant des détails des PV de la police... ils regardent les mots clés qui correspondent sans se soucier du contenu, puis tranchent sur la responsabilité du sociétaire, et lorsque l'on demande des explications ils ne sont même pas capable d'en donner et ne font que répéter le même baratin d'assureur...</t>
  </si>
  <si>
    <t>06/09/2017</t>
  </si>
  <si>
    <t>01/09/2017</t>
  </si>
  <si>
    <t>erin-54630</t>
  </si>
  <si>
    <t>Ne prend pas en compte demande de rv des clients
Ne prend pas en compte les demandes via internet
Impossible de répondre aux mails matmut renvoi systématique vers internet</t>
  </si>
  <si>
    <t>12/05/2017</t>
  </si>
  <si>
    <t>01/05/2017</t>
  </si>
  <si>
    <t>pacinostyle-52482</t>
  </si>
  <si>
    <t>Attention, souscription SANS MON CONSENTEMENT d'un contrat que je n'ai pas validé sur un véhicule déjà assuré ailleurs (juste une demande de devis). Prélèvement pendant deux mois (140€ au total) refus de remboursement. FUYEZ</t>
  </si>
  <si>
    <t>16/02/2017</t>
  </si>
  <si>
    <t>01/02/2017</t>
  </si>
  <si>
    <t>pierre-caule-50851</t>
  </si>
  <si>
    <t>excellent relationnel avec le personnel de l'agence locale</t>
  </si>
  <si>
    <t>02/01/2017</t>
  </si>
  <si>
    <t>01/01/2017</t>
  </si>
  <si>
    <t>edelweiss-50792</t>
  </si>
  <si>
    <t>Les tarifs sont élevés mais les garanties sont très bonnes. 
Si vous n'avez aucun sinistre tout va bien. A partir de 3 sinistres il vous résilie le contrat. C'est ce qui vient de m'arriver. Pas très cool comme procédé mais les assurances ont ce droit.</t>
  </si>
  <si>
    <t>30/12/2016</t>
  </si>
  <si>
    <t>01/12/2016</t>
  </si>
  <si>
    <t>maryse-50484</t>
  </si>
  <si>
    <t>un assez bon rapport qualité prix mais pas suffisant pour rester</t>
  </si>
  <si>
    <t>20/12/2016</t>
  </si>
  <si>
    <t>greg-136513</t>
  </si>
  <si>
    <t>Assurée depuis des années chez AXA sans aucun sinistre. 
Hier on me casse mon rétro. 
Je vais au garage : facture 447 euros
Je vais chez AXA : On me dit que la facture est à ma.charge, j ai une franchise de 450 €???? Et qu ils prennent juste les frais supérieurs à cette somme. ( parce que le casseur n est pas identifié !!!) Bien!!
(Agence d'aire sur la Lys)
Sérieux ??? Tous mes contrats partent à la concurrence .</t>
  </si>
  <si>
    <t>AXA</t>
  </si>
  <si>
    <t>07/10/2021</t>
  </si>
  <si>
    <t>01/10/2021</t>
  </si>
  <si>
    <t>zabel-132235</t>
  </si>
  <si>
    <t>Contrat non envoyé par la poste malgré les relances.
Déception totale.
Mauvais rapport qualité prix.
 Non investissement du service clientèle...
A éviter...</t>
  </si>
  <si>
    <t>11/09/2021</t>
  </si>
  <si>
    <t>01/09/2021</t>
  </si>
  <si>
    <t>huon-123432</t>
  </si>
  <si>
    <t>J ai souscris et payer l'option pret de véhicule en cas de soucis avec mon  véhicule. Ayant eu un problème, l assurance m affirme ne pas avoir le même contrat que celui qu ils m ont fournis et refusent de me prêter un véhicule... donc a pied pendant 10 jours alors que je paie l'option.... AXA a donc une double comptabilité ( 1 contrat fourni aux clients et 1 autre qu ils prétendent être le vrai qu ils ressortent de leur 2ème ordinateur en Algérie ou au Maroc). Je résilie donc l assurance. Une fois d plus AXA me déçois et ne tiens pas compte de mon recommandé de résiliation, et au culot continue d essayer de me prélever (heureusement j ai bloqué à la banque) puis m envoie le recouvrement comme si j etais toujours client et ne payais pas..  a fuire absolument.... la pire des assurances jamais rencontrée</t>
  </si>
  <si>
    <t>14/07/2021</t>
  </si>
  <si>
    <t>01/07/2021</t>
  </si>
  <si>
    <t>pas-de--spdeu-122466</t>
  </si>
  <si>
    <t xml:space="preserve">Lorsqie jaitai assure chez Axa jaitai satisfaites  et cet pour cela que je voudrai a bcp.reprendre une assurance chez axa je trouve que les pers cam acceil.dont tres compétente pour nous renseigne </t>
  </si>
  <si>
    <t>06/07/2021</t>
  </si>
  <si>
    <t>jodido-117397</t>
  </si>
  <si>
    <t>En 2019, j'ai subi une escroquerie par un garage en Albanie. Le garagiste a prétendu m'avoir changé mon embrayage pour un coût total de 200 €, ce qui bien sur était totalement faux.
En mars 2020, de nouveau le problème avec l'embrayage et un garagiste du Pontet m'a changé le câble pour 135 €. Il m'a certifié qu'en aucun cas l'embrayage avait été changé, ce qui ne m'a pas surpris. Un changement d'embrayage en France coute environ 600/700 €, et même si le cout de la vie est moindre en Albanie, mais une telle réparation pour la somme de 200 € n'est pas possible.
J'ai saisi l'assistance d'Axa en expliquant que selon moi, le dépanneur et le garagiste étaient de mèche, car j'en avais les preuves.
Mon contrat spécifiait que lors d'un dépannage, mon véhicule devait être remorqué au garage le plus proche. La dépanneuse a mis des heures avant d'arriver. Et au lieu de déposer mon véhicule dans un garage proche sur la nationale reliant Shkodër à Tirana, il a été emmené à près de 25 km du lieu de la panne, à environ 5 km du centre de Tirana.
L’assistance ne s'est pas soucié de mon hébergement, et il m'a fallu plusieurs heures pour résoudre ce problème. Ne pouvant téléphoner à l'assistance depuis Tirana vu le coût d'1 € la minute, j'ai appelé une amie en France via WhatsApp, qui à son tour a contacté l'assistance. J'ai pu finalement bénéficier d'une chambre dans un hôtel.
Là, de nouveau des soucis, au départ, la chambre n'avait payé que pour une nuit, car ma voiture ayant été réparée, il fallait que j'aille la chercher. Mais pas une seule fois, le garagiste a daigné m'informer sur la nature et le cout des réparations. Il n'est pas normal qu'il ait effectué les réparations sans même m'en parler. Au final, j'ai pu rester 3 nuits dans un hôtel à Tirana et récupéré mon véhicule.
Lorsqu'en Mars 2020, le câble de l'embrayage a lâché, avant que l'embrayage lui même me lâche définitivement en Juin 2020 (confirmé par le garagiste du Pontet), j'ai soulevé cette escroquerie auprès d'Axa Assistance. Qui s'est contenté de me dire que c'était à moi d'éprouver que j'avais subi une escroquerie. Je leur ai reporté les faits précis sur le fait que la procédure n'avait pas été respectée, mais personne n'a voulu en tenir compte. Plusieurs mois à essayer de leur faire comprendre que l’Assistance d’Axa était responsable de cette escroquerie et non ma personne. Je n'ai pas choisi ce garage, et Axa, en tant que compagnie internationale aurait du être capable de faire réparer mon véhicule dans un garage sérieux et honnête.
J'ai aussi saisi le médiateur des Assurances qui a mis 9 mois avant de me répondre en se rangeant derrière AXA. Un corrompu incompétent qui a du recevoir de l'argent de la part d'AXA et dont l'attitude est inacceptable. Malgré toutes les preuves évidentes relatives à l'escroquerie, ce triste guignol s'est refusé à prendre en compte la réalité de la situation.
L'agence de Toulouse dont je dépendais (Daugas et Puertas) est à fuir. Des interlocuteurs des plus désagréables, incompétents, qui vous raccrochent au nez au bout de deux minutes, car selon leurs dires, il y a d'autres personnes en attente. Aucune considération ou respect pour leur clients, et du coup, je n'ai pas été étonné de lire plus de 25 avis négatifs à leur encontre. Et malgré mes 50% de bonus depuis plus de 5 ans, chaque année la cotisation augmentait. Je ne conseille pas du tout AXA, car en ce qui me concerne, j'ai vécu une expérience très désagréable avec cette compagnie...</t>
  </si>
  <si>
    <t>23/06/2021</t>
  </si>
  <si>
    <t>01/06/2021</t>
  </si>
  <si>
    <t>diouf-116270</t>
  </si>
  <si>
    <t>Très mécontent d’AXA, compagnie qui assurait ma moto pour la troisième année !
Après avoir reçu mon avis d’échéance que j’ai réglé par CB fin avril et débité 1° décade de mai, je relance ma conseillère car fin mai je n’avais pas reçu ma vignette verte.
Ayant déménagé (et je le reconnais en ayant oublié d’informer mon assureur), je l’informe de ma nouvelle adresse et après des explications loin d’être convaincantes, elle m’explique que ma cotisation passe de 475€ à plus de 700€!!!!! INAXEPTABLE.
Je suis un excellent conducteur avec un bonus Max et sans accident responsable depuis plus de 20 ans....
HEUREUSEMENT IL Y A AMV (assurance moto verte) !!!! Je vous les conseille</t>
  </si>
  <si>
    <t>07/06/2021</t>
  </si>
  <si>
    <t>danymfcp-115666</t>
  </si>
  <si>
    <t>Suite à une demande de devis faite sur internet, je me suis fait envoyé sur les roses par la conseillère au téléphone :
Ça ne sert à rien de vous expliquez !!
Bravo la réponse de la conseillère et bravo AXA</t>
  </si>
  <si>
    <t>02/06/2021</t>
  </si>
  <si>
    <t>joyeux-114369</t>
  </si>
  <si>
    <t>Faisant suite a un degat des eaux dans mon bureau , j'ai eu la betise de faire les travaux ,et de proposer le montant de l'achat de materiel ,le remboursement que  j'ai obtenu ,me laisse penser que mon assusseur m'a pris pour un imbecile ,et au mieux pour un con,,,, il tres possible que je change de cremerie,,,,,etant solicité par l'assureur de mon ex employeur (assurance groupe ),,,,qui en raison des tarifs qui me sont proposé ne comprend pas mon attitude ,,,,je dois vraiment etre ,,,</t>
  </si>
  <si>
    <t>20/05/2021</t>
  </si>
  <si>
    <t>01/05/2021</t>
  </si>
  <si>
    <t>didine-112916</t>
  </si>
  <si>
    <t>Très mauvais assurance, très chère, 90€ par mois pour une 206 70 chevaux en jeune permis je précise au tiers !! Merci bien ! maintenant si tu veux les avoirs au téléphone tu a une chance sur 10 d’avoir quelqu’un, parle très mal au clients, je suis pas aimable du tout, d’après ma " conseillère " alors que depuis le début je suis très gentille et polie j’essaye juste de faire fonctionner mon assurance pour un bris de glace, je paye tout les mois un bris de glace sans franchise mais non madame me demande de payer des frais en plus, ce qui n’est pas normal ! Enfin bref je ne conseille PAS cette assurance FUYEZ !!!!</t>
  </si>
  <si>
    <t>06/05/2021</t>
  </si>
  <si>
    <t>ma-tante-112653</t>
  </si>
  <si>
    <t>Des qu'un sinistre surgit plus de correspondant efficace. Pas d'accompagnement. Nous prennent pour des numéros... D'assurés... Assistance  néant. Ne remettent pas en cause avis expert même si bonne foi</t>
  </si>
  <si>
    <t>04/05/2021</t>
  </si>
  <si>
    <t>halippe-111249</t>
  </si>
  <si>
    <t>Je suis trés satisfait des assurances AXA. que ce soit assurance auto, habitation, exploitation, les problèmes sont réglés rapidement . En ce qui me concerne, le personnel de l'agence de Condom (32)est très performant.</t>
  </si>
  <si>
    <t>22/04/2021</t>
  </si>
  <si>
    <t>01/04/2021</t>
  </si>
  <si>
    <t>agnes-108232</t>
  </si>
  <si>
    <t xml:space="preserve">Voici deux ans que ma cotisation auto AXA augmente d'un peu plus de 6% alors qu'Axa a annoncé sur les réseaux appliquer une augmentation de 1% suite à la crise sanitaire et que d'autres compagnies gèlent leur tarif. J'ai contacté mon agent, j'ai laissé ma demande mais on ne m'a pas répondu immédiatement, le lendemain on me rappelle pour m'indiquer qu'il n'y a aucune discussion possible; grossièrement vous pouvez partir! Après 20 ans de cotisations et un changement d'agent.
En cas de sinistre, le service est correct, je n'ai pas rencontré de difficultés. </t>
  </si>
  <si>
    <t>27/03/2021</t>
  </si>
  <si>
    <t>01/03/2021</t>
  </si>
  <si>
    <t>chris-106689</t>
  </si>
  <si>
    <t>A fuire, 15 jours que je me bat avec eux pour avoir un relevé d'information pour pouvoir assurer mon véhicule, je n'est toujours rien reçu alors que les autres assurances on l'à au bout de 5 minutes .</t>
  </si>
  <si>
    <t>15/03/2021</t>
  </si>
  <si>
    <t>franck--104885</t>
  </si>
  <si>
    <t>Excellent rapport qualité/prix. À l’occasion d’un accident, prestations au top et réactive avec enlèvement du véhicule à domicile + livraison à domicile du véhicule de prêt.</t>
  </si>
  <si>
    <t>27/02/2021</t>
  </si>
  <si>
    <t>01/02/2021</t>
  </si>
  <si>
    <t>yeah-104604</t>
  </si>
  <si>
    <t>Après devis et signature pour assurance auto, je fournis tout les documents demandé et là on me signale que mes années en tant que conducteur secondaire chez concurrence ne compte pas et qu'il faut rééditer le contrat, après rectification la facture mensuel se voit triplé! Je refuse alors le nouveau contrat et l'on me signal que je dois encore régler ~220€ avant de partir (alors que si contrat augmente l'on peut quitter assurance sans frais supplémentaire et que tout était réglé pour ma part, inscription+1 mois chez eux...) Opposition à la banque et maintenant des relances.</t>
  </si>
  <si>
    <t>22/02/2021</t>
  </si>
  <si>
    <t>maybe-104081</t>
  </si>
  <si>
    <t xml:space="preserve">Bonjour tout comme Clément j'ai un gros problème avec AXA un sinistre auto qui joue effectivement la carte de l'expert. Je suis chez axa depuis plus de 20 ans, assurée tant pour l'habitation que pour les véhicules. Axa refuse alors que je paie pour un tout risque de prendre en charge la réparation totale de mon aile prétextant que l'expert refuse les circonstances de l'accrochage. L'ensemble fait 2000 €. J'avais prévu la franchise normale et même la peinture refusee dans un premier temps mais je comptais être rembourse de la différence. Je vais prospecter pour chercher un autre assureur. </t>
  </si>
  <si>
    <t>15/02/2021</t>
  </si>
  <si>
    <t>dti-104172</t>
  </si>
  <si>
    <t>FUYEZ CETTE ASSURANCE !!!!! IL VOUS INVENTE DES SINISTRES SOIS DISANT DOUBLONS PUIS QUAND IL SAGIT DE SUPPRIMER LE SINISTRE EN QUESTION TOUT LE MONDE SE RENVOIE LA BALLE ET EN PLUS DE SA IL RÉSILIE PAR DERRIÈRE 
DU GRAND N’IMPORTE QUOI.</t>
  </si>
  <si>
    <t>bob-104146</t>
  </si>
  <si>
    <t>Bon assureur mais très cher et refuse de baisser ses tarifs sous prétexte que c’est la haute direction qui leur impose les tarifs ( je cite les agents)</t>
  </si>
  <si>
    <t>14/02/2021</t>
  </si>
  <si>
    <t>og-103874</t>
  </si>
  <si>
    <t>Très bonnes relations avec mon assureur et l'ensemble des salariés de l'agence ; c'est particulièrement important.
Les tarifs sont plutôt concurrentiels,  Compte tenu du service apporté.
Olivier  GODARD</t>
  </si>
  <si>
    <t>09/02/2021</t>
  </si>
  <si>
    <t>vanes-103441</t>
  </si>
  <si>
    <t>Super bons conseils, amabilité prix imbattable, je vous conseil  vivement AXA les yeux fermés. Merci à vous pour le temps consacré à ma demande. A bientot</t>
  </si>
  <si>
    <t>30/01/2021</t>
  </si>
  <si>
    <t>herrmann-103362</t>
  </si>
  <si>
    <t>Relation client difficile, politique tarifaire à la tête du client. politique tarifaire de Recherche de maximisation de profit permanente au détriment du service client et cela malgré zéro sinistre pendant les 6 dernières années Confiance en AXA est égale à zéro</t>
  </si>
  <si>
    <t>28/01/2021</t>
  </si>
  <si>
    <t>pivoine-102887</t>
  </si>
  <si>
    <t>Seul accident déclaré et de plus non responsable sur mon véhicule en stationnement, sinistre non remboursé malgré un bon de prise en charge totale au nom de mon carrossier sous prétexte que  j'ai dépassé le forfait kilométrique prévu à mon contrat. Aucun dialogue possible avec le service sinistre; je ne recommande pas du tout et engage une procédure en justice</t>
  </si>
  <si>
    <t>19/01/2021</t>
  </si>
  <si>
    <t>ol38490-102641</t>
  </si>
  <si>
    <t xml:space="preserve">Très bonne relation clientèle, toujours à l'écoute et conseils très utiles. 
Même s'ils s'alignent généralement sur les autres quand je change de véhicule (tous les 2 ans avec comparatifs assurances à l'appui), ils restent généralement plus cher que la concurrence surtout pour les jeunes conducteurs. </t>
  </si>
  <si>
    <t>14/01/2021</t>
  </si>
  <si>
    <t>zarga-102494</t>
  </si>
  <si>
    <t>Je me suis assuré chez eux j'ai payé deux mois de cotisation d'avance. Vous avez un mois pour envoyer les documents. Tous les jours il me redemande les mêmes documents que j'ai déjà envoyé pour au final vous dire que tous les documents n'ont pas été envoyé alors il résilié ment et vous avez un mois payé d'avance dans l'os.</t>
  </si>
  <si>
    <t>12/01/2021</t>
  </si>
  <si>
    <t>ptit--99966</t>
  </si>
  <si>
    <t>Je passe par un agent général qui vraiment commercial dans le bon sens du terme, il ajuste les prix et est toujours présent.
Je viens de changer de véhicule, contrat souscrit par téléphone avec signature électronique, rapide et très pratique!</t>
  </si>
  <si>
    <t>08/01/2021</t>
  </si>
  <si>
    <t>muler-102088</t>
  </si>
  <si>
    <t>Ils ne savent que encaisser votre cotisation, si vous avez un accident non responsable, ils font tout pour ne rien faire ou essayer d'engager votre responsabilité (bien évidemment pour augmenter votre cotisation)! En 5 ans chez eux, mon bonus augmente tous les ans, mais ma cotisation augmente aussi! J'ai retiré l'option assistance 0 km pour espérer de baisser ma cotisation, et bien non juste à l'échéance suivante ils trouvent toujours le moyen d'augmenter votre cotisation (plus de 10% chaque année)...</t>
  </si>
  <si>
    <t>pierre-101075</t>
  </si>
  <si>
    <t>Aucune responsabilité, je regrette d'avoir le service de cette assurance. Je dirait 600 euros par an pour rien. Ne l'inscrivez pas! crois-moi. Client de auto assurance depuis 3 ans</t>
  </si>
  <si>
    <t>07/12/2020</t>
  </si>
  <si>
    <t>jcdm33-101063</t>
  </si>
  <si>
    <t xml:space="preserve">bonjour fuyez cette compagnie 
aucunes reconnaissance malgrés le temps a payer et l anciennetée
Ayant eu un sinistre sur ma voiture  ( non mis en cause ) 
le virement de l argent des réparations avancer auprès du garagiste  ( 2123 euro )
on était viré sur un autre compte bancaire !
10 jours après ne voyant toujours pas d argent je le signale ! 
cela fait bientot 10 jours de plus que l on me balade pour me rembourser 
je vais partir D AXA vite fait dés remboursement  ainsi que mes autres contrats scooter et maison 
fuyez vite a pars vous faire payé n attendez rien 
 </t>
  </si>
  <si>
    <t>lepelican-100780</t>
  </si>
  <si>
    <t xml:space="preserve">augmentation inlassablement annuellement, lors d'un petit pépin vous n'êtes jamais dans les clous, la fidélité zero, Bonus 50 % depuis des lustres rien de plus , idemme pour habitation, </t>
  </si>
  <si>
    <t>30/11/2020</t>
  </si>
  <si>
    <t>hamid-100370</t>
  </si>
  <si>
    <t xml:space="preserve">je viens de recevoir un email de mon ex-assureur que la demande de résiliation était refusée : " Toutefois nous ne pouvons pas prendre en compte votre demande, étant donné que le contrat lors de votre demande de résiliation n'avait pas un an d'existence"
 Le conseiller avec qui j'ai signé le contrat m'a promis  que je ne devrais faire  rien parce que c'est lui qu'il va s'en occuper.
Aujourd'hui je me trouve de payer deux assurances (j'ai payé 3 mois en avance avec axa) et quand j'appelle le service client (Saint-priest, lyon ) un conseiller me passe a un autre........ une conseillère me demande de renvoyer de nouveaux ma carte verte et  ET  une demande résiliation......  pour être remboursé.
Sachant que je n'ai pas demandé la résiliation avec l'AXA , mais j'aimerais que le service clientèle qu'il refait la demande de résiliation de mon ex assurance  parce que leur demande était mal daté et formulé ......
n'import quoi
 mais quel service........... </t>
  </si>
  <si>
    <t>20/11/2020</t>
  </si>
  <si>
    <t>engeel-100183</t>
  </si>
  <si>
    <t>toujours en attente d'un remboursement depuis plus d'un an.... Après une dizaine de mail de relance... je n 'ai jamais eu de retour.... c est insultant cette ignorance ! on paie une assurance chaque mois et il ne daigne même pas rembourser une somme de 50 euros.. quelle honte pour une enseigne comme ça.</t>
  </si>
  <si>
    <t>16/11/2020</t>
  </si>
  <si>
    <t>soph-98653</t>
  </si>
  <si>
    <t>le prix est trop chère et il faut toujours demander pour faire baisser le prix.En plus la garantie chauffeur est sortie du contrat.
En cas de sinistre: bonne prise en charge.</t>
  </si>
  <si>
    <t>12/10/2020</t>
  </si>
  <si>
    <t>pas-content-97672</t>
  </si>
  <si>
    <t>Client AXA depuis 37 ans , les derniéres années ont vues les bases de calcul des offres augmenter de 6 % A 10 % selon les années. ( les salaires et retraites stagnes pour le moins depuis 5 ans). Je vais quitté ce réseau multinationnal dont les directions n'ont d'yeux que pour les offres promotionnelles et laissent selon mon avis les clients historiques sur le bord de la route ( 3 sinistres en 30 ans avec une moyenne de 68000 km / an ). Je remercie mes interlocuteurs , quelques  personnels sérieux qui ont fait du mieux qu'ils pouvaient.... mais pas la politique commerciale du siége social et encore moins les responsables du service marketing. Je sais, je sais, les autres sont pas mieux direz-vous ... Alors il nous reste a consulter et a changer d'assurances tous les deux ans ( un ancien directeur Commercial et Marketing ) Je suis tout yeux dehors pour voir quels détournemant d'objection, ou qu'elles excuses le services qualités dAxa va me donner !
Cordialement , si cela pouvait réveiller quelques neurones !</t>
  </si>
  <si>
    <t>21/09/2020</t>
  </si>
  <si>
    <t>will-97624</t>
  </si>
  <si>
    <t>Augmentations annuelles supérieures à 3% en 2018 et 2019 malgré le confinement et pas de négociation possible. On obtient des réponses à sa question par mail dans la demie journée
Il faut reconsulter chaque année</t>
  </si>
  <si>
    <t>20/09/2020</t>
  </si>
  <si>
    <t>jfu-97460</t>
  </si>
  <si>
    <t>Bonjour,
Au niveau des assurances pour deux voitures et une assurance habitation, les tarifs sont assez élevés en comparant avec d'autres personnes.
J'ai un litige en cours depuis un an (20-09-2019) qui n'est toujours pas réglé (vol à la roulotte ).
Vous comprendrez pourquoi je ne suis pas satisfait...</t>
  </si>
  <si>
    <t>16/09/2020</t>
  </si>
  <si>
    <t>marsouin-97358</t>
  </si>
  <si>
    <t xml:space="preserve">Avp non responsable le 15 dec 2019 le gestionnaire de mon dossier prend tout sont temps.
Mieux il me menace de pas me payer si je garde mon avocat .Il n a pas le numero de dossier gendarmerie ,je lui explique qu il se trouve sur le depot de plainte .Pas moyen qu il imprime quoi que ce soit alors que sa collegue le fait en 2 secondes etc etc 
part contre un retard de cotisation hop recommande en moins de temps.Bref je suis limite de porter plainte
</t>
  </si>
  <si>
    <t>14/09/2020</t>
  </si>
  <si>
    <t>vivie35-97118</t>
  </si>
  <si>
    <t>Au niveau de la disponibilité, de l'intervention et règlement en cas de sinistre, rien à reprocher. Par contre, le prix ne cesse d'augmenter + de 22 Euros/an. Le comble, pour 2020, année ou les gens ont moins utilisés leur voiture (CORONAVIRUS) augmentation de 25 Euros. Je trouve que le prix est EXCESSIF, plus de 400 Euros pour un véhicule de gamme moyenne (C3 Tous Risques)</t>
  </si>
  <si>
    <t>07/09/2020</t>
  </si>
  <si>
    <t>isa-96287</t>
  </si>
  <si>
    <t xml:space="preserve">Panne sur autoroute: prise en charge lamentable, interlocuteurs AXA irrespectueux, très désagréables, 2 dépanneuses differentes..car la première pas agréée Axa donc j'ai avancé  moi-même les frais de déplacements du vehicule 255 € ,  puis deuxième dépanneuse agréée AXA, puis retour domicile ( tombée en panne à 11h00, retour domicile à 16h30 ), véhicule à 150 km du domicile  impossible dixit Axa à rapatrier car distance sup à 20 km! Pour retourner chercher mon véhicule , taxi puis TER puis taxi proposé soit au moins le double du temps en voiture!! Et pas de véhicule proposé pdt le temps d'immobilisation de mon véhicule!! Alors que ceci figure dans le contrat, et pas de remboursement des frais si je prend un véhicule personnel pour récupérer ma voiture!! Digne d'un film!! 
Service déplorable , zéro, plateforme sans interlocuteur capable de résoudre les problèmes calmement!
</t>
  </si>
  <si>
    <t>13/08/2020</t>
  </si>
  <si>
    <t>drinesan-96063</t>
  </si>
  <si>
    <t xml:space="preserve">C'est une catastrophe ! J'ai perdu mon papa en octobre 2019.jai vendu son premier véhicule. Je devais 8e à axa. J'ai reçu la note en recommandé nikel à mon domicile. Au mois de mai j'ai mis sa 205 en destruction, jattends toujours le remboursement du trop perçu. Il manque toujours un papier... La dernière fois ils m'ont dit que le virement avait été fait sur le compte de papa !! Lol il est clôturé depuis belle lurette... C'est lamentable. Ils me demandent maintenant une attestation de clôture de compte !! Je commence à désespérer. C'est vraiment la seule assurance avec laquelle j'ai tant de problèmes... Ils sont vraiment moins rapides quand c'est eux qui nous doivent de l'argent !! </t>
  </si>
  <si>
    <t>07/08/2020</t>
  </si>
  <si>
    <t>glassbreizh-51288</t>
  </si>
  <si>
    <t>Axa demande à ses garagistes partenaires de remplacer par des pièces d'occasion ou à défaut d'aller au moins cher dans le réparation. Résultat, véhicule réparé à moitié par le garagiste qui conseille de changer d'assurance.</t>
  </si>
  <si>
    <t>08/07/2020</t>
  </si>
  <si>
    <t>thi0707-93132</t>
  </si>
  <si>
    <t>Assuré chez AXA depuis de très nombreuses années, ce groupe a vu sa politique tarifaire exploser. J'ai aujourd'hui quitté AXA pour AVIVA. Contrat auto pour une peugeot 308 chez AXA 1100 € ;  alors qu'Aviva m'a proposé 570 € pour de meilleures garanties</t>
  </si>
  <si>
    <t>03/07/2020</t>
  </si>
  <si>
    <t>angie69240-92231</t>
  </si>
  <si>
    <t xml:space="preserve">Suite à un incendie sur mon véhicule survenue le 17 mars 2020 jours à ce jours il n est toujours pas traité on me demande de payer des cotisations pour un véhicule déduit qui n est plus chez mois et cette assurance ce permet de me passer dans leur service étude et prévention pour éviter de m indemnisé ne pouvant pas reprendre le travail puisque je n ai plus de véhicule, pas de prêt de véhicule etc assurance à fuire </t>
  </si>
  <si>
    <t>25/06/2020</t>
  </si>
  <si>
    <t>del-90003</t>
  </si>
  <si>
    <t xml:space="preserve">Client axa Peymeinade depuis des années, 
Très déçu, aucun suivi, aucune réponse aux multiples mails envoyés concernant les erreurs émises par la compagnie.
Je vais changer de compagnie d'assurance ainsi que mes proches.
</t>
  </si>
  <si>
    <t>28/05/2020</t>
  </si>
  <si>
    <t>ted-85498</t>
  </si>
  <si>
    <t xml:space="preserve">Ayant subit un accident dans laquelle je suis pas en tord il y a plus de 6 mois je tien a le préciser mon véhicule a été estimé à la baisse  par un expert peux sérieux ( trop lent , incompétent  ) je n en parle pas du manque de sérieux du service sinistre ( MR bonne )  
Au jour d aujourd'hui je n est toujours pas été remboursé et impossible de joindre le service concerné. 
J ai 5 contrat chez eux( Axa du tampon la réunion 97430 )je vais tous les résilié. 
Étant dans l automobile je peux que constater leur incapacité et leur manque de sérieux. 
Je vous déconseille fortement cette assureur. 
Vraiment pas sérieux .. </t>
  </si>
  <si>
    <t>04/01/2020</t>
  </si>
  <si>
    <t>danijala-81141</t>
  </si>
  <si>
    <t xml:space="preserve">mon véhicule a été accidenté en juin et expertisé (photo) en juillet 2 fois dans un garage au cours de réparation (en octobre) le radar de recule endommagé demande j'attend leurs accord pour la réparer 
Bravo quel service   </t>
  </si>
  <si>
    <t>19/11/2019</t>
  </si>
  <si>
    <t>maggi-80824</t>
  </si>
  <si>
    <t xml:space="preserve">Assurée chez axa depuis de nombreuses années je ne suis pas déçue de leur services. Je viens d'être sinistrée (non responsable),  ma voiture est déclarée épave et je suis vraiment ravie de la gestion de ce problème par axa . Ils ont su trouver une solution à chacuns de mes problèmes.  Pas de voiture de remplacement prise en charge incluse dans mon contrat mais ils ont fait preuve d'une grande compréhension en m'en octroyant une pendant 10jours. Le délai de traitement de mon dossier,  expertise + paiement à été d'une très grande rapidité.  Les differents services qui ont géré mon sinistre , accueil et gestionnaires sont humains et compréhensifs sur la détresse qu'un tel événement peut provoquer . Je ne peux donc que laisser un avis positif . </t>
  </si>
  <si>
    <t>07/11/2019</t>
  </si>
  <si>
    <t>mamie-mag67-80159</t>
  </si>
  <si>
    <t xml:space="preserve">ça fait prés de 20 ans qu on est à axa ,quand on leur demande de faire un geste commerciale  , il n 'y a plus personne ils ne peuvent pas ;et quand on leur demande le relever d information pour nos véhicules ,là on peut peut être faire quelque chose pour vous. TROP TARD. Un autre assureur prendra la place pour beaucoup moins cher et plus de garantie mais pour cela il faut qu on arrive à avoir ces fameux papiers pour les véhicules. D 'aprés la loi on doit les avoirs au bout de 15 jours mais la 3 semaines ET  TOUJOURS RIEN . pas de réponse au mail ni au tel . reste plus qu 'à y aller et rester jusqu'à obtention des papiers. </t>
  </si>
  <si>
    <t>17/10/2019</t>
  </si>
  <si>
    <t>manny-79650</t>
  </si>
  <si>
    <t>Pour l'assurance auto je recommande à condition de bien choisir son agence. Pour ma part je suis chez AXA pour voiture et moto depuis longtemps et ça s'est toujours très bien passé lorsque j'ai eu des sinistres mon agence a toujours été à l'écoute et la dame a toujours fait en sorte que les démarches soient rapides et simples. En revanche pour ce qui concerne santé et invalidité  (ce qui est professionnel) c'est vraiment n'importe quoi car on n'a pas d'interlocuteur direct. Tout est traité à distance et c'est un véritable enfer administratif sans parler de la relation clientèle qui est inexistante. J'ai déjà déposé un post à ce sujet. En bref pour que ça se passe bien avec axa il faut très bien choisir son agence et éviter les contrats d'entreprise où on se retrouve seul sans interlocuteur (à voir avec son employeur)</t>
  </si>
  <si>
    <t>03/10/2019</t>
  </si>
  <si>
    <t>corsicasole-45115</t>
  </si>
  <si>
    <t>assurance auto en tous risque qui ne respecte pas les termes du contrat, j' ai eu un accident non responsable avec tiers identifié à  l'étranger,  le tiers à assumé c'est tort  sur le constat,  est il y a des conventions avec le  pays consserné,  mais axa me demande de payer la franchise, il ne respecte pas les termes du contrat le tiers est identifié  est à reconnus sa responsabilité.</t>
  </si>
  <si>
    <t>25/09/2019</t>
  </si>
  <si>
    <t>ibou06-79322</t>
  </si>
  <si>
    <t>Honteux!!! Des prestations hyper chère. Pour information, pour les mêmes garanties je divise presque par 2 mes cotisations. Si seulement la qualité des services (relation client seulement car n'ayant eu aucun sinistre je n'ai pas pu tester les garanties) était au rdv, j'aurais pu comprendre mais j'ai eu l'impression que la seule motivation des agents axa est de faire de l'argent (signer des contrats à tous va, vouloir ajouter des garanties qu'on ne connait pas...). L'assureur à éviter!!!</t>
  </si>
  <si>
    <t>19/09/2019</t>
  </si>
  <si>
    <t>fabsta310-79245</t>
  </si>
  <si>
    <t>ne pas avoir de sinistre si non  !!!!!!!!!</t>
  </si>
  <si>
    <t>17/09/2019</t>
  </si>
  <si>
    <t>badoulhi-78624</t>
  </si>
  <si>
    <t xml:space="preserve">Extrêmement déçu de la qualité, de la rapidité et du traitement de notre demande d'assistance suite a une panne de véhicule sur autoroute a l'étranger. Panne déclarée ce jour a 12h23, véhicule pris en charge par dépanneuse et nous (2 adultes et un enfant) par un taxi. Déposés au garage le plus proche 9km. Il est 22h passé, nous sommes devant le garage qui a fermé depuis près d'une heure, il fait nuit et nous attendons toujours d'être pris en charge par l'assistance... Un taxi doit venir nous déposer a 150km de la où nous sommes pour récupérer un véhicule de location (150km en arrière,reculer pour mieux avancer? ) Cela fait 2h qu'on attend ce foutu taxi... Je passe les détails de tous les appels émis a assistance durant cette journée... Vous imaginez en plus que l'on va rouler de nuit après cette journée de galère et d'attente...? Bref... Je continuerai plus tard ma plainte... Il ne s'agit là que d'un préambule... Épuisés, exaspérés, en colère, déçus, insatisfaits,... </t>
  </si>
  <si>
    <t>22/08/2019</t>
  </si>
  <si>
    <t>azureline-77885</t>
  </si>
  <si>
    <t>Suite à un sinistre non responsable, mon véhicule à été gagé par l'expert mandaté par axa le temps des réparations.
Les réparations effectuées, axa m'a remboursé la facture. 
Un conseiller axa m'a alors informé que le gage serait levé en peu de temps par l'expert (et que je n'avais rien à faire)Quelques jours plus tard, j'ai reçu un document de la préfecture m'informant que mon véhicule était toujours gagé. J'ai alors rappelé un conseiller m'a dit que je n'avais rien à faire, qu'il s'occupait de tout, que la levée de gage se ferait sans une nouvelle expertise car les frais engagés n'étaient pas importants.
J'ai donc appelé plusieurs fois AXA, et je leur ai fais confiance.
La semaine dernière j'ai acheté un nouveau véhicule, avec une reprise de mon ancien. Mais j'ai reçu ce matin un appel du responsable de la concession, me disant que mon véhicule est  toujours gagé, la vente est donc en suspens. Mon prêt personnel également.  Je n'ai reçu aucun appel ni de message d'AXA depuis 1 semaine. L'autruche...
Le service réclamation doit me rappeler...j'attends toujours.
Le garagiste, l'expert, l'assurance, ils se rejettent tous la faute...Mais ce que je retiens, c'est que surtout :"Vous n'avez rien à faire, nous nous occupons de TOUT !!!"</t>
  </si>
  <si>
    <t>24/07/2019</t>
  </si>
  <si>
    <t>pfolio-77871</t>
  </si>
  <si>
    <t>Suite a une declaration kilometrique que axa yerres n'a pas noté. Les frais de reparations pour un sinistre a ma charge. Et en plus l'agent refuse de me donner des explications</t>
  </si>
  <si>
    <t>23/07/2019</t>
  </si>
  <si>
    <t>alesky-77749</t>
  </si>
  <si>
    <t>Renouvellement d'un contrat à date anniversaire avec augmentation de 50e par mois pour un sinistre non responsable, aucune explication plausible. Non réception de l'avis d'échéance, je fais valoir mon droit de résiliation par loi châtel soumise au siège par mon agent, qui me réclame une attestation d'assurance pour donner droit à ma résiliation. Impossibilité de joindre le service en question...</t>
  </si>
  <si>
    <t>assuree-77279</t>
  </si>
  <si>
    <t xml:space="preserve">Ne pas souscrire au service de prêt véhicule. Delai d'attente a prévoir, véhicule de mauvaise qualité. (regarder le contrat). </t>
  </si>
  <si>
    <t>02/07/2019</t>
  </si>
  <si>
    <t>yosimha-76632</t>
  </si>
  <si>
    <t xml:space="preserve">Le service client est très mauvais, très longue attente pour la suppression d'un dossier et le remboursement, cela fait presque 3mois, toujours rien n'a bougé, malgré les nombreux appels et pleintes.
Non recommandé. </t>
  </si>
  <si>
    <t>10/06/2019</t>
  </si>
  <si>
    <t>hub-75795</t>
  </si>
  <si>
    <t>suite à 2 accrochages dans un parking, vs résiliez mon contrat, après connaissance de la loi Hamon, vs faites fausse route, car accrochage n'est pas accident de la circulation, surtout dans ces deux accrochages , bien indépendant de ma bonne volonté,je pensais avoir des circonstances atténuantes je pense que c'est dans votre politique e résilier, ce qui vs permets de proposer un nouveau contrat, beaucoup plus onéreux</t>
  </si>
  <si>
    <t>10/05/2019</t>
  </si>
  <si>
    <t>vincent201902-75449</t>
  </si>
  <si>
    <t>J'ai été orienté dans une carrosserie agréé. La réparation a été mal faite reconnu immédiatement reconnu par axa et son réparateur sur la base de photo
Un second passage au premier atelier n'a m'a résolu mon problème 
J'ai demande de réparer dans un autre garage agrée axa mais personne ne gère mon dossier car les réclamations sont sous traitées à un tiers innovation Group
Mon dossier traîne depuis plus de 6 mois'
Je ne peux vendre ma voiture dans cet état sans faire une moins value 
Fuyez cette assurance sans service après vente et considérations client   je tente de courir après les pièces sans aucun support d'AXA alors même que ce garage défaillant m'imposé son garage agree m'a été impose</t>
  </si>
  <si>
    <t>28/04/2019</t>
  </si>
  <si>
    <t>farmaktar-75242</t>
  </si>
  <si>
    <t xml:space="preserve">suite à un accident je ne peux meme pas envoyé mon constat par la poste vu que je ne touve pas leurs adresse pour envoyé mon constat car il est impossible de joindre le service sinistre, j'ai du faire une déclaration sur le net qui est très mal faite? a la fin la conclusion et que c'est du 50/50 en terme de responsabilité sens meme l'avis d'expert alors que le véhicule adverse change voie et me percute!!!! 
je dé-conseil fortement cette assurance </t>
  </si>
  <si>
    <t>cadillac69-75176</t>
  </si>
  <si>
    <t>Nouvelle agence à Fontenay aux roses. Très mal reçu. Je quitte cet assureur (avec 14 contrats).  Auto (6 véhicules) assurance matière transportée pour ma société, habitation, mutuelle, protection juridique et garantie de la vie .</t>
  </si>
  <si>
    <t>17/04/2019</t>
  </si>
  <si>
    <t>sandra30-74656</t>
  </si>
  <si>
    <t xml:space="preserve">Fuyez </t>
  </si>
  <si>
    <t>marine59-71145</t>
  </si>
  <si>
    <t>Suite à un accident responsable je passe de 70 euros à 140 euros pour une c3 70cv.... soit 50% d'augmentation et on me répond si vous voulez diminuer prenez vos compte en banque chez nous! Je refuse. En décembre 2018 soit  plus de 1 ans après mon accident, je comptais voir mon assurnace diminuer un minimum. Et bien non elle a augmenter de 140 a 160 euros par mois!!!!! J'appelle et on me repond oui ces normal votre conjoint n'est pas chez nous (pas encore assurer à son nom donc normal) et votre assurance habitation non plus!!!!! Une honte! Je viens de changer d'assurance! Et devinez quoi chez la macif au lieu de 160 euros par mois je paye 70 euros par mois avec un taux a 1!!!!!!! Plus de 90 euros par mois d'économiser. Une honte à ce cabinet axa qui est situé à la bassée (59)</t>
  </si>
  <si>
    <t>10/02/2019</t>
  </si>
  <si>
    <t>01/02/2019</t>
  </si>
  <si>
    <t>julie-70583</t>
  </si>
  <si>
    <t xml:space="preserve">Problèmes avec depuis des mois de plus ils prennent des frais que c'est des erreurs de leurs parts veulent rien savoir. Déconseille fortement. Aucunes excuses aucuns gestes commercial. Je ne suis pas la seules dans ce cas.................... </t>
  </si>
  <si>
    <t>25/01/2019</t>
  </si>
  <si>
    <t>01/01/2019</t>
  </si>
  <si>
    <t>rphl-69445</t>
  </si>
  <si>
    <t>Depuis trois mois ,que des problèmes. Le service client n'écoute pas ses clients .
Je suis decu et remonté .</t>
  </si>
  <si>
    <t>15/12/2018</t>
  </si>
  <si>
    <t>tonis-68861</t>
  </si>
  <si>
    <t>suite à un sinistre non responsable survenu à l'étranger en 09/2016 , lors des réparations à effectuer j'ai réglé la franchise de 350 euros qui devait ètre remboursé.Deux années après , malgré de nombreux appels téléphoniques et mails , le service en question est injoignable et se fiche royalement des clients en ne donnant aucune information sur le dossier , vais je un jour ètre remboursé ? dieu seul le sait !!!!!!</t>
  </si>
  <si>
    <t>23/11/2018</t>
  </si>
  <si>
    <t>01/11/2018</t>
  </si>
  <si>
    <t>manon29-68385</t>
  </si>
  <si>
    <t>accident depuis 4 mois en zéro responsabilitée voiture évaluée 300E en VEI était roulante et venait de passer le CT 
300E jai une épave Depuis 4 mois je subis axa assurance brasseur de vent</t>
  </si>
  <si>
    <t>06/11/2018</t>
  </si>
  <si>
    <t>dalibannour123-62545</t>
  </si>
  <si>
    <t xml:space="preserve">J'ai publié un avis négative sur Axa pour mon problème et le service client m'ont contacté et ils ont fait le nécessaire. Même ils ont changé la gestionnaire d mon dossier sinistre internationale. Franchement malgré que les démarches sont longues mais ils sont à l'écoute et font des gestes agréables. Je suis très satisfait de mon assurance Axa et je le remercie. </t>
  </si>
  <si>
    <t>jm-68030</t>
  </si>
  <si>
    <t>Se comporte comme une banque (profit maximum) au détriment de son rôle d'assureur. Attend le paiement de la compagnie adverse pour effectuer le remboursement de son assuré</t>
  </si>
  <si>
    <t>24/10/2018</t>
  </si>
  <si>
    <t>ange-67653</t>
  </si>
  <si>
    <t>Assureur deux fois plus cher quel les  autres,mon assurance augmente  chaque année sans sinistre,très compliqués de résilier ,6 mois pour être rembourser d 'un dépannage ,à fuir.</t>
  </si>
  <si>
    <t>14/10/2018</t>
  </si>
  <si>
    <t>cc-66642</t>
  </si>
  <si>
    <t>Accident non responsable le 15/06/2018. Bientôt 3mois et mon dossier n est toujours pas traité. Le service réclamation qui se trouve à l etranger bloque mon dossier et ne répond plus ni à mes appels ni aux mails et m ignore totalement. Je ne sais pas quoi faire. Ma voiture se trouvant dans un centre de destruction choisi par axa sans mon avis se degrade de plus en plus.</t>
  </si>
  <si>
    <t>05/09/2018</t>
  </si>
  <si>
    <t>pat83-65807</t>
  </si>
  <si>
    <t>Bas prix ,mais justifié par prestation médiocre ,surtout fuyez cet assureur rapide pour débiter et dés que problème plus personne ,c'est une honte de ce dire assureur et spolié les clients .Suis en attente de soit disant de soit disant rappel et dossier pris en main alors en attendant je posterai des commentaires car je refuse que d'autres se fassent avoir par cette pseudo assurance .Un conseil vérifier tout car si le prix peut sembler attractif attention aux conditions ,kilométrage ect...... en attendant si vous désirez trouver une assurance sérieuse passez par un courtier qui a pignon sur rue afin de vous évitez des problèmes dont vous ne verrez plus la fin FUYEZ.</t>
  </si>
  <si>
    <t>myriamk73-66353</t>
  </si>
  <si>
    <t>Voiture accidente le 31 juillet. Toujours pas expertisee le 23 aout..mes appels aterissent au maroc..j ai demande au monsieur ! Felocalisation est efficacite ne fonctionne pas trop ensemble apparement..</t>
  </si>
  <si>
    <t>23/08/2018</t>
  </si>
  <si>
    <t>mmsb-65289</t>
  </si>
  <si>
    <t>Service client délocalisé, à fuir !</t>
  </si>
  <si>
    <t>05/07/2018</t>
  </si>
  <si>
    <t>ben-52461</t>
  </si>
  <si>
    <t>Suite à une panne de mon véhicule à l'étranger et une immobilisation ds un garage, je loue une voiture pour rentrer à mon domicile. AXA me confirme la prise en charge de la location voiture + frais taxi. Plus d'un mois après toujours rien, et on me dit en plus de fournir le justificatif d'immobilisation du véhicule à l'étranger, comme si j'avais louer un véhicule pour le plaisir.... 0 confiance, 0 proffessionalisme.</t>
  </si>
  <si>
    <t>23/06/2018</t>
  </si>
  <si>
    <t>marie245-64581</t>
  </si>
  <si>
    <t>Jai subi cette annee une augmentation de tarif de 83 % . Ma mensualité est passée de 68 euros à 124 euros sans me prévenir.  Soit disant dû au nombre de sinistres !! Sauf que je nai que 2 sinistres récents dont un bris de glace. Renseignements pris ce jour aupres d'autres assurances tarif proposé 50 euros !!!</t>
  </si>
  <si>
    <t>07/06/2018</t>
  </si>
  <si>
    <t>rob-64526</t>
  </si>
  <si>
    <t>Pas de service client compétent aucun suivi de dossier, j'ai du faire moi même les démarches auprès de l'expert automobile pour que mon dossier avance.</t>
  </si>
  <si>
    <t>06/06/2018</t>
  </si>
  <si>
    <t>astrid33-63040</t>
  </si>
  <si>
    <t>Félicitations à votre service assistance: rapide, complet au niveau des prestations! Je suis confortée dans l idée d être assurée chez vous depuis plus de 20 ans !</t>
  </si>
  <si>
    <t>07/04/2018</t>
  </si>
  <si>
    <t>01/04/2018</t>
  </si>
  <si>
    <t>nono-63034</t>
  </si>
  <si>
    <t>voir les plus rien d'autres a rajouter</t>
  </si>
  <si>
    <t>macleolou-62792</t>
  </si>
  <si>
    <t xml:space="preserve">Nous aimerions rentrer en contact avec le directeur d'agence mais celui c'est avéré  indisponible ou absent lorsque nous avons essayé de la joindre afin de lui faire part de nos différentes difficultés avec la conseillère </t>
  </si>
  <si>
    <t>29/03/2018</t>
  </si>
  <si>
    <t>01/03/2018</t>
  </si>
  <si>
    <t xml:space="preserve">Depuis 6 mois je cours derrière Axa pour me donner juste une réponse sur mon dossier pour sinistre à l'étranger et ignorance totale j'ai essayé de tout les moyens de contacter la dame qui s'occupe de mon dossier et il lui laisse un message pour qu'elle m'appelle et je n'ai reçu aucun appel... 8 fois je tente et pareil même histoire </t>
  </si>
  <si>
    <t>21/03/2018</t>
  </si>
  <si>
    <t>phil-62136</t>
  </si>
  <si>
    <t>Je ne suis pas content d'AXA car ils font des augmentations sans prévenir leurs clients et sans que se soit stipuler sur le contrat .Ils ne répondent pas non plus au courrier qui leur est envoyé par notre avocat.
Comment continuer avec eux dans de telle circonstance.</t>
  </si>
  <si>
    <t>08/03/2018</t>
  </si>
  <si>
    <t>lovo-61981</t>
  </si>
  <si>
    <t xml:space="preserve">Problème AXA et second conducteur. Est-ce légal ? 
Nous avons contracté une assurance auto chez AXA. Lors de la déclaration (alors que je suis la conductrice principale et propriétaire du vehicule) le contrat a été établi au nom de mon concubin et l'agent m'a déclaré qu'il n'y avait pas de notion (et donc de différence) entre le 1er et 2D conducteur chez AXA. C'est le cas en terme d'assurance mais de points bonus !! Ce qui fait une grosse différence tout de même. J'ai souhaité comparer les offres AXA à d'autres assurances et surprise ! Je n'ai aucun point bonus puisque seul le conducteur principal en bénéfice (alors qu'il ne conduit même pas le véhicule ) !!! Aujourd'hui l'agent me propose un nouveau contrat à mon nom moyennant un supplément de 144euros sur la cotisation annuelle !!! Je ne pensais pas que de telles pratiques étaient possibles. </t>
  </si>
  <si>
    <t>04/03/2018</t>
  </si>
  <si>
    <t>vivibadr-61670</t>
  </si>
  <si>
    <t xml:space="preserve">Le 10 janvier j ai subi un choc sur mon parking et j ai retrouvé le midi mon véhicule avec les pare choc avant et arrière casse et porte coffre enfoncé je déclare le sinistre nous sommes le 22 février et je n ai toujours pas mon véhicule et les réparations n ont pas encore commencé faute à ces.plates formes qui comprennent rien ils ont déclare le sinistre en vandalisme me 10 janvier le dépanneur remorque m a voiture dans un garage a 20 km de chez qui est un de leur garage agréé ayant plus de nouvelle fin de mois de janvier j appelle et on me dit que l expert doit passé l expert passé on attend le chiffrage le 8 février j appelle et le garage me dit que l assurance  a annulé la mission car le motif qu' ils ont mis n est pas le bon il fallait mettre accident sur parking la blague mais c est pas fini nouvelle ordre de mission un nouvel expert doit passé ok rendez vous pris le 19 février le 15 j appelle et on me dit que je vais devoir avance les frais car le.garage n est pas agréer et que c est moi qui est choisit ce garage alors que je le c9nnais pas et qu' il se trouve  à.20 km de chez moi je leur précise que je paierai rien il décide alors de me remorquer mon vehicule dans un autre garage agreer alors que l autre l etais depuis 3 ans puisqu ils ont rapatrié mon véhicule la ba bref et ils me disent on prend en charge le rapatriement de votre véhicule bah encore heureux aujourd hui nouvelle expert et c est reparti conclusion 2 mois sans voiture et je vais bien évidement résilié les 6 contrats que j ai chez eux car j ai demandé un geste de leur part et que ca n est pas possible </t>
  </si>
  <si>
    <t>22/02/2018</t>
  </si>
  <si>
    <t>01/02/2018</t>
  </si>
  <si>
    <t>pauline-btn75-61603</t>
  </si>
  <si>
    <t>La pire mutuelle qui existe, j'ai envoyé 50 factures par fax par courrier ils ne recoivent rien ! Quand je vérifie les adresses avec eux par contre tout va pour le mieux ! Il y a des problèmes de partout : problème de connexion avec la sécurité sociale étudiante LMDE, ils m'envoient de service en service : résultat j'attend mes  remboursements 2016 et 2018 soit 1000 euros et je n'ai toujours rien !!!!!! Par contre je paye une tonne tous les mois ! BRAVO AXA, je veux mon argent et ciao !</t>
  </si>
  <si>
    <t>20/02/2018</t>
  </si>
  <si>
    <t>zoe-60563</t>
  </si>
  <si>
    <t>Je n'ai pas reçu mon avis d'échéance auto (01/01). Le 06/01 je le réclame par RAR reçu le 08 par AXA. Le 16/01 toujours pas d'avis d'échéance ni carte verte : que faut-il faire ?</t>
  </si>
  <si>
    <t>16/01/2018</t>
  </si>
  <si>
    <t>ltk-60043</t>
  </si>
  <si>
    <t xml:space="preserve">Voici ce qui m'est arrivé et la réponse : c'est de la faute des autres. Assistance à fuir
OBJET : Lettre de réclamation 
		Madame, monsieur 
par le présent courrier je tiens à vous formuler ma totale insatisfaction quant à votre service d’assistance.  En effet le 26 novembre 2017 je fais appel à ce service suite à un accident de la circulation dont je suis victime sur le XXX commune de XXX (02). 
Vers 13h00 – 13h30 je fais appel par le biais de mon portable à votre service. Un dépanneur m’est imposé, et il m’est indiqué qu’il ne sera sur place que dans environ une heure, étant donné qu’il est situé à REIMS (51). Il m’est également précisé qu’une solution de rapatriement est recherchée. 
Je suis recontacté par l’assistance qui m’annonce qu’aucune solution de location de véhicule n’est envisageable. Cependant il est possible de me rapatrier par le train. Un horaire m’est communiqué pour un trajet xxxxx – XXXXXX  via PARIS. 
Environ une  heure après le dépanneur arrive sur place. Il m’indique que mon véhicule est dans un fossé et qu’il va devoir procéder au treuillage, m’annonçant que cette opération est coûteuse et non pris en charge par mon assistance. Il me précise également qu’il doit aller récupérer un autre véhicule de dépannage, prolongeant de nouveau le délai d’intervention. 
Ce dépanneur me rappelle pour m’indiquer, après vérification,  que le montant du treuillage est d’environ 240€. Il me précise que le paiement doit se faire par chèque. N’ayant que ma carte bancaire je lui indique que cela n’est pas possible pour moi. De ce fait le dépanneur me dit qu’il va, après dépannage, me transporter jusque son garage pour me permettre de payer par CB. 
De ce fait, pensant me rendre sur la région de xxx, je rappelle l’assistance pour lui demander de modifier mon rapatriement de la gare de XXXX à celle de REIMS.  
Vers 15h00 (je ne sais plus exactement) mon véhicule est sorti du fossé. Je rejoins donc le garage et procède au règlement de 247€83 par carte bancaire. 
Un taxi m’amène à la gare de REIMS pour prendre un train à 17h14. J’arrive à 16h55 environ et me présente au guichet pour récupérer mon titre de transport. A ce moment là j’apprends que je ne suis pas à la bonne gare. Que mon train part de la gare de REIMS centre et que suis à la seconde gare de REIMS. J’apprends également qu’il n’est pas possible de faire le trajet en 15 minutes pour regagner cette fameuse seconde gare. 
Je fais donc appel de nouveau à l’assistance et lui indique la mésaventure dont je suis de nouveau victime. J’indique qu’il faut me trouver une solution pour je puisse rentrer chez moi. On me dit que l’on va de nouveau me réserver un nouveau billet. Finalement on m’indique les nouveaux horaires, en l’espèce 18h20 pour une arrivée à 21h16 à XXXXX. Donc 01h20 d’attente en gare de REIMS.  Je fais part de mon mécontentement et mon interlocutrice me répète à plusieurs reprises « C’EST COMME ÇA, JE NE PEUX RIEN FAIRE ». A ce jour j’attends toujours le code pour mon nouveau billet. Je trouve cela « scandaleux ». Je me suis débrouillé seul avec la SNCF pour pouvoir obtenir un nouveau titre de transport. 
CES nombreux dysfonctionnements ne sont pas à la hauteur que tout client peut attendre de son assistance. Mais ce n’est pas finit :
	N’ayant aucune nouvelle quant à mon véhicule AUDI TT  et notamment sur son lieu de remise, j’appelle de nouveau votre service, le 28 novembre 2017. On m’indique qu’il se trouve au « Garage XXXX à XXXXXX, 03.23.xxxxxx » ayant du mal à comprendre mon interlocuteur en raison de son accent prononcé, je dois lui faire répéter. 
 	Je prends donc contact avec le numéro communiqué. Je découvre que ce numéro n’est pas le bon. Je tombe sur un cabinet comptable, lequel me précise que ce n’est pas la première fois qu’il a ce genre d’appel !!!!!!!
Je décide alors de faire des recherches sur Internet pour trouver les coordonnées du garage xxxxx à xxxxx. Là je découvre qu’il n’existe pas !!!!!!!
	Je décide alors d’appeler tous les garages de xxxxxxx. Au final je découvre que mon véhicule se trouve au garage RENAULT, avenue d’Essomes à xxxxxx, tél : 03.23.xxxxx, chercher l’erreur !!!!!
CONCLUSION : La liste des multiples dysfonctionnements de votre service n’est pas exhaustive, je pense en avoir oublié. Cependant ils sont le reflet de prestations qui ne sont pas à la hauteur de l’image que vous souhaitez  diffuser de votre société. 
Je me considère en effet victime dans cette affaire. En premier lieu de la somme que j’ai dû régler (247€83), je pense que lorsqu’un client souscrit une assistance dans le cadre d’un contrat assurance automobile, il ne s’attend pas à devoir payer une telle somme sur un accident simple et courant de la circulation routière. Il n’y avait aucune difficulté à prendre en charge mon véhicule. Il a été sorti et pris en compte en moins de 10 minutes. Ensuite sur le suivi et les réponses qui m’ont été apportés, j’estime tout simplement qu’ils sont totalement nuls.  Ainsi que la qualité de dialogue de certains de mes interlocuteurs. En effet le ton employé, l’accent prononcé et la réponse « je ne peux rien faire » ne sont pas appropriés à la situation dans laquelle je me trouvais. 
Donc pour résumer j’ai perdu une journée complète. J’ai attendu dans le froid plusieurs heures sans pouvoir manger. J’ai subi une situation anxiogène, et tout cela pour la modique somme de 247€83 !!!! 
	Je souhaite que mes doléances soient prises en compte, que vous conceviez que la situation n’est pas normale et que le préjudice subi par conséquences est important. Au regard des éventuelles propositions de dédommagement que vous pourriez me soumettre,  je me réserve le droit d’engager une procédure à votre encontre. 
	Veuillez agréer, madame, monsieur mes sincères salutations. 
						A xxxx, le 29 novembre 2017 </t>
  </si>
  <si>
    <t>29/12/2017</t>
  </si>
  <si>
    <t>01/12/2017</t>
  </si>
  <si>
    <t>cactus98-49100</t>
  </si>
  <si>
    <t>Une hausse de prix étonnante alors que je n'ai pas eu d'accident responsable l'année dernière. Je change d'assurance ! Le service client est plutôt compétent. ça ne suffit pas malheureusement ...</t>
  </si>
  <si>
    <t>26/12/2017</t>
  </si>
  <si>
    <t>hbenidir-58810</t>
  </si>
  <si>
    <t>11 ans assuré, 0 sinistre déclaré, jusqu'en septembre coup en arrière sur parking, m'affiche dans un fichier de fraude à l'assurance, premier sinistre en 11 ans sur une voiture de 3000€</t>
  </si>
  <si>
    <t>14/11/2017</t>
  </si>
  <si>
    <t>pintjes-58537</t>
  </si>
  <si>
    <t>Très mauvais service, voir inexistant ! Contacts très désagrable. On ne se sent absolument pas prix en charge. Au contraire, on a toujours le sentiment qu'AXA essaie de se débiner des ses obligations.
Pour faire simple, deux petits accidents en droit et avec omnium: Axa n'a pas débourssé un centime... Et ne parlons pas du suivi...</t>
  </si>
  <si>
    <t>02/11/2017</t>
  </si>
  <si>
    <t>yette-58449</t>
  </si>
  <si>
    <t>satisfaite mais le dossier n'est pas fini à ce jour la réparation vient seulement de se faire</t>
  </si>
  <si>
    <t>28/10/2017</t>
  </si>
  <si>
    <t>wari13-58393</t>
  </si>
  <si>
    <t>Très déçu de AXA depuis des années chez AXA 2 voitures la maison et assurance des enfants jamais d'accident de voiture a chaque année il le prix ne fait q'augmenter, être un bon conducteur ne sert a rien ma femme à déjà partie de puits 1ans de chez AXA avec l'assurance habitation et les enfants et sa voiture y'a que ma voiture chez AXA mais dans pas longtemps je changerai moi aussi sa sert à rien de restes fidèle</t>
  </si>
  <si>
    <t>26/10/2017</t>
  </si>
  <si>
    <t>nanamisse-58345</t>
  </si>
  <si>
    <t>bien une bonne assurance qui repond à mes attentes je n ai aucun s souci avec eux sont tres performant juste les rdv un peu long du a mon manque de disponibilite</t>
  </si>
  <si>
    <t>25/10/2017</t>
  </si>
  <si>
    <t>assure-58290</t>
  </si>
  <si>
    <t xml:space="preserve">Je viens de recevoir mon appel à cotisation +45% d'augmentation.
Je suis allé voir mon conseiller qui ne peut m'en donner la raison Selon lui c'est le siège qui fait les tarifs...
De plus lorsque je lui demande un relevé d'information je vois noté en 2016 un accident matériel non responsable alors que c'était les conséquences de la grêle Sa réponse c'est pareil!
</t>
  </si>
  <si>
    <t>23/10/2017</t>
  </si>
  <si>
    <t>nico1977-58114</t>
  </si>
  <si>
    <t>Des bons à rien de mauvaise fois à fuir de toute urgence ! Un sinistre auto en stationnement et on vous traite de menteur. Quel regret d'avoir souscrit chez AXA. Résiliation des la première échéance. En 20 ans d'assurance ailleurs jamais aucun souci et un bonus presque max. Adieu AXA, et je ferai tout mon possible pour que tout mon entourage en fasse de même croyez moi.</t>
  </si>
  <si>
    <t>17/10/2017</t>
  </si>
  <si>
    <t>nianti-58097</t>
  </si>
  <si>
    <t>Cliente chez Axa, je suis couverte par la garantie Bris de glace (toit ouvrant inclus) j'ai eu un sinistre le 30 Août et visiblement ça fait depuis cette date qu'on attend (apparemment) l'avis de l'expert. Même après que ce dernier ait donne son avis et son rapport. Je pense plutôt que AXA est une très mauvaise assurance qui cherche à respecter son contrat un minimim tant qu'on paye comme des moutons tous les mois. Un conseil : FUYEZ CETTE ASSURANCE COMME LA PESTE</t>
  </si>
  <si>
    <t>16/10/2017</t>
  </si>
  <si>
    <t>fr-58036</t>
  </si>
  <si>
    <t xml:space="preserve">Cela fait 2 mois que j’attends la nomination d’un expert pour réparer mon véhicule ! C’est incompréhensible. Aprés 25 ans d’assurance dans cette companie, je vais devoir urgemment changer. </t>
  </si>
  <si>
    <t>13/10/2017</t>
  </si>
  <si>
    <t>optimiste-57820</t>
  </si>
  <si>
    <t xml:space="preserve">Je suis cliente Axa depuis 1995 : j'en ai toujours été très satisfaite ; en cas de problème, mon agent est toujours joignable y compris le week end ; en cas de modification dans mes contrats auto, tout est toujours rapide et clair et les prix sont avantageux. Franchement pour ma part j'ai un agent et sa secrétaire très impliqués et toujours de bons conseils. Ils font tout pour que les clients soient satisfaits. Mon fils va passer son permis et je vais lui recommander mon agence pour son assurance auto.  </t>
  </si>
  <si>
    <t>05/10/2017</t>
  </si>
  <si>
    <t>sipprod-57764</t>
  </si>
  <si>
    <t>Je regrette vraiment d'avoir souscrit une assurance auto chez eux. Ne faite surtout pas la même erreur.</t>
  </si>
  <si>
    <t>03/10/2017</t>
  </si>
  <si>
    <t>laugabrielle-57455</t>
  </si>
  <si>
    <t xml:space="preserve">Payant 200€ euros par mois depuis 2 ans. Je dis changer mon pare brise et on m'a accusé de mensonge devant toute la clientèle de l'agence. Un gérant hautain qui vous regarde de haut et pense qu'à son argent. 
Agence **** à *** à fuire !!! </t>
  </si>
  <si>
    <t>19/09/2017</t>
  </si>
  <si>
    <t>lo265-57125</t>
  </si>
  <si>
    <t xml:space="preserve">assurance très très correct assez bonne dans l'ensemble avec des + et des - ...
assez convaincante pour négocier les prix et a l'écoute de ces interlocuteurs  très correct assurance </t>
  </si>
  <si>
    <t>05/09/2017</t>
  </si>
  <si>
    <t>freem-55519</t>
  </si>
  <si>
    <t>Je suis client axa jolivet Limoges depuis plus 1an avec ass scolaire 3 a enfin et habitation lorsque je demenageais j ai effectué mon changement d'adresse d'une ville de campagne pour Limoges 3Mois avant le renouvellement mon assureur ne m'a jamais parlé de l'augmentation qui passe du simple au 76euros. En adressant par mail un avenant et me demande de le signer, j ai refuser de signer celui-ci.</t>
  </si>
  <si>
    <t>20/06/2017</t>
  </si>
  <si>
    <t>01/06/2017</t>
  </si>
  <si>
    <t>fred-55501</t>
  </si>
  <si>
    <t>Je suis client axa jolivet Limoges depuis plus 1an avec ass scolaire 3  a enfin et habitation lorsque je demenageais j ai effectué mon  changement d'adresse d'une ville de campagne pour Limoges 3Mois avant le renouvellement mon  assureur ne m'a jamais parlé de l'augmentation qui passe du simple au  76euros. En adressant par mail un avenant et me demande de le signer, j ai refuser de signer celui-ci.</t>
  </si>
  <si>
    <t>emeliia-55333</t>
  </si>
  <si>
    <t>accident le 13 avril en droit bien sur vieille voiture!!!!! bonne pour la casse nous avons dû nous occuper nous mêmes des contacts avec l'expert, contact avec la casse pour prendre le véhicule . Surprise de ne pas avoir de remboursement appels fréquents à l'agence pas de réponse enfin une réponse, nous postons votre chèque ce vendredi 9 juin!!!rien!!!visite à l'agence ce n'est pas nous c'est le centre de Nanterre!!!! vous l'aurez courant cette semaine!!!!! enfin!!!espérons!!!!!</t>
  </si>
  <si>
    <t>13/06/2017</t>
  </si>
  <si>
    <t>jeanro-55252</t>
  </si>
  <si>
    <t>Attention, Axa France internet n'assure pas les remorque de plus de 750kg. Evitez de souscrire sur internet, rendez vous chez un agent axa vous n'aurez pas de problème. Si par malheur vous en avez , vous pourrez lui tordre le coup en live lol !!!</t>
  </si>
  <si>
    <t>09/06/2017</t>
  </si>
  <si>
    <t>sweety442-55237</t>
  </si>
  <si>
    <t>UNE SEMAINE que j attend votre rappel pour réparer ma voiture, axa est incompétent et dangereux en tant qu assureur.
J’ai été assisté en plus de 2h30, appel à l’assistance à 17h40 arrivé au garage à 20h30, le lendemain pour avoir une voiture de location option monospace non respectée plus de 3 h d’attente chez le loueur.</t>
  </si>
  <si>
    <t>dreojo-54369</t>
  </si>
  <si>
    <t xml:space="preserve">un des seuls assureurs a pouvoir augmenter ses prix d'une annee sur l'autre de 52 % et oui , vous avez bien lu : 52 % !!! et pourtant sans changement de garantie . c'est honteux 
</t>
  </si>
  <si>
    <t>28/04/2017</t>
  </si>
  <si>
    <t>01/04/2017</t>
  </si>
  <si>
    <t>camille-53234</t>
  </si>
  <si>
    <t xml:space="preserve">avec axa, la chasse aux pigeons est ouverte à l'année! prix prohibitifs, conseillers hautains au possible, parcours du combattant en cas de sinistres et remboursements minorés. On comprends mieux que l'entreprise se porte si bien. </t>
  </si>
  <si>
    <t>13/03/2017</t>
  </si>
  <si>
    <t>01/03/2017</t>
  </si>
  <si>
    <t>axalor-52734</t>
  </si>
  <si>
    <t>A fuir en cas de sinistre en Europe! Depuis le 22/11/2016 j'attends la bonne résolution d'un sinistre lors duquel un automobiliste belge a embouti ma voiture avec son attache-caravane en faisant marche arrière...). 1/Plusieurs relances pour avoir un rdv d'expertise qui a eu lieu plus de 15 jours après et depuis des échanges téléphoniques/mails car le Département des règlements internationaux ne parvient à défendre ses assurés. Cerise sur le gâteau :-(, il m'a été conseillé de demander un Relevé d'Information, reçu ce jour et je constate 100% Responsable!!!!? Mon mécontentement est à son paroxysme...A suivre... la qualité du service réclamation maintenant...Je donnerais mon avis</t>
  </si>
  <si>
    <t>24/02/2017</t>
  </si>
  <si>
    <t>Bon niveau de prix. Par contre, site web qui fonctionne jamais (envoie d'email, paiement de cotisation, demande d'attestation d'assurance). Le site web est simplement catastrophique. Je vais changer d'assurance uniquement pour ca</t>
  </si>
  <si>
    <t>19/02/2017</t>
  </si>
  <si>
    <t>doudy-52295</t>
  </si>
  <si>
    <t xml:space="preserve">1 an que je suis assurée chez Axa et franchement très deçu du prix a payer pour une vieille voiture  </t>
  </si>
  <si>
    <t>10/02/2017</t>
  </si>
  <si>
    <t>banin-52039</t>
  </si>
  <si>
    <t>Service correcte et rapide</t>
  </si>
  <si>
    <t>04/02/2017</t>
  </si>
  <si>
    <t>gael00-51868</t>
  </si>
  <si>
    <t>Tres mécontent de cette assurance qui classe les dossiers sans prendre en compte les mails et les photos en cas de litige il vous considéré responsable vous fait payer et vous enfonce avec leurs malus. 
En terme d assurance ne venez pas chez eux</t>
  </si>
  <si>
    <t>31/01/2017</t>
  </si>
  <si>
    <t>tamalou-51339</t>
  </si>
  <si>
    <t>A fuir comme la peste. Utilise des prétextes fallacieux pour ne pas indemniser en cas de sinistre</t>
  </si>
  <si>
    <t>16/01/2017</t>
  </si>
  <si>
    <t>cnstance-50614</t>
  </si>
  <si>
    <t xml:space="preserve">Je suis plus que insatisfaite de l'assurance axa pendant des années j'ai pris toutes mes assurances chez eux pour au final n'avoir en face de moi que des assureur imbus de leur personne non professionnels, aucune écoute, aucune prise en charge des dossiers me demandant limite de faire le travail à leur place et ce permettant de mal parler aux clients !! 
Des contrats à des prix exorbitants pour très peu de garanties au final. Je ne recommande absolument pas les assurances axa </t>
  </si>
  <si>
    <t>23/12/2016</t>
  </si>
  <si>
    <t>aline-50609</t>
  </si>
  <si>
    <t xml:space="preserve">Bonjour
Je voulais vous faire part de ma très mauvaise expérience chez AXA.
En effet, client chez AXA nous avons énormément de soucis de remboursement.
Je suis en arrêt maladie depuis 7 mois causé par des hernies discales et AXA fait tout pour éviter de me rembourser mon crédit auto.
Nous avons envoyé des dizaines de mails avec à chaque fois les mêmes documents nous constatons une mauvaise foi de leur part ils vont même jusqu'à dire qu'on falsifie des documents du médecin.. nous sommes dans une situation penible et nous nous sentons insulté par cette entreprise qui est censé être un symbole de réussite Française.
Chaque conseiller à une autre version tout est mis en œuvre pour éviter le remboursement.
Très très en colère contre AXA car cela dure depuis des mois.
</t>
  </si>
  <si>
    <t>eta-50431</t>
  </si>
  <si>
    <t xml:space="preserve">A deux reprises on ma envoyer un huissier alors que j'avais payé l’assurance auto. Pas a l’écoute du client, J'ai voulu changer d'agent, pas de réponse de la part d'Axa, même avec une lettre recommandé.
</t>
  </si>
  <si>
    <t>18/12/2016</t>
  </si>
  <si>
    <t>goldwing41-49932</t>
  </si>
  <si>
    <t>victime d'une panne de batterie de Moto dans le Medoc donc nous sommes bien en France (montalivet) je contact l'assistance pour trouver une solution, car pousser une moto de 400 kg n'est pas chose facile... et là decouverte ou stupeur le dépannage n'est que de 150 euros donc personne ne désire venir me dépanner sauf avec paiement du complément de ma part ! il y a un BAC pour rejoindre le concessionnaire Honda à Royan, pas possible car le bateau n'est pas pris en charge...donc je reste sur l ebord de la route et trouve un logement chez des copains. le lendemain le dépanneur a juste mis les câbles pour démarrer et je me suis taper le voyage a mes frais y compris le bateau le repas du midi et du soir et le retour pour faire changer la batterie....donc petite journée sympathique avec mon épouse !!!!</t>
  </si>
  <si>
    <t>05/12/2016</t>
  </si>
  <si>
    <t>cali-139378</t>
  </si>
  <si>
    <t>Ceci est mon avis qui a été écrit suite à mon expérience personnelle et ne peut être donc être le vrai reflet de MAAF de façon générale aussi ceci est entre guillemets car il est la reflection de mon ressenti personnel. “Manque de professionnalisme, ne suivent pas vraiment les affaires et omettent de vous tenir au courant si vous avez un sinistre ie comme un accident sur la voie publique du à des plaques de métal non conforme. 6 mois sans nouvelles de mon conseiller qui aujourd’hui me contacte et me fait comprendre que je dois me dépatouiller toute seule”</t>
  </si>
  <si>
    <t>MAAF</t>
  </si>
  <si>
    <t>10/11/2021</t>
  </si>
  <si>
    <t>mama1512-138138</t>
  </si>
  <si>
    <t xml:space="preserve">Nous avons changé d'assureur au mois de mars, voitures, maisons, assurances scolaires, etc....
En septembre nous informons l'assurance que mon mari désigné comme second conducteur sur les 2 voitures (Mr avait un véhicule de fonction) à une annulation de son permis pour défauts de points (pas d'alcoolémie ni rien d'aggravant), ce sont des choses qui peuvent arriver à tout le monde lorsque l'on conduit beaucoup professionnellement. 
La conseillère m'a rappelé en me disant qu'ils vont m'infliger une surprime sur mes assurances. Chose que je ne comprends absolument pas. Une échéance est passée d'environ  40 euros à plus de 150 euros, je n'ai pas laissé ce véhicule assuré chez eux vu que le véhicule y était depuis peu, par contre je n'ai pas le choix que de laisser mes autres contrats. Tout ça en me disant que l'on me fait une fleur car normalement l'assurance pourrait me résilier tous mes contrats alors que ces contrats sont justement tous à mon nom et non au nom de mon époux, ainsi que les cartes grises des véhicules. 
Ils sont forts pour nous amener à changer toutes nos assurances pour venir chez eux mais après il n'y a plus personne, on nous traite comme des moins que rien. Extrêmement déçu je n'ai jamais eu de problème avec mes anciennes assurances. Dès que je peux mettre un terme à tous mes contrats je vais le faire sans hésitation, je n'ai plus du tout confiance en cette assurance et encore je ne vous ai pas parlé du montant des prélèvements avant cette histoire augmenté de 30 euros comme par magie! 
C'est inadmissible de traiter les clients de cette façon...Assurance à fuir! 
</t>
  </si>
  <si>
    <t>23/10/2021</t>
  </si>
  <si>
    <t>vb-131385</t>
  </si>
  <si>
    <t xml:space="preserve">25  année  dans cette assurance Jai eut en 2020 1retro  HS  1 un bris de glace par brise
      2021 une tôlerie  radier a la fin de l'année 2021 on a toutes les assurance chez MAAF maison voiture assurance vie  bien  on va partir alors </t>
  </si>
  <si>
    <t>05/09/2021</t>
  </si>
  <si>
    <t>fredlaet-130445</t>
  </si>
  <si>
    <t xml:space="preserve">Bonjour
nous avons eu 3 accidents non responsable.
le jour ou j ai remplacé mon véhicule soit le 26 aout 2021, la MAAF a refusé de m assurer.
client chez eux depuis plus de 10 ans, ils n ont même pas voulu me donner une assurance provisoire pour que je récupère mon nouveau véhicule.
" débrouillez vous à trouver un autre assureur " a 17 heure le soir.
Depuis je cherche à resilier mon ancien véhicule mais ils font la soude d oreille.
J ai pourtant envoyé un email ,ils ont accusé réception, mais pas de nouvelle.
tant qu' il ne se passe rien ils sont super, le jour ou vous avez un problème il n y a plus personne
depuis j ai trouvé un autre assureur et en plus moins chère 
Reste à resilier mon ancienne voiture et je vais aussi resilier habitation ,scolaire, scooter....
MERCI LA MAAF !!!!!!!
 </t>
  </si>
  <si>
    <t>31/08/2021</t>
  </si>
  <si>
    <t>01/08/2021</t>
  </si>
  <si>
    <t>benjamin-128408</t>
  </si>
  <si>
    <t>Accident de voiture le 17 juillet. Nous sommes le 17 aoput et j'en suis toujours au même point, c'est-à-dire nulle part!
- Envoi des photos via leur logiciel à l'expert, accusé de bonne réception bien reçu. 1 semaine plus tard, et après les avoir recontacté car rien ne bougeait : ah bah en fait non, les photos ne jamais arrivées, soit disant un bug informatique (ben voyons)
- RDV au garage pour qu'ils prennent eux mêmes les photos : ah bah en fait l'expert ne peut pas estimer le coût des dégâts avec ces photos, faut ramener la voiture au garage pour qu'il passe l'examiner lui même
- Bien sûr il faut se déplacer en agence ou appeler, sinon la situation n'avance pas et personne ne semble s'en soucier. Après appel au garage puis à l'expert, ils ne sont pas d'accord entre eux. Enième appel à l'agence pour apprendre que le dossier est parti en contentieux au siège social. Nouvel appel, le dossier passe prioritaire. 
Et voilà, toujours rien. 
J'envisage maintenant de recourir à une association de consommateurs et résilier mes 2 contrats auto et habitation de la MAAF. Pas sûr de toute façon qu'ils s'en aperçoivent vu qu'en tant que sinistré, on semble bien transparent...</t>
  </si>
  <si>
    <t>17/08/2021</t>
  </si>
  <si>
    <t>lulu-127441</t>
  </si>
  <si>
    <t xml:space="preserve">Bonsoir, 
Depuis 20 ans chez cet assureur avec un bonus à 0,50 et sous prétexte que j’ai eu un sinistre dans lequel j étais responsable et 2 sinistres non responsaBle, je suis radiée ??
Quelle galère! </t>
  </si>
  <si>
    <t>10/08/2021</t>
  </si>
  <si>
    <t>marc02-126657</t>
  </si>
  <si>
    <t>Suite a un violent orage de grele dans le sud de l aisne ma voiture une 308 hdi de 2012  135000klm a été très endommagé 
Cote 5000 € par l expert  6200 €  de réparation  d après son expertise  voiture reparable mais pas économiquement 
Donc epave que conservé pour la faire réparer la maaf m a déduit 650 € d epave et 300 € de franchise j ai  4050 € aucune négociation possible du genre pièces d occasions
Un carrossier agréé m a fait un devis pour 2900 €  j ai posé le question a la maaf sur un tel eccart de prix  Pas de réponse ??</t>
  </si>
  <si>
    <t>09/08/2021</t>
  </si>
  <si>
    <t>vincent-36565</t>
  </si>
  <si>
    <t>Bonjour à tous, j’aimerais vous faire part de mon horrible expérience à la MAAF. Ne faites pas attention au spot tv, c’est mensonger, il y a moins chere ailleurs et les employés sont très très froid … enfin, pas au debut. Quand tu pousse la porte pour la première fois, c’est grand sourire de la directrice (ivry sur seine dans mon cas), ton rassurant. Début 2015, conducteur depuis 1 an, on vous propose des prix correct. Puis les années passent, et en 5 ans à la MAAF, j’ai eu: 1 vitre avant droite cassé par vandalisme (2018), un phare avant briser par un caillou en roulant (2019) (pour le moment, non responsable), un ami qui conduit la voiture raye 5 centimètres de peinture d’un autre véhicule (faute de mon ami, responsable), avril 2019. Pour éviter les ennuis avec MAAF, je leur dit qu’il n’y a pas besoin de faire venir un expert (car payant pour la MAAF), que je ne ferai pas repeindre les deux quelques centimètres de taule (également payant pour la MAAF) … mon ami vient en Agence avec moi et ramène son permis, la directrice en fait une photocopie puis a partir de là, debut du guet apen de MAAF assurance. Ils me disent que pour commencer, ils vont me malusser de 20% (de 0,70 à 0,90) donc je reste toujours en bonus mais de 10% … allez soit, je me dit que c’est leur politique pour punir ceux qui utilisent leur contrat tout risque en responsable. Le sinistre responsable s’est donc passé en Avril 2019 … puis plus rien, je paye mes cotisations normalement jusqu’à juillet 2020 où je reçois un appel en catastrophe de la directrice de ivry sur seine (face à la Mairie) en me disant que j’allais être résilié et que je devais partir ailleurs ! Plus d’un an après le sinistre responsable et du malus mensuel et (5 centimètres de taule rayé). Incompréhensible, la MAAF fait le ménage dans ses clients les moins rentables, et c’est comme ça chaque année. Au départ je refuse de résilier et on menace en me disant « si vous refuser de résilier, on vous met sur la liste noire des assurances », une liste consultable par toutes les assurances françaises vous classant comme chauffard. J’ai du résilier avec dégoût de MAAF. Fuyez cette horreur</t>
  </si>
  <si>
    <t>18/07/2021</t>
  </si>
  <si>
    <t>piscou80-122303</t>
  </si>
  <si>
    <t>Après plus de 30 ans de fidélité ou j'ai tout mes contrats il me téléphone pour m'annoncer qu'il résilie mon assurance auto au 31/12/21 car j'ai eut 2 sinistre dont un responsable et 1 non responsable et que matériel.
Inadmissible.
REYNALD DIEU</t>
  </si>
  <si>
    <t>04/07/2021</t>
  </si>
  <si>
    <t>dom36-122066</t>
  </si>
  <si>
    <t xml:space="preserve">Pas les moins cher,mais très efficaces, rien à dire  pour le reste ,client depuis 20 ans, 4 voitures, 2 maisons,une mutuelle santé, 12 contrats chez eux, des réponses et des actes généralement sous 24h , quelqu'un au téléphone et à l'agence,des rendez-vous facile et rapide,pour le service ils présents  </t>
  </si>
  <si>
    <t>caro-121858</t>
  </si>
  <si>
    <t>Après deux accidents qui n’ont pas été de ma faute et étant assurée tous risques, ce cher groupe se permet quand même de mettre fin à mon contrat, vous trouvez ça normal au prix ou sont les cotisations….
Dans quelle société vivons nous ?
On n’a jamais rencontré de problème comme ça avec les anciennes assurances ….
Mais maintenant ceux sont de gros groupes et bien sûr il y a que le fric qui compte.
Par contre pour proposer des options avec un surplus de cotisation , ils sont numéro 1</t>
  </si>
  <si>
    <t>30/06/2021</t>
  </si>
  <si>
    <t>sdefrance-118059</t>
  </si>
  <si>
    <t>Nous sommes assurés à la Matmut, une tierce personne assurée à la MAAF est rentré dans notre mur d'habitation en voiture au mois de janvier 2021, tous les experts sont passés et on chiffrer les dommages, cependant l'assureur MAAF n'a toujours pas indemnisé notre assureur,  une honte... il utilise tous les recours pour ne pas rembourser, malgré les nombreuses relances qui ont été effectués par la Matmut, 
Quel intérêt pour eux de faire traîner l'indemnisation et quelle image pour cet assureur... ??</t>
  </si>
  <si>
    <t>24/06/2021</t>
  </si>
  <si>
    <t>gillou-113221</t>
  </si>
  <si>
    <t>Employée au téléphone: vindicative, agressive, menaçante. N'écoute pas, couvre mes paroles par ses vociférations. Je ne téléphonerai plus à la MAAF, de peur de retomber sur cette personne qui, à mon avis, n'a rien à faire à cette place.</t>
  </si>
  <si>
    <t>10/05/2021</t>
  </si>
  <si>
    <t>titi60-112826</t>
  </si>
  <si>
    <t>Bonjour
Je téléphone au 3015 pour signaler que je désirerai reprendre 2 contrats à mon nom alors qu'au départ ils étaient au nom de ma compagne...bref , je suis tombé sur une opératrice pas très aimable avec un ton de voix très sec. La conversation n'a pas abouti je lui ai fait part que le ton employé était fort désagréable aucune pédagogie de ce fait je lui  parlé comme elle se permettait de le faire...  Je dis Bravo l'accueil MAAF. J'ai passé l'âge d'être à l'école et j'essaie de comprendre si la personne en face me l'explique correctement et amabilité  là c'est pas le cas franchement je suis très très déçu de la MAAF.  Je dis à la MAAF si cette personne ne s'épanouie dans son travail qu'elle fasse autre chose, dans certains secteurs ils sont en recherchent de personnels...... Un assuré bien mécontent et qui n'est pas simplement qu'un numéro de dossier........</t>
  </si>
  <si>
    <t>fab-112264</t>
  </si>
  <si>
    <t xml:space="preserve">Leur devise avec maaf zéro tracas ça c est valable pour payer sa cotisation par contre le jour où tu as un problème même non responsable leur devise devient demmerde toi tout seul pour tout. </t>
  </si>
  <si>
    <t>30/04/2021</t>
  </si>
  <si>
    <t>saras-108180</t>
  </si>
  <si>
    <t>Nul  .15 ans chez eux jamais eu d accident responsable. Pour avoir eu bris de glace  veulent plus assurer le pire c est que je n'ai même pas encore réparer ma voiture. Vraiment a fuir</t>
  </si>
  <si>
    <t>26/03/2021</t>
  </si>
  <si>
    <t>nko-107714</t>
  </si>
  <si>
    <t>Très déçu.
Le tarif a payer ne correspond pas au devis fait ni au contrat d'ailleurs. 
Je paie 70 euros de plus que prévu à l'année et pas d'explications valables.
1 mois que j'attends ma carte verte malgré 2 appels. 
Lamentable, je pars dès que je peux...</t>
  </si>
  <si>
    <t>23/03/2021</t>
  </si>
  <si>
    <t>yves35-106939</t>
  </si>
  <si>
    <t>Je n'ai eu qu'un seul incident qui a été pris en charge à 100% par la MAAF; donc rien à redire , mais je conçois que mon expérience est, de fait,  assez réduite.</t>
  </si>
  <si>
    <t>17/03/2021</t>
  </si>
  <si>
    <t>chevre57-106332</t>
  </si>
  <si>
    <t>très bonne assurance, accueil sympathique de la part des conseillers, aucun problème pour la prise en charge des remboursements qui se font directement auprès du réparateur, je conseille vivement cette mutuelle d'assurance.</t>
  </si>
  <si>
    <t>12/03/2021</t>
  </si>
  <si>
    <t>bernard6907-105834</t>
  </si>
  <si>
    <t xml:space="preserve">Bonjour,
Client depuis 22 ans, je n'ai que des satisfactions avec la MAAF.
La semaine dernière j'ai appelé pour apporter une modification sur un contrat auto, et du même coup j'ai eu une réduction sur mon autre contrat auto.
Ce qui fait que j'arrive à être assuré pour un tarif tout à fait raisonnable. 
Il est vrai également que je n'ai pratiquement jamais de sinistre.
Pleinement satisfait de la MAAF
</t>
  </si>
  <si>
    <t>08/03/2021</t>
  </si>
  <si>
    <t>jean-michel-105239</t>
  </si>
  <si>
    <t xml:space="preserve">Se méfier plusieurs année à la MAAF avec le bonus MAAF à vie!!! Un sanglier (même pas fautif) et bien sûr prouvé et avéré... aucune considération car j ai plusieurs contrat chez eux... 5 mois et le sinistre n’est tjs pas réglé. Bon pour payer mais aucune humanité en retour... je suis déçu à méditer malgré le prix attractif </t>
  </si>
  <si>
    <t>03/03/2021</t>
  </si>
  <si>
    <t>lilou--104110</t>
  </si>
  <si>
    <t>Personnel qui a aucun sérieux fixe des rdv incapable de respecter et vous demande de partir car ils sont trop prece d'être en week-end. 
Sans oublier il vous resile lorsque vous avez trop de sinistre bien que vous êtes à jour dans vos règlements sous prétexte que vous êtes mas rentable.
Je le déconseille fortement surtout celle de St ouen 93400 garibaldi.</t>
  </si>
  <si>
    <t>13/02/2021</t>
  </si>
  <si>
    <t>ludo-104076</t>
  </si>
  <si>
    <t>J ai eu recours plusieurs fois à mon assurance et cette dernière a toujours été présente. Auto, habitation...
remboursement, aide en cas de sinistre,  et prix correct</t>
  </si>
  <si>
    <t>12/02/2021</t>
  </si>
  <si>
    <t>pascal-102965</t>
  </si>
  <si>
    <t xml:space="preserve">35 ans a la maaf 5 contrat 1 léger accrochage seul en 2016 et 1 vandalisme en 2019 et on ne veux plus masure jais calculer je leur et donner 50 mille euros en 30 ans   super la maaf et en plus de mauvaise foie </t>
  </si>
  <si>
    <t>20/01/2021</t>
  </si>
  <si>
    <t>fly5-102395</t>
  </si>
  <si>
    <t xml:space="preserve">Très bonnes qualités de service en cas de sinistre. Très réactif et bon niveau d'indemnisation. Plate-forme téléphonique rapide à prendre en charge les appels, interlocuteur aimable et professionnel, bonne écoute des besoins et réponses apportées adaptées. Je recommande la MAAF. 2 véhicules et 6 immeubles assurés. </t>
  </si>
  <si>
    <t>09/01/2021</t>
  </si>
  <si>
    <t>r-102122</t>
  </si>
  <si>
    <t>pas compétent et quoi qu'il arrive ils trouve toujours la fail pour ne rien débourser en cas d'accident.Jai eu un accident a mon domicil (trottinette)et aucune prise en charge de leur part car il trouve toujour pour se desangager</t>
  </si>
  <si>
    <t>04/01/2021</t>
  </si>
  <si>
    <t>o-102073</t>
  </si>
  <si>
    <t xml:space="preserve">J'aurai préféré donné 0 étoile à la maaf "Mauvaise Assurance Agréé Française". Des correspondants de piètre qualité autant par téléphone qu'en agence, même avec rdv.
Nullissime dans la gestion de vos contrats. </t>
  </si>
  <si>
    <t>fabienne-101991</t>
  </si>
  <si>
    <t xml:space="preserve">J’ai eu un accident dans lequel je peux prouver qu’il y a eu un abus de priorité mais là maaf ne défend pas mon dossier. Elle ne défend pas mon dossier. Le préjudice est minime mais je ne veux pas accepter que l’on m’impute 50% de ma responsabilité </t>
  </si>
  <si>
    <t>30/12/2020</t>
  </si>
  <si>
    <t>momo-101840</t>
  </si>
  <si>
    <t>Suite à un changement de véhicule le 10 décembre j'ai téléphoné a la MAAF et l'on m'a dit que les documents seraient transmis par mail.
A la place de la carte verte on me transmet un simple courrier stipulant les garanties du véhicule.
Je rappelle et obtient après une attente de 20mn la réponse : "pas de carte verte par mail le courrier est un justificatif. Pas de problème si contrôle des gendarmes.  
10 jours après rien dans ma boite aux lettres. je rappelle et même réponse.
Je demande un duplicata sur le site le 17 décembre.
Rien reçu le le 21/12 et je redemande un duplicata. Reçu ce jour le 24/12. JOYEUX NOËL!!!!Sauf que la carte verte n'est valable qu'à partir du 1/01/2021. Incroyable hein. Mais vrai.
J'avais tenté d'aller en Agence mais c'est uniquement sur RV</t>
  </si>
  <si>
    <t>becassine-101669</t>
  </si>
  <si>
    <t>bonjour, problème pour payer en ligne
je pensait avoir une diminution exceptionnel car avec le confinement, je n est pas roulé plusieurs mois
 les avantage sont uniquement pour vous , mais pas pour les très bons clients
j'attends une réponse rapide de votre part et d'agir comme vos confrères qui sont plus correct pour certain
monsieur, mes salutations respectueuses</t>
  </si>
  <si>
    <t>19/12/2020</t>
  </si>
  <si>
    <t>youyou-101525</t>
  </si>
  <si>
    <t>Assurance qui te vire alors que depuis 2016 qu un sinistre merci  ...,.................................................................................</t>
  </si>
  <si>
    <t>16/12/2020</t>
  </si>
  <si>
    <t>bella-101069</t>
  </si>
  <si>
    <t>J ai pu négocier une réduction sur mon contrat voiture  et bien je paie tout de même plus cher que l année  2020
Je suis très pénalisée  suite à 1 déclaration  responsable. Mais 2 autres où je n y étais pour rien
Je pensais mettre une assurance moto. Je vais voir ailleurs</t>
  </si>
  <si>
    <t>esther-96977</t>
  </si>
  <si>
    <t>Les avis postés sur cet assureur me conforte dans ma dernière expérience. Je suis cliente de la Maaf depuis plus de 30 ans. Suite à un accrochage en octobre dernier, aucun constat n'ayant pu être fait, je suis déclarée responsable à 100%. Pour éviter un malus, la personne en charge du dossier à la Maaf m'encourage à ne pas faire les réparations sur mon véhicule, assuré tout risque. A ce jour la partie adverse n'a toujours rien déclaré mais un malus vient d'être appliqué sur mon contrat malgré les affirmations de mon interlocuteur, que j'avais eu plusieurs fois entre le 4 et 5 octobre et qui m'avait confirmé après vérification que le dossier était bien classé en attente pour que le malus ne soit pas appliqué, elle m'avait d'ailleurs demandé de lui envoyer un mail confirmant que nous nous engagions à ne pas faire effectuer de réparations. Impossible de joindre un responsable sinistre. Cet assureur est non seulement incompétent dans sa relation clientèle mais également dans les conseils prodigués par ses salariés.</t>
  </si>
  <si>
    <t>barbarabo-27119</t>
  </si>
  <si>
    <t xml:space="preserve">Client depuis 20 ans, sans accident, Bonus 50% depuis + de 10 ans, et bonus lauréat. J'ai eu le toupet de leur demander, suite à quasi immobilisation de mon véhicule (Confinement imposé suite au Covid19, une petite ristourne sur mon échéance.(Alors que certaines Compagnies l'ont fait d'office). = CHANTAGE : "oui, mais si vous augmentez la couverture de votre Police Habitation". Messieurs, ce ne sera ni l'autre, ni l'autre, je vais voir Ailleurs !   </t>
  </si>
  <si>
    <t>kiki1924-100933</t>
  </si>
  <si>
    <t>Augmenter le prix de l'assurance de ma Toyota Aygo, qui n'a pratiquement pas roulée, alors que nous sommes toujours en pandémie est vraiment injuste.
Je précise que plusieurs compagnie d'assurance, la MAIF par exemple, ont proposées un avoir à leurs sociétaires.
C'est pour cette raison que j'ai demandé de transformer le contrat de tous risques au tiers.</t>
  </si>
  <si>
    <t>ol-100629</t>
  </si>
  <si>
    <t>contrat auto
Certes très rapide pour vous faire un devis et encaisser votre cotisation.
Mais très rapide aussi pour augmenter la cotisation: chez MAAF, le contrat auto repart au début janvier. Donc, la méthode est simple: MAAF vous propose un contrat attractif à x euros pour une voiture achetée en septembre 2020 par exemple. Mais en novembre vous recevez l'appel de cotisation pour l'année 2021 à x euros + une belle augmentation (+ 50€ dans mon cas). Peut- être est- ce un cadeau de bienvenue, juste pour vous remercier d'être venus chez MAAF deux mois plus tôt et vous féliciter au passage de ne pas avoir eu de sinistre...
Très lent pour vous rappeler au téléphone- on attend encore
Très lent pour vous répondre par mail- on attend encore
Alors fatigué de ces méthodes, j'attends maintenant la date anniversaire du contrat pour changer ...</t>
  </si>
  <si>
    <t>26/11/2020</t>
  </si>
  <si>
    <t>cilou--100462</t>
  </si>
  <si>
    <t xml:space="preserve">J étais assuré à la maaf pendant 3 ans, j avai besoin d'une mutuelle la maaf m a vendu une mutuelle Fantôme !!!!
C est inadmissible de se moquer royalement d un assuré. Je déconseille fortement de s assurer chez eux. Ce sont des menteurs a des fins commerciales. </t>
  </si>
  <si>
    <t>herisson83-49535</t>
  </si>
  <si>
    <t>Que MAAF n'ait pas répercuté les bénéfices faits pendant les confinements contrairement à  d'autres assurances est une faute!
Les trop fidèles clients n'y gagnent pas, malgré le bonus max à vie.</t>
  </si>
  <si>
    <t>21/11/2020</t>
  </si>
  <si>
    <t>milan-daniel-100293</t>
  </si>
  <si>
    <t xml:space="preserve">Bonjour 
Après avoir consulté un site comparateur d'assurance e après avoir renseigné toutes les coordonnées le site MAFF en ligne m'a indiqué un tarif pour mon véhicule de 483 euros ,,,,,pour une assurance tous risques 
Je viens de recevoir mon échéance pour le même véhicule que celui que j'avais indiqué sur le comparateur et malgré un bonis supplémentaire de 6% le cout est de 614 euros 
Contactez le correspondant MAFF m'a expliqué que dans mon contrat j'avais en + quelques options supplémentaires notamment au niveau des franchises et d'une garantie supplémentaire de 1 million en cas de dommages physiques aulique des 500.000 euros dans la. proposition du comparateur 
J'ai demandé qu'on me fasse une proposition en mettant ce montant  dans mon contrat actuel celui des 614 euros ,ce qui semblerait impossible 
En finalité je trouve que votre offre sur internet /comparateur est assez tronquée ou le réel que je paie est assez chère ,voir peut concurrentielle surtout pur un contrat de moins de 8000 kilométrés annuels surtout que je fais moins de 4000 kilomètres par an 
Voici le bilan que je tire de cette procédure 
Cordialement 
MILAN Daniel  </t>
  </si>
  <si>
    <t>19/11/2020</t>
  </si>
  <si>
    <t>riri-100147</t>
  </si>
  <si>
    <t>Pour 2021cinq pour cent sur mon assurance voiture merci la MAAF!!! sachant que nous avons eu 3 mois de confinement il y a eu forcément moins d'accident.</t>
  </si>
  <si>
    <t>paul-tv-100061</t>
  </si>
  <si>
    <t>Les tarifs sont toujours en nette augmentation sans raison. Je me demande où ils vont chercher que les tarifs n augmentent pas (je suis client depuis 30 ans, bonus maxi, bon conducteur, aucun sinistre responsable depuis 30 ans, etc...)</t>
  </si>
  <si>
    <t>13/11/2020</t>
  </si>
  <si>
    <t>zohir51-99962</t>
  </si>
  <si>
    <t xml:space="preserve">Après 10 ans chez MAAF où ils ont pris mon argent sans que j'ai eu un accident, il a suffit de 2 accidents responsable pour que l'on me vire. Aucune reconnaissance de cette assurance pour la fidélité d'ailleurs tout nos autres contrats je vais en retirer </t>
  </si>
  <si>
    <t>10/11/2020</t>
  </si>
  <si>
    <t>supermaman99--99832</t>
  </si>
  <si>
    <t>Dans l'ensemble je n'ai jamais eu de soucis, j'ai dû parfois insister, chacune de mes demandes a été entendue et je dois dire que je suis plutôt satisfaite.</t>
  </si>
  <si>
    <t>07/11/2020</t>
  </si>
  <si>
    <t>jcm-99659</t>
  </si>
  <si>
    <t>Pas dû apprécié la réponse négative , sui de surcroît, s’est faite attendre, concernant ma requête « remise sur prime assurances voitures » suite au 1 er confinement coronavirus.
D’autres compagnies ont fait ce geste de réduction de prime.</t>
  </si>
  <si>
    <t>cestpaslamaafquejeprefere-98470</t>
  </si>
  <si>
    <t>A éviter. Assurée depuis 8 ans chez eux, j’ai eu un sinistre dans lequel je suis non responsable.
Le constat effectué et le rendez-vous pris chez le garagiste pour réparation, aucun appel ni écrit, aucune information concernant le dossier et sur l’avancement de certains frais n’est fait. Aujourd’hui je dois régler une somme astronomique au garagiste sans n’en avoir jamais eu connaissance. J’ai dû harceler l’assurance de nombreux appels pour qu’ils prennent en considération le dossier et leurs torts sur la non transparence d’information, mais à part me dire que c’était dommage pour moi, rien n’a été fait de leur part.
Bref, tant qu’on a pas d’accident ça se passe bien et au moment où nous avons besoin d’eux, ils ne sont pas là pour nous malgré tout l’argent que nous leur versons.</t>
  </si>
  <si>
    <t>07/10/2020</t>
  </si>
  <si>
    <t>soso--46854</t>
  </si>
  <si>
    <t xml:space="preserve">Ils oublient juste de dire à une petite jeune à qui ils ont fait un devis par téléphone  que si elle veut payer mensuellement elle aura 50 € en plus à  payer et quand elle reçoit son contrat et qu'elle téléphone les conseillés de la Maaf sont incapables de lui expliquer la différence de prix entre le devis et le contrat final. Elle a été obligée de se rendre en Agence  (Pessac) pour avoir la réponse. Pas de remise commerciale... à ce tarif elle avait trouvé une autre assurance qui semblait plus professionnelle mais trop tard elle était engagée avec la Maaf pour 1 an sans avoir signé aucun contrat.
Jeune étudiante, 50 € de différence de prix s'est beaucoup.
Le Directeur de l'Agence de Pessac nous a clairement dit que s'il y avait trop de sinistres elle pouvait être radiée.
C'est juste lamentable.
Ma fille n'y restera pas plus d'un an et son père  et moi alons retirer tous nos contrats de la Maaf.
</t>
  </si>
  <si>
    <t>18/09/2020</t>
  </si>
  <si>
    <t>jlou-23796</t>
  </si>
  <si>
    <t xml:space="preserve">Mise en oeuvre assistance après incident.
Pneu éclaté.... un vendredi soir.
Prise en charge immédiate et professionnelle par le service d'assistance avec intervention d'un camion plateau chargé d'emmener mon véhicule chez le garagiste de mon choix.
(Dommage de ne pouvoir faire intervenir directement le garagiste choisi, disposant d'un plateau et localisé à 1Km du lieu de ma panne et d'attendre l'intervention d'un dépanneur tiers agréé localisé à 20KMs)
Dans le cadre de la mise a disposition d'un véhicule de substitution, la prise en charge de ma demande a été elle aussi rapide et efficace.
Cela n'a pas, malheureusement été le cas du prestataire sollicité pour la mise à disposition d'un véhicule.
Tout d'abord pas question de prise en charge rapide, ni de mise a disposition d'un taxi pour rejoindre l'agence de location. Il me fallait attendre le retour d'un employé engagé sur une mission à une soixantaine de kms.
De plus, ce vendredi soir, l'agence ne dispose plus de véhicules correspondants à celui prévu dans le cadre de mon assistance.(vhl ctgorie équivalente au vhl en panne)
Et l'on me propose un Kangoo-fougon ou un minibus........ Pourquoi pas un char de bataille ou une montgolfière ???????
J'ai donc décliné la proposition et ai du donc me débrouiller autrement. !!.
Je trouve désolant le fait d'avoir a régler une cotisation supplémentaire pour une option...... non opérationnelle.
Conscient que le défaut de prise en charge est bien le fait du prestataire de location et non de la Maaf. Le service d'assistance devrait quand même s'assurer de la possibilité de mise en oeuvre de cette prestation par le prestataire désigné et la MAAF permettre au requérant de passer par une autre agence ou de prendre en charge a postérieuris les frais divers éventuellement engagés.
Réclamation engagée auprès MAAF... En Attente des suites éventuelles.
</t>
  </si>
  <si>
    <t>patthie-97043</t>
  </si>
  <si>
    <t xml:space="preserve">Très satisfaite de leur service et de leur geste commercial pendant le confinement 
Je n'ai pas l'intention de changer de compagnie d'assurance
De ce fait je recommande MAAF </t>
  </si>
  <si>
    <t>04/09/2020</t>
  </si>
  <si>
    <t>firasdh-97015</t>
  </si>
  <si>
    <t>Une offre alléchante, mais un service médiocre.
Une compagnie d’assurance qui ne reçoit aucun document en ligne, mais ne fait pas le nécessaire pour que vous soyez informé des documents qu’il vous reste à déposer, et pour convenir d’un rendez-vous (un appel téléphonique sans réponse ne suffit pas).</t>
  </si>
  <si>
    <t>03/09/2020</t>
  </si>
  <si>
    <t>caro-96813</t>
  </si>
  <si>
    <t>A fuir...Je suis assurée à la MAAF pour mon véhicule (doublé d'un Contrat Prévoyance) depuis 1999 ans avec un seul accident responsable en plus de 20 ans (un petit accrochage qui leur a coûté 200€). J'ai reçu un courrier faisant référence à un entretien (que je n'ai jamais eu...), et m'indiquant le changement des conditions du contrat avec une franchise augmentée à 500€ sous 1 mois, faute de quoi je serais résiliée...Pensant à une erreur, j'ai tenté x fois de joindre mon agence pour comprendre retombant systématiquement sur leur Service clients qui n'a rien d'un Service-clients (irrespectueux et moqueur face à mon incompréhension). J'ai fini par comprendre que pénalisée par 2 accidents non responsables en 2017-2018, la MAAF ne souhaitait plus m'assurer...J'ai fini par aller voir ailleurs et me suis rendue compte qu'avec des garanties supérieures je paierai moins cher ! Quelle aubaine !! J'ai entendu dire que la MAAF était en grosse difficulté financière et faisait du ménage ; je ne pense pas que se séparer de ses fidèles anciens clients soit la meilleure option ; quoiqu'il en soit, vu l'écart de prix et la qualité déplorable du service-client et du personnel en agence, je n'ai aucun regret !</t>
  </si>
  <si>
    <t>gege-fazer-96438</t>
  </si>
  <si>
    <t xml:space="preserve">Pas de problème depuis 17 ans d’assurance maaf aucun sinistre ....
Un sinistre non responsable tier identifié sans contestation de sa part mis en cause de l’expert de la Maaf des faits et cela sans voir le véhicule responsable 
Pour joindre un conseiller de mon agence de Tours et en composant le numéro mes interlocuteurs successifs étaient de moulin Toulouse Montpellier et Niort ou mon sinistre est traité ! Évidemment bonus a vie et véhicule assuré tous risques la Maaf me refuse toutes indemnisations se réfugiant derrière le seul rapport d’un expert me laissant évidemment le choix de contre expertises à ma charge temps argent et incertitude le cocktail complet pour alourdir la facture ! Avec au final avec un accueil de la responsable de mon agence avec une considération pour des clients sans sinistre très discutable avec des connaissances limitées sur les démarches à suivre pour les contres expertises et ne pouvant envisager la remise en cause du rapport de l’expert balayant sans même écouter mes arguments ! On attend mieux de son assureur.... Un autre choix s’impose ! </t>
  </si>
  <si>
    <t>joe-32863</t>
  </si>
  <si>
    <t>Jusqu'au sinistre, tout va bien (dès lors que vous payez sans contrepartie). 
En revanche, face à mon premier sinistre chez eux, voici ce que je leur reproche : 
- Mauvaise foi contractuelle (1104 nouveau du code civil)
- Expert exclue volontairement des dommages résultants directement du choc sous couvert d'un prétendu second choc qui n'est en réalité jamais arrivé et sans preuve aucune si ce n'est ses dires qui font l'affaire de l'assureur.
- Les conseillers font les sourds dès que vous leur écrivez et ne reviennent vers vous que si vous les menacez de saisir médiateur / justice et là encore le jeu est bien rodé : même s'il est aberrent d'exclure les dommages directs du choc, ils vous diront qu'ils croient leur expert et que donc vous devez payer pour une contre expertise si vous voulez leur faire reconnaitre l'évidence....
- Se moque de vous, clairement. 
Bref, étant Juriste de formation et ayant moi même travaillé dans les assurances, je vous déconseille très fortement cette société, si tant est que l'on puisse qualifier de tels pratiques une entité de société d'assurance !</t>
  </si>
  <si>
    <t>10/08/2020</t>
  </si>
  <si>
    <t>kre-95865</t>
  </si>
  <si>
    <t>Conseillers disponibles, à l'ecoute et réactifs. 
Un prix qui semble en adéquation avec le service proposé (même si nous n'avons pas encore eu l'occasion de le tester en cas de sinistre).</t>
  </si>
  <si>
    <t>03/08/2020</t>
  </si>
  <si>
    <t>laure-95721</t>
  </si>
  <si>
    <t>Probleme de communication - assurances cher -personnel incompétent - impossible de joindre par telephone - erreur dans les prélévements - 
revoir tous les prix manque f'informations</t>
  </si>
  <si>
    <t>30/07/2020</t>
  </si>
  <si>
    <t>wassi-95614</t>
  </si>
  <si>
    <t>Assuré  depuis 20ans chez eux 
 1 seul accident à raison! il y a 1 an 
Mon véhicule à la casse mon contrat s'arrete
Et quand je veux me réassurer pour un nouveau véhicule après 1an
Il refuse tout simplement sans une explication 
Abasourdi et déçu 
Mme Aggoune wassila</t>
  </si>
  <si>
    <t>29/07/2020</t>
  </si>
  <si>
    <t>guete-94454</t>
  </si>
  <si>
    <t>Pas sociétaire mais victime d un sociétaire,  la Maaf fait obstruction au traitement amiable en totale contradiction du rapport de l expert qu elle a mandaté.  Aurait elle des difficultés financières ? Ou est elle trop radin pour payer ce qu'elle doit? Par contre, elle sait réclamer ce que vous lui devez. Respectez la loi , notamment badinter, c est la 1ere marque de respect que vous devez à vos clients et aux victimes de vos clients.</t>
  </si>
  <si>
    <t>17/07/2020</t>
  </si>
  <si>
    <t>pasiega-92332</t>
  </si>
  <si>
    <t xml:space="preserve"> Victime d'un accident sans tiers identifiable et pendant la période de confinement, j'ai pu joindre facilement un conseiller qui a pris en charge mon dossier. L'expert a fait le maximum pour tenter de faire accélérer la procédure en utilisant l'informatique. Dès la fin du confinement lj'ai pu rapidement un rdv avec le réparateur . Un véhicule courtoisie m'a été prêté. Un ennui au départ certes mais réglé sans soucis dans une période inédite.</t>
  </si>
  <si>
    <t>26/06/2020</t>
  </si>
  <si>
    <t>pj78000-92177</t>
  </si>
  <si>
    <t>Assurance sérieuse, en cas d'accident ils sont réactifs 
le remboursement a été rapide et a la hauteur de ce que j'attendais. j'ai du arreter mes contrats car les tarifs sont plus élevés que ce que je paye actuellement, mais on paye la tranquillité. j'ai trop de véhicules sportifs pour un seul assureur.</t>
  </si>
  <si>
    <t>mav-90323</t>
  </si>
  <si>
    <t xml:space="preserve">des reponses pas fiables, contradictoires entre ce qui est dit par le personnel en agence et ce qui est reçu du siège.
service commercial : néant, ils oublient que se sont leurs clients qui les font vivre...
</t>
  </si>
  <si>
    <t>08/06/2020</t>
  </si>
  <si>
    <t>gege-90034</t>
  </si>
  <si>
    <t>pour moi elle correspond a mes attente</t>
  </si>
  <si>
    <t>didier28-6562</t>
  </si>
  <si>
    <t>Pour ma part, grande satisfaction envers la MAAF. Récemment, à l'arrêt, lors d'un fort coup de vent, je n'ai pas retenu ma portière, qui a donc heurté la poignée de porte de la voiture voisine. Pas de dégât pour l'autre voiture, mais ma portière bien abîmée. J'étais pleinement responsable. Réparations confiées à mon concessionnaire habituel. Passage rapide de l'expert. Travaux acceptés par MAAF (déduction faite des 100€ de franchise tel que prévu par mon contrat). J'ai été remboursé par la MAAF, au centime près de ce qui était prévu, cinq jours plus tard.Ajoutons le suivi internet, ,rigoureux et aisé, du cheminement de mon "affaire". Donc rien à dire, sinon BRAVO. (De plus, pas trop mauvais conducteur, je bénéficie du "bonus à vie", donc pas de malus suite à ce malheureux incident).</t>
  </si>
  <si>
    <t>23/05/2020</t>
  </si>
  <si>
    <t>jc-89288</t>
  </si>
  <si>
    <t>il n'y a pas de proposition pour une assurance "flotte" pour particulier. J'ai 5 véhicules et c'est comme si je les conduisais tous à la fois...et donc prix qui s'en ressent...</t>
  </si>
  <si>
    <t>30/04/2020</t>
  </si>
  <si>
    <t>cherif-89264</t>
  </si>
  <si>
    <t xml:space="preserve">Je suis client depuis plus de 20 ans et ils viennent de me refuser la suspension de mes cotisations assurances véhicules pro alors que je suis en chômage partiel depuis la pandémie
Je ne rentre pas dans la case 
Je n'ai plus de chantier depuis  plus 1 mois 
Leur offre de suspendre les cotisations est basé sur rien probablement à la gueule du client 
Assurance absolument pas solidaire
Mon épouse qui est au crédit mutuel assurance a eu ses 2 assurances suspendues pendant 2 ème trimestre 
Elle a eu raison de voir ailleurs </t>
  </si>
  <si>
    <t>elodiee-88727</t>
  </si>
  <si>
    <t>Plutôt satisfaite en temps normal, mais là non. Javais souscrit l'option garantie panne au cas ou, il y a eu un défaut d'alternateur sur ma voiture. Youpi c'était dans les choses prise en compte et bien non l'assurance n'a pas pris cela en compte. Des avis sur la garantie panne, d'autre personne ont eu des problèmes ?</t>
  </si>
  <si>
    <t>06/04/2020</t>
  </si>
  <si>
    <t>randonnee-87566</t>
  </si>
  <si>
    <t>j ai ma voiture qui a subi la grêle en juin 2019 et la Maaf me l a envoyer à Safragrèle voilà déjà presque 4 mois et elle n est toujours pas revenu je désespère de la revoir un jour voilà plus de 3 mois qu'ils me mentent je sais par le carrossier qu' elle est finie depuis 11 jours alors que Safragrèle me dit que non tous les 10 jours ils me disent dans 10 jours ma voiture doit faire le tour de France c'est pas possible autrement je n'en peut plus d'attendre de de ces mensonges ma voiture neuve est arrivé et je ne peut pas aller la chercher à cause de ces incapables par contre je paye toujours mon assurance même si je 'est pas ma voiture SUPER LA MAAF</t>
  </si>
  <si>
    <t>24/02/2020</t>
  </si>
  <si>
    <t>kari-87396</t>
  </si>
  <si>
    <t xml:space="preserve">Pas de communication. Ils sont long pour vous répondre.   Il vous nomme une conseillère attitré Mme. Martinez que vous n'avez jamais. Inexistante. </t>
  </si>
  <si>
    <t>20/02/2020</t>
  </si>
  <si>
    <t>voyageur-85794</t>
  </si>
  <si>
    <t>4 sinistres en 3 ans, 1 seul avec responsabilité, sans dégât corporel... je dirais même, 4 sinistres en 20 ans...un bonus a vie de 50%, mais malgré ça, une proposition d'augmentation de la franchise de 50%... j'ai pas répondu, on m'a viré comme un malpropre, et lorsque j'ai demandé de me re-assurer, on a refusé</t>
  </si>
  <si>
    <t>11/01/2020</t>
  </si>
  <si>
    <t>cmg6974-85792</t>
  </si>
  <si>
    <t xml:space="preserve">En 15 de permis je n'ai eu que 2 sinistres, j'ai reçu une simple lettre en me disant que l'assurance auto était résiliée. Et quand je demande pourquoi on me répond que c'est à cause des sinistres. A cause de ça impossible de m'assurer ailleurs. </t>
  </si>
  <si>
    <t>mimidoux-81992</t>
  </si>
  <si>
    <t>Assuré MAAF depuis plus d'un demi siècle à titre personnel et jusqu'à ma retraite à titre professionnel, je suis en attente d'une réponse de cet assureur depuis plus de six mois. Je pense qu'à NIORT le sens de l'expression 
Je reviens vers vous prochainement est différent de celui que je lis dans mon dictionnaire; à suivre et à disposition échanges de courriers au sujet de ce cas d'école.</t>
  </si>
  <si>
    <t>16/12/2019</t>
  </si>
  <si>
    <t>jeanne-80766</t>
  </si>
  <si>
    <t>n'assure que ce qui leur convient, j'ai "la chance" d'avoir un fauteuil roulant électrique , et bien cela n'est pas assurable parceque : électrique... ont ils peur que je fasse des exces de vitesse ? Périgueux une ville comme bien d'autres ou le fait d'etre handicapée est une tare , ou les trottoirs et acces ne sont pas pris en compte ?  ...pourtant ils ont bien su m'assurer en mutuelle santé, en auto, en responsabilité , 
je paye une mutuelle santé alors que je suis en ald et prise à 100% par la securité sociale, je ne leur coute pas cher .....</t>
  </si>
  <si>
    <t>marc-80475</t>
  </si>
  <si>
    <t xml:space="preserve">Il y a 2 mois on m a embouti mon véhicule garé sur un parking bilan
véhicule économiquement non réparable
J attends toujours un chèque d'indemnisation envoyé soit disant il y à 2 semaines je précise que la poste n est pas en grève
Je demande l'annulation du chèque pour que se soit fait par virement chose que j ai demandé au départ et la réponse à été
ça va mettre plus longtemps qu un chèque
On me dit que je ne peux pas annulé avant 1 mois
Je n'ai pas les fonds pour avancer lachat d un véhicule et me retrouve sans véhicule depuis 2 mois
Je me sent comme pris en otage car la Maaf ne m'apporte pas de solution efficace et rapide </t>
  </si>
  <si>
    <t>28/10/2019</t>
  </si>
  <si>
    <t>ecr-80148</t>
  </si>
  <si>
    <t xml:space="preserve">Assuré depuis plus de 20 ans en habitation et auto, 50% de bonus, aucun sinistre déclaré en plus de 15ans, sauf :
Habitation année dernière : dégât des eaux signalé, aucun retour d'un conseiller ni expert. Ma déclaration n'a pas du tout été prise en charge ; après 1 mois, j'ai réparé moi même
Auto il y a 1 mois : voiture assurée en tous risques (800 euros/an quand même !), sinistre de stationnement déclaré, l'expert est passé et mon dossier refusé (en clair il ne croit pas ma version), je peux missionner une expertise contradictoire à mes frais bien entendu. Pour une aile gauche arrière froissée et un feu cassé, je ne vais pas le faire.
Comme beaucoup d'assurances, MAAF est très prompt à encaisser les souscriptions mais plus personne dès qu'il faut décaisser (et mon sinistre n'est rien du tout comparé à des accidents graves). La fidélisation client n'existe pas contrairement à la publicité fort flatteuse et franchement mensongère
Je mets donc fin à l'ensemble de mes contrats MAAF au plus tôt, comme beaucoup je le fais parce que l'on confond assuré et pigeon...comme beaucoup, je ne crois plus du tout à ces assurances qui roulent sur l'or grâce au marché obligatoire et captif qu'est le monde des assurances ; autant que cela me coute mins cher !..et c'est très facile de trouver en 30 à 40 % moins cher
</t>
  </si>
  <si>
    <t>larozac-79086</t>
  </si>
  <si>
    <t>Oyez oyez braves gens... Client auto moto depuis 2009 j'entreprends d'assurer un véhicule supplémentaire. Sur le net la réactivité est fulgurante, rendez-vous pris le lendemain... J'avais pré remplis  les données et donc aussi la date d'achat du dit véhicule.</t>
  </si>
  <si>
    <t>10/09/2019</t>
  </si>
  <si>
    <t>david-78581</t>
  </si>
  <si>
    <t>Chez eux depuis plusieurs années, sinistre à cause de la grêle donc pas responsable, mais très mal accueilli en agence personne pour gérer le sinistre. 
On me dit qu'il se substitue pas à l'expert et aujourd'hui je viens d'apprendre qu'on va enfin me rembourser mon véhicule mais le montant ne correspond pas à ce qu'on m'a dit, bien sûr il est inférieur.
A FUIR !!!</t>
  </si>
  <si>
    <t>21/08/2019</t>
  </si>
  <si>
    <t>wilfriedlamy-78539</t>
  </si>
  <si>
    <t xml:space="preserve">Je suis a la maaf depuis 25 ans, j'ai un bonus d'or a vie 0.5 suite à une absence totale de sinistre pendant 23 ans. En 2018 on m a pété la petite lunette arrière, puis mon pare brise a du être changé suite à un impact de pierre, j ai eu mon premier léger accident cette année, je suis entré doucement dans le pare choc arrière en plastique d une voiture qui s'est pété (donc je suis responsable) et là en vacances j'ai été victime d'un gros accident dont je ne suis pas responsable avec voiture en épave. Je souhaitais réassurer un autre véhicule mais ca m'a été refusé. Je me suis senti trahi, toute ma famille est à la maaf, je conseille à mes amis d'aller à la maaf...Mais là c'est fini, je pensais qu'une assurance est là pour soutenir lors des déconvenues de la vie, toute la vie et qu'elle nous virait pas lorsqu'on a une succession d'accidents qui se sont accumulé juste les deux dernières années sur un totale de 25 ans. A fuir ! </t>
  </si>
  <si>
    <t>19/08/2019</t>
  </si>
  <si>
    <t>herve-78136</t>
  </si>
  <si>
    <t>Je suis assuré chez eux depuis de nombreuses années , régulièrement je compare avec d'autres assurances , et pour les mêmes services et garanties, je ne trouve pas mieux ailleurs.</t>
  </si>
  <si>
    <t>r1-77849</t>
  </si>
  <si>
    <t xml:space="preserve">Service client ridicule ! Au courant de rien et n'arrive pas à joindre l'expert... J'attends depuis le 15/06/2019 sans véhicule. </t>
  </si>
  <si>
    <t>gaerfield-77388</t>
  </si>
  <si>
    <t>Non prise en charge en tout-risque alors qu'il y bien relation de cause à effet prouvée et acceptée par les parties. C'est des gagne-petit. Bingo, 4 contrats résiliés, on va ailleurs.</t>
  </si>
  <si>
    <t>05/07/2019</t>
  </si>
  <si>
    <t>meg-77186</t>
  </si>
  <si>
    <t xml:space="preserve">Je pense n'avoir jamais eu affaire à une assurance aussi peu compétente. On raccroche au nez, on est désagréable, on explique pas les prix qui sont le double des autres assureurs, et j'en passe ! </t>
  </si>
  <si>
    <t>28/06/2019</t>
  </si>
  <si>
    <t>lolo-76981</t>
  </si>
  <si>
    <t>Malheureusement, une assurance qui n'est pas à l'écoute de la vraie  demande de ses clients</t>
  </si>
  <si>
    <t>20/06/2019</t>
  </si>
  <si>
    <t>tim-76661</t>
  </si>
  <si>
    <t xml:space="preserve">Passez votre chemin, assurance qui a trop de clients et ne cherche plus qu a rentabiliser. Le bon assureur d avant est parti. 
assurance scandaleuse. vous met des franchises alors que vous n etes pas en tord et ne prend pas les réparations sous motif que la pièce n était pas neuve . exemple Pare choc rayé.un pare choc Parisien n est jamais neuf tres longtemps. il rempli sa fonction mais est souvent rayé.
Ne me changent QUE le retroviseur vandalisé alors que les 2 pares chocs ont été cassés.  les ailes avant et arriere enfoncés ainsi que le toit.
indique que je ne serai pas facturé car pas en tord. Resultat des courses 200 e de franchise pour 1 retroviseur seulement .
</t>
  </si>
  <si>
    <t>11/06/2019</t>
  </si>
  <si>
    <t>julien-76348</t>
  </si>
  <si>
    <t xml:space="preserve">Cela va faire deux mois que nous sommes sans voiture, la cause étant un début d'incendie que l'assurance n'a pas pris en charge et ce malgré nos 20 ans de clientèle à la maaf. L'assurance nous a fait perdre un temps fou, déjà l'expert a mis du temps pour faire son expertise (plus d'une semaine), pour enfin faire une expertise à un prix exorbitant, l'assurance refusant de prendre en charge l'incendie pour diverses raisons d'une part l'incendie ne serait pas criminel ou n'aurait pas propagé dans l'ensemble du véhicule ou la voiture a plus de 10 ans, alors que nous avons bien souscrit à l'option vol et incendie (sans aucune prévention lors de l'inscription), même les frais de gardiennage ils n'étaient pas capable de les prendre en charge .
Client depuis plus de 20 ans avec plusieurs protections (habitat, scolarité, garde d'enfant) avec aucun incident jusqu'à présent ni même retard de paiement, nous avons toujours été fidèles, nous avons jamais cédé aux tentatives des concurrents à nous rapprocher avec des tarifs plus intéressant, mais malheureusement nous avons placé notre entière confiance en vous, jusqu'à ce malheureux jour où on a eu cet incident, dans un premier temps on nous a promis de tout prendre en charge mais finalement ce n'était pas ça, de plus lorsque nous avons voulu contesté on a eu une personne désagréable nous criait dessus, elle a même osé dire que notre option vol incendie ne servirait à rien car le véhicule est très âgé.
Nous réfléchissons fortement à quitter la maaf après cette mésaventure car ça ne sert à rien de continuer à payer si derrière il n'y a aucun retour ni protection.   
</t>
  </si>
  <si>
    <t>03/06/2019</t>
  </si>
  <si>
    <t>nimimmo-63396</t>
  </si>
  <si>
    <t>très mauvaise expérience aujourd'hui alors que je suis assurée pour la voiture et la maison depuis 2011</t>
  </si>
  <si>
    <t>23/05/2019</t>
  </si>
  <si>
    <t>michelle-75593</t>
  </si>
  <si>
    <t xml:space="preserve">Une assurance près de chez vous. Un personnel très à  l'écoute de vos besoins. Des contrats adaptés pour tous budget.   
Une assurance auto électrique pouvant être échelonnée mensuellement. . 
Un service dédié de qualité prenant en compte les véhicules électriques ... </t>
  </si>
  <si>
    <t>03/05/2019</t>
  </si>
  <si>
    <t>pop-75451</t>
  </si>
  <si>
    <t>Cliente chez MAAF depuis 20 ans, j'ai eu deux bris de gace sur une voiture en trois ans. Ils m'ont indemnisé pour ces sinistres. J'ai acheté un second véhicule que je comptais assurer chez eu également, et là, surprise, Niort refuse catégoriquement de m'assurer... J'ai trouvé ailleurs, et n'en revient toujours pas d'avoir été traitée comme çà pour 2 bris de glace en 20 ans !!! (suis à 50% de bonus...)</t>
  </si>
  <si>
    <t>mayatallulah-34899</t>
  </si>
  <si>
    <t>Cliente depuis 25 ans, moi aussi je vais en partir. Un accident auto non responsable, mes témoins pas pris en compte, et la MAAF décide que je suis responsable. Les commentaires ci-dessous montrent bien que la MAAF a changé. Unissons-nous pour réclamer des actions en groupe... avant d'en partir. J'ai lu le post d'une dame qui va essayer de passer à la télé. Moi je vais écrire au Canard Enchaîné.</t>
  </si>
  <si>
    <t>24/04/2019</t>
  </si>
  <si>
    <t>jojo-75299</t>
  </si>
  <si>
    <t>Assuré depuis 25 ans pour automobile et depuis 5 ans pour 2 automobiles aucun accident responsable, des franchises hallucinantes et des tarifs en hausse. Aucun service si ce n'est que pour signer un nouveau contrat. Actuellement accident non responsable mais constat mal rempli d'après eux, je viens de m'assurer au tiers... Responsabilité 50/50 alors qu'une voiture me rentre dedans. Contacter avocats Julien Courbet, contester ! Je suis sur une liste d'attente pour assez à l'antenne</t>
  </si>
  <si>
    <t>23/04/2019</t>
  </si>
  <si>
    <t>oli-74660</t>
  </si>
  <si>
    <t>Client depuis plus de 10 ans. Gestion déplorable d'un seul sinistre sur la période.Absence d'interlocuteur dédié (toujours une plateforme). Délai de réponse déplorable. Service réclamation ne donne pas de réponse. Le client n'est pas considéré et on ne cherche pas à l'aider lors des moments difficiles (accident corporel léger et perte de véhicule). A éviter</t>
  </si>
  <si>
    <t>mm-72419</t>
  </si>
  <si>
    <t>Ayant résilié mon assurance auto hâtivement suite à vente de véhicule, je leur fais part de mon souhait d'assurer mon nouveau véhicule 5 jours après. Ils ont refusé ! ( assurance-vie et habitation en cours)</t>
  </si>
  <si>
    <t>24/03/2019</t>
  </si>
  <si>
    <t>kakadu78990-72332</t>
  </si>
  <si>
    <t>Je suis tres content chez eux mais comme tout le monde je trouve toujours trop cher</t>
  </si>
  <si>
    <t>20/03/2019</t>
  </si>
  <si>
    <t>ayala-72253</t>
  </si>
  <si>
    <t>Vraiment pas bien du tout la Maaf. On s'en va. Ils mélangent tous les contrats. Un véhicule qui a eu plusieurs dépannages il y a plus d'un an est mis dans le même sac qu'un autre qui n'a eu qu'un bris de glace - dans la rue. Pas d'accident, pas de gros sinistre, mais on se fait virer quand même ! Pas correct. Ils veulent l'argent mais pas de sinistres. Ce n'est pas un assurance. Ciao. On retire les contrats sur lesquels ils ne nous reprochent rien. On n'a aucune raison de rester. Et on ne fera pas de publicité</t>
  </si>
  <si>
    <t>18/03/2019</t>
  </si>
  <si>
    <t>karine68-71579</t>
  </si>
  <si>
    <t>J'ai eu deux accidents non responsables en 1 an et là ou je pensais pouvoir compter sur mon assureur et bien c'est raté car on me dit que je suis blacklistee et que ce qui compte ce n'est pas la responsabilité dans les accidents mais la fréquence des accidents. Quand je leur demande ce que j'aurai du faire et bien pas de réponse. Je pensais avoir gain de cause en faisant une réclamation auprès de leur service et bien non. J'ai deux possibilités soit accepter leur nouvelle proposition commerciale exorbitante et sans possibilité de négiciation, soit chercher ailleurs. Ce qui m'a été implicitement recommandé.L'accueil en agence a été très désagréable sans aucune bienveillance par rapport à leur client. En regardant les articles sur 60 millions de consommateurs, la MAAF est championne dans ce domaine. Ce type de pratique est vraiment scandaleux. Pour résumer, ils ont un super service client mais il ne faut surtout pas s'en servir!</t>
  </si>
  <si>
    <t>22/02/2019</t>
  </si>
  <si>
    <t>choke-71082</t>
  </si>
  <si>
    <t>En 2018 malgré un bonus a vie.. Réception d un courrier modifiant a l augmentation la franchise de manière unilatérale
Si non acceptation ..radiation</t>
  </si>
  <si>
    <t>08/02/2019</t>
  </si>
  <si>
    <t>vernellois-70947</t>
  </si>
  <si>
    <t xml:space="preserve">J'ai tous mes contrats à la MAAF depuis 25 ans aucun souci malgré des sinistres en tous genres Auto, Camping Car, Dégâts des eaux, Tempête .Remboursé rubis sur l'ongle en maxi 3 semaines Bravo  </t>
  </si>
  <si>
    <t>04/02/2019</t>
  </si>
  <si>
    <t>mardelain-69989</t>
  </si>
  <si>
    <t>Assuré depuis plusieurs années à la maaf en tous risques, 50% bonus, pour une vieille voiture et désirant acheter une voiture supplémentaire, je vais ce jour demander que mon véhicule soit assuré au tiers + un devis pour mon futur véhicule comptant sur la promo du moment (2 mois gratos) : réponse du conseiller :" impossible, en fait c'est un remplacement de véhicule...vous essayer de me blouser...libre à vous d'aller voir ailleurs...." 
J'ai été voir ailleurs, mêmes prestations moins chéres...</t>
  </si>
  <si>
    <t>07/01/2019</t>
  </si>
  <si>
    <t>laam-69751</t>
  </si>
  <si>
    <t>Nous avons 4 véhicules professionnels, assurés  depuis huit ans !  Hier nous remplaçons un véhicule et la maaf nous répond qu'elle refuse de nous assurer tout autre véhicule car nous sommes un client à risque et nous sort en 2018 que nous avons 2 accidents responsables en 2015 et 2017! Qu'est ce que c'est que cette assurance de bouseux !  Donc il faudrait s'assurer chez eux mais ne JAMAIS avoir d'accidents comme ça ils sont contents et empochent le fric sans rien faire ! Ha ça pour faire des pubs avec des débiles qui dansent, y a pas de problème et avec notre argent ! mais pour satisfaire leurs clients y a plus personne !  Cette assurance est à éviter, nulle nulle</t>
  </si>
  <si>
    <t>29/12/2018</t>
  </si>
  <si>
    <t>ricalmaf-69029</t>
  </si>
  <si>
    <t>La conseillère de la Maaf de Tourcoing qui m'avait reçue a été très désagréable de plus elle donne des devis pas corrects du tout elle prend les clients éventuels pour des cons.</t>
  </si>
  <si>
    <t>29/11/2018</t>
  </si>
  <si>
    <t>aem-68625</t>
  </si>
  <si>
    <t>Très mauvaise gestion des derniers incidents
Mauvaise réception du client en agence de Mantes la jolie</t>
  </si>
  <si>
    <t>14/11/2018</t>
  </si>
  <si>
    <t>naki-67907</t>
  </si>
  <si>
    <t xml:space="preserve">Assurance irritante de part la publicité permanente,  et pénible, aucun secret professionnel et obligation de discrétion non respecté   </t>
  </si>
  <si>
    <t>20/10/2018</t>
  </si>
  <si>
    <t>dada02800-67815</t>
  </si>
  <si>
    <t>Service nul a fuir temps d'attente alunissant,les conseillés téléphonique  sont incappable de quoi que ce soit.</t>
  </si>
  <si>
    <t>17/10/2018</t>
  </si>
  <si>
    <t>mamounette-67762</t>
  </si>
  <si>
    <t xml:space="preserve">assurance à éviter. Refus de modifier le titulaire suite décès malgré la loi article L121-10 du code des assurances. Pourtant je suis sur le contrat en conducteur principal. Réponse de leur part la loi ne les concerne pas... J'informe l'acpr.banque-france.fr qui gère les plaintes de particuliers concernant la banque ou les assurances. </t>
  </si>
  <si>
    <t>16/10/2018</t>
  </si>
  <si>
    <t>ivan94-67706</t>
  </si>
  <si>
    <t>Bonjour, je vous déconseille vivement la MAAF car en dehors de vous raconter mots et merveilles lorsque vous signez, le jour ou vous avez même un accident non responsable, avec du corporel, c'est la croix et la bannière, le no man's land. Déjà 15 mois après mon accident, des relances toutes les semaines, un expert médical qui minimise tout et le comble c'est que la protection juridique que j'ai souscrit en plus! fait partie des abonnés absents. Pour terminer ces éloges je me demande si leurs dirigeants aimeraient être considérés de la sorte en cas de pépin? LOL</t>
  </si>
  <si>
    <t>15/10/2018</t>
  </si>
  <si>
    <t>ideesbonnes-67666</t>
  </si>
  <si>
    <t xml:space="preserve">Cliente depuis 16 ans en auto habitation et scolaire , 3 pannes 0km dans l Année .... résilié à l échéance ... pitoyable </t>
  </si>
  <si>
    <t>arti-67515</t>
  </si>
  <si>
    <t xml:space="preserve">Assureur médiocre. Ne pas s'assurer à la Maaf. </t>
  </si>
  <si>
    <t>10/10/2018</t>
  </si>
  <si>
    <t>win-67464</t>
  </si>
  <si>
    <t>Client depuis plus de 5 ans. J'ai souhaité assurer une moto achetée en Juillet. J'ai mis trop de temps pour l'assurer (je suis parti en congés). Ils refusent donc de me l'assurer. Aucun droit a l'erreur.</t>
  </si>
  <si>
    <t>08/10/2018</t>
  </si>
  <si>
    <t>gribouille-67041</t>
  </si>
  <si>
    <t>a la maaf depuis 2004 
j'ai eu 2 declarations ou je ne suis pas responsable j'ai 50% de bonus mais je suis résiliée pour la fin de l'année je trouve cela injuste et aucune négociation possible</t>
  </si>
  <si>
    <t>22/09/2018</t>
  </si>
  <si>
    <t>wilhelmina63-66674</t>
  </si>
  <si>
    <t>Facile à arranger, tout par internet si on veut, si non, il y a des agences. Garantie très bien, même pour voitures vieilles. Prix très attractive avec des bonus pour être assuré pendant plusiers années.</t>
  </si>
  <si>
    <t>07/09/2018</t>
  </si>
  <si>
    <t>at0miksmax-66182</t>
  </si>
  <si>
    <t>Cela fait plusieurs années que je suis à la Maaf pour une voiture et des motos. Rien a redire sur le service client, que ce soit l'agence (Strasbourg) ou la plateforme. Sinistre responsable en 2015, bris de glace en mars 2018 ou les changements de véhicule. Malheureusement je dois m'en séparer car n'ayant plus que la voiture, le tarif n'est plus compétitif... Au contraire...</t>
  </si>
  <si>
    <t>14/08/2018</t>
  </si>
  <si>
    <t>respresso-65836</t>
  </si>
  <si>
    <t>une conseillère qui traite un client de façon hautaine et agressive, incapable d'écouter et de prendre en compte sereinement les arguments de la personne en face d'elle.</t>
  </si>
  <si>
    <t>27/07/2018</t>
  </si>
  <si>
    <t>cyril38-65817</t>
  </si>
  <si>
    <t xml:space="preserve">Plus de 20 ans à la MAAF, plusieurs contrats, client ultra fidèle et sans problème. Cette année j'ai eu droit à la grêle sur le véhicule plus un pare brise, sinistres non responsables donc,  et aujourd’hui la MAAF me résilie à la fin de l'année sur ce vehicule car trop de sinistres, et m'envoie un devis du double en cout d'un partenaire, grande classe  
C'est plus la MAAF que je préfère, cet assureur a bien changé, aucune considération pour ces clients, à fuir. Je résilie tous mes contrats  </t>
  </si>
  <si>
    <t>pierrejura39-65683</t>
  </si>
  <si>
    <t>Augmentation de plus du double de la franchise       (150% de plus) suite à 2 accidents en 2 ans malgré un bonus à vie MAAF et plus de 20 ans de cotisation c'est inadmissible.C'est la MAAF que je préfère, belle Pub pour attirer les nouveaux clients !!!!!! Mais pour moi c'est décidé je ne préfère plus du tout la MAAF !!!!!! Retrait de tous mes contrat.
Belle reconnaissance de la fidélité à la MAAF !!!!!!</t>
  </si>
  <si>
    <t>22/07/2018</t>
  </si>
  <si>
    <t>mystere68-65561</t>
  </si>
  <si>
    <t>Après plus de 10 ans d'assurance chez eux, je me fais résilier mon contrat après deux sinistres, dont 1 pare brise...Je suis extêmement déçu par cet assureur! N'est de loin pas digne de confiance!</t>
  </si>
  <si>
    <t>17/07/2018</t>
  </si>
  <si>
    <t>fabien-65156</t>
  </si>
  <si>
    <t>J'ai fait appel au médiateur car l'assureur souhaite que j'endosse la responsabilité de l'accident (et donc m'empeche de changer d'assureur). Le résultat a été la résiliation de mon contrat d'assurance. Il s'agit d'intimidation!!!</t>
  </si>
  <si>
    <t>29/06/2018</t>
  </si>
  <si>
    <t>mystere7512-65055</t>
  </si>
  <si>
    <t xml:space="preserve">Je suis assurée à la MAAF depuis 2 ans. Satisfaite jusque là, j'ai un sérieux doute sur les pratiques de l'assurance à ce jour! 
Effectivement, j'ai reçu aujourd'hui un courrier de l'assurance avec une nouvelle proposition de contrat où on me prétend que je les ai sollicité pour une modification !!!!!!  Bien entendu, je ne les ai jamais contacté pour cela!! Car si je l'avais fait, ça aurait été pour mettre ma voiture en "assurance garage" vu qu'elle est en panne depuis 3 mois !!  Alors le tarif est moins élevé, mais les prestations aussi !!!! Envolé le bris de glace et l'assistance kilomètre à 0KM !!! Et pour couronner le tout , il m'est indiqué "Sans réponse de votre part, et croyez bien que je le regrette, cette modification ne prendra pas effet et nous résilierons, à échéance votre contrat" !!!!!! 
Donc, si je n'accepte pas cette modification que je n'ai pas demandé, vous me virez !!! Incroyable de manipulation et de malhonnêteté !! 
"C'est la MAAF qu je préfère " !!!! Elle est belle votre pub ! Mais vous ne faite vraiment rien pour que le client l'a préfère aussi !!! 
C'est quoi cette manière de forcer la main au client à l'assurer moins tout en le ré-engageant pour une année !!! On tente de contourner la loi Hamon? C'est cela????!!!!! 
Et bien vous n'avez gagnez qu'une seule chose, je vais bien signer un nouveau contrat ! Mais certainement plus chez vous !! 
Moi qui était tant satisfaite avant votre courrier !!! C'est un comble !!!! </t>
  </si>
  <si>
    <t>26/06/2018</t>
  </si>
  <si>
    <t>enzo93-64650</t>
  </si>
  <si>
    <t>Comme beaucoup ici je suis très mécontent de cette assurance je suis client chez eux depuis 15 ans voitures et maison, je n'ai jamais eu le moindre sinistre responsable dernièrement j'ai été victime d'un acte de vandalisme les deux feux arrières ont étés voles une vitre brisée et des coups et éraflures sur la carrosserie. j'ai déposé une plainte et l'expert est passé voir le véhicule celui ci a décrété très arbitrairement que les coups et les éraflures sont antérieurs a la date du sinistre, il doit surement avoir une boule de cristal. Tout ça pour vous dire que ça ne dérange pas la maaf de traiter un client chouchou (15 ans d’ancienneté) comme il disent  de menteur.
Un conseil passez votre chemin, tant que vous leur rapporter de l'argent tout va bien</t>
  </si>
  <si>
    <t>10/06/2018</t>
  </si>
  <si>
    <t>onaimepaslesprofiteurs-64524</t>
  </si>
  <si>
    <t>Récemment séparée de mon ex conjoint et nouvellement locataire je contacte la Maaf début mai pour ouvrir un contrat d’assurance pour ma location et transférer ma voiture sur ce nouveau contrat avec nouveau RIB et là mauvaise surprise, mon coefficient passe de 0,51 à 0,65 et ma cotisation augmente beaucoup ! Je reçois par mail les papiers mais ne signe rien, je me renseigne autour de moi et on me confirme que ce qu’on me propose est abusif. Je n’ai jamais eu aucun accident créé ou subi depuis mon permis en 1997 et si je roule 4 ou 5000 kms par an c’est le maximum... Je renvoie un mail le 14 mai à la personne pour poser des questions, demander à ce qu’on réexamine mon dossier et je signale au passage des erreurs dans les documents à signer et là aucune réponse. Sachant que l’échéance était au 01/06 j’ai rappelé, on me dit que personne ne peut traiter ma demande car c’est samedi ils sont « occupés » et donc un agent me dit qu’il fait une alerte pour qu’on me recontacte le lundi suivant par téléphone. Bien sûr personne ne le fait donc je rappelle le mardi et on me donne un rendez-vous pour le lendemain. Et le lendemain l’agent ne fait pas un geste donc je lui dis de laisser comme ça, j’ai vu avec mon ex conjoint pour lui rembourser les cotisations jusqu’en décembre au plus tard et je me mets vite n’en quête d’un nouvel assureur. Et pour le moment avec tous les devis que j’ai reçu je n’ai que l’embarras du choix et pour bien moins cher à couverture égale ! Mais je trouve cela dommage que la Maaf pousse ses clients dehors comme ça. Il faut croire qu’ils en ont trop!</t>
  </si>
  <si>
    <t>angel-64464</t>
  </si>
  <si>
    <t xml:space="preserve">Très satisfaite. 
J'ai appelé un dimanche, peu d'attente téléphonique, je me suis tromper dans le carburant de ma voiture, j'ai dit à la conseillère que je me sentais tellement idiote, elle ma réconforter. Conseillère très sympathique!
Dépannage dans les 45 minutes après mon appel !
Merci beaucoup ! </t>
  </si>
  <si>
    <t>04/06/2018</t>
  </si>
  <si>
    <t>fprim-64353</t>
  </si>
  <si>
    <t xml:space="preserve">mon véhicule a été volé en janvier 2018.
Je leur adresse une déclaration de vol, une plainte, les pièces justificatives, les clefs, même les accès aux caméras ou se trouvait le véhicule. Bref tout en bonne et due forme
4 mois plus tard et au bout de 20 relances et appels (leurs CGV indiquent une réponse sous 7 jours)... ils dépêchent un huissier qui arrive a l'improviste.
il me demande la facture d'achat intiale déjà envoyée 4 mois avant et me dit de signer le montant d'achat de mémoire (c'était il y a 4 ans, vous saviez ce que vous faisiez vous le 8 janvier 2013 a 8h14 ;-).
je fais une erreur et la corrige 3 heures après, une fois la copie de cette facture envoyée par mon comptable. Je copie tout, au cas ou...
ils me répondent 2 mois après qu'ils se basent sur cette erreur pour ne pas rembourser.
la MAAF, cette société ou vous payez mais faut pas avoir de souci, sinon tu l'as dans l'os.
J'ai saisis le médiateur des assurances et transféré aux médias.
une honte
</t>
  </si>
  <si>
    <t>31/05/2018</t>
  </si>
  <si>
    <t>01/05/2018</t>
  </si>
  <si>
    <t>pedrito-64132</t>
  </si>
  <si>
    <t>Client depuis 2 ans (véhicule, maison, ...), mon véhicule a été victime de 1 acte de vandalisme + 1 accident responsable. Résultat des courses "je ne rentre plus dans leurs critères" et ils m'informent que mon contrat "ne sera pas reconduit".</t>
  </si>
  <si>
    <t>22/05/2018</t>
  </si>
  <si>
    <t>suzon-64113</t>
  </si>
  <si>
    <t>Maaf Fréjus n'a aucun service client !
Nous souhaitions avoir le 2nd conducteur sur une voiture et non plus l'autre. Maaf Fréjus n'a pas répondu à notre demande !</t>
  </si>
  <si>
    <t>21/05/2018</t>
  </si>
  <si>
    <t>jp74-64031</t>
  </si>
  <si>
    <t>20 ans de fidélité, 11 contrats, tout allait bien jusqu'au vol d'une voiture dans ma cour fermée, véhicule retrouvé incendiée, cambrioleurs arrêtés, valeur véhicule 15000 €, assuré tous risques, refus d'indemnisation....car non effraction les clefs ayant été dérobées à mon domicile....Merci la Maaf !</t>
  </si>
  <si>
    <t>15/05/2018</t>
  </si>
  <si>
    <t>mimi91120-63392</t>
  </si>
  <si>
    <t>J essaye de changer d assurance car la voiture me reviens très cher</t>
  </si>
  <si>
    <t>19/04/2018</t>
  </si>
  <si>
    <t>resilier-63323</t>
  </si>
  <si>
    <t xml:space="preserve">a la MAAF on paye c'est tout,dès qu'il y a un accident on nous fait trainer pendant des mois, j'attends toujours ma réponse malgrè des coups de téléphone et des mails 
De puis le 20/01/2018 jai fait un accident j'transmettre le constat leur expert passé refuse de prendre tout en charge jai payé la contre expertise moi meme 740€ normalement rembourssé par mon assurance les deux expert  ils sont modifier le rapport 
Hier jai contacté mon assurance pour demandé le rembourssement de la contre expertise la réponse c'est NON  j' contacté mon avocat 
et ma protection juridique pour la sinistre il sont dit atten leur courrier apres en va attaquer contre eu
De puis le 20/01/2018 j'atten sans réponse la en et le 20/04/2018 toujours rien de leur part , MAAF AVEC LEUR PUB A LA TÉLE  
Bien tout je vai contacte julien courbet pour cette affaire </t>
  </si>
  <si>
    <t>17/04/2018</t>
  </si>
  <si>
    <t>bc88-62811</t>
  </si>
  <si>
    <t>M. Christophe Guerin Agence Epinal n'a aucun interet a répondre aux clients potentiels et a priori se comporte comme une plate forme situé à l'étranger. Cette Personne ne correspond a aucun critère qualité client aussi eviter MAAF</t>
  </si>
  <si>
    <t>30/03/2018</t>
  </si>
  <si>
    <t>nany-62786</t>
  </si>
  <si>
    <t xml:space="preserve">On vous dit d'annuler l'option vol parce que le véhicule n'a soi-disant aucune valeur, on vous envoie sur le site de l'argus et je vois 2600€ estimés, donc ces messieurs dames MAAf considèrent que 2600€ est une petite somme .Et de plus prix excessifs . </t>
  </si>
  <si>
    <t>rajery-62756</t>
  </si>
  <si>
    <t>Pas de prime à la fidélité malgré 2 contrats habitation (depuis 10 ans) et auto (4 ans) : fortes augmentations tous les ans (jusqu'à 10%). Personnel de l'agence de Massy (91300) excessivement désagréable et supérieur : ont-ils besoin de clients ? Elle ferme... Et je quitte la MAAF pour toujours. J'avais pourtant des projets de placement chez eux, et j'avais déjà été client satisfait il y a 18 ans. On est loin de l'imagerie de la pub : comme dit le slogan d'un concurrent, "c'est qui les clients" ?</t>
  </si>
  <si>
    <t>28/03/2018</t>
  </si>
  <si>
    <t>nosral-62452</t>
  </si>
  <si>
    <t>Beaucoup trop cher la surprime jeune conducteur.</t>
  </si>
  <si>
    <t>18/03/2018</t>
  </si>
  <si>
    <t>sandrine-62321</t>
  </si>
  <si>
    <t>a la MAAF on paye c'est tout,dès qu'il y a un soucis on nous fait trainer pendant des mois, j'attends toujours ma réponse malgrè des coups de téléphone et des mails.</t>
  </si>
  <si>
    <t>14/03/2018</t>
  </si>
  <si>
    <t>chris-61672</t>
  </si>
  <si>
    <t>Je n'ai rien à redire si ce n'est que le prix que je paie me semble élevé comparativement à d'autres propositions qui me sont faites.</t>
  </si>
  <si>
    <t>pattate-61326</t>
  </si>
  <si>
    <t>en guadeloupe professionnalisme 0</t>
  </si>
  <si>
    <t>10/02/2018</t>
  </si>
  <si>
    <t>zay-61310</t>
  </si>
  <si>
    <t xml:space="preserve">Assurance MAAF 
Bonjour j'ai deux voitures Assuré chez MAAF tout risque  de puis 2015 50% + 7ans 
Hier j'ai fait Un accident non responsable 
J'ai contacté mon assurance ils sont envoyé un expert au garage pour expertise ma voiture j'ai contacté l'expert m'a dit que votre voiture était accidenté car c'est un expert de merd comme un chien il aime pas l'étranger 
J'ai contacté mon assurance pour expliquer il m'a dit de faire contre expert 
Le prix 900€ à ma charge , je vous conseille éviter de assuré chez MAAF assurances c'est mauvais assurance pour les particuliers avec leur expert
En plus de ça je vais résilier tout mes contrats + j'ai ramène 8 personnes chez MAAF je vais contacter pour changer leur assurance 
MAAF avec leur pub 
Un gamin de l'expert à l'agence  AUTO EXPERTISE CHOLET 
</t>
  </si>
  <si>
    <t>christophe-61153</t>
  </si>
  <si>
    <t xml:space="preserve">contrat auto radié d'une façon complètement abusive et arbitraire après plus de 30ans comme client !!
avec un bonus de 0,52, RC pro radié pour "évolution politique de souscription" sans avoir eu aucun sinistre, je retire tous mes contrats, accueilli avec plaisir à la macif ! </t>
  </si>
  <si>
    <t>05/02/2018</t>
  </si>
  <si>
    <t>cathy-61126</t>
  </si>
  <si>
    <t xml:space="preserve">pas de probléme avec mon assurance mais peu besoin de ses services
</t>
  </si>
  <si>
    <t>weendy29-60855</t>
  </si>
  <si>
    <t>Terrible! Ne surtout pas aller chez eux pour une assurance auto et habitation! Malgré les lois mise en place par l'etat il est impossible de résilié avec eux!!!!!!!!!!</t>
  </si>
  <si>
    <t>26/01/2018</t>
  </si>
  <si>
    <t>br-60659</t>
  </si>
  <si>
    <t>Viré pour des bris de glace</t>
  </si>
  <si>
    <t>19/01/2018</t>
  </si>
  <si>
    <t>anana-60624</t>
  </si>
  <si>
    <t>Mauvais accueil, employés désagréables et qui n'hésitent pas à etre insultant envers sa clientèle.
/!\ En plus ils ajoutent des options dans les contrats. 
On m'a ajouté à mon insu une Assurance-Décès alors que j'avais demandé une simple assurance auto.... 
(MAAF FREJUS)</t>
  </si>
  <si>
    <t>18/01/2018</t>
  </si>
  <si>
    <t>villeloin-60612</t>
  </si>
  <si>
    <t>Assuré depuis 2016 dans cette cie avec 50 % de bonus et sans accident
j' ai eu la surprise de voir ma prime d' assurance augmentée de près de 14 %. Un conseiller m' explique dans 1 er temps que les sinistres ont augmenté en 2016 ce qui génèrent cette augmentation. Suite aux 2 mois gratuits accordés aux nouveaux adhérents début 2017, je me permets de contacter à nouveau la maaf pour qu' elle m' explique cette politique qui consiste d' un côté d' augmenter les primes des clients actuels et d' octroyer  la gratuité pour les nouvelles adhésions. l' explication, je m' en doutais c' est un budget spécifique pour cette opération promotionnelle et pour mon cas personnel il n y a pas de négociations possibles.</t>
  </si>
  <si>
    <t>mookie69570-60405</t>
  </si>
  <si>
    <t>Assurance qui na pas voulu prendre en charge un dégât non responsable sur ma voiture, petites rayures faite par des enfants sur toute la voiture, je suis assurer tout risque et la conseillère me dit d'abord d'aller déposer plainte pour que le dossier soit ouvert, se que je fait et ensuite je rappel et là on me dit que j'aurai une franchise de 200euros et que le montant des réparations sera plafonner a la valeur du véhicule après expertise car le véhicule a de plus de 10 ans. 
Je prend énormément soin de ma voiture sur tout les plans donc je l'assure tout risque aussi et cela depuis le début que je la possède, elle est de 1999 et j'en suis propriétaire depuis 2010. Je penser que la MAAF était mieux que PACIFICA mais je me suis tromper, il sont pareil, on paye mais trouve toujours une excuse pour pas prendre en charge le dégât même en étant non responsable. A fuir</t>
  </si>
  <si>
    <t>11/01/2018</t>
  </si>
  <si>
    <t>ricemau34-60330</t>
  </si>
  <si>
    <t>Cliente pendant plus de 10 ans pour l'assurance auto, j'étais jusqu'à présent plutôt satisfaite des prix et des garanties. Je précise qu'en 10 ans, j'ai payé la maaf sans leur coûter un seul centime, zéro sinistre à déclarer. J'ai déménagé plusieurs fois. Je suis passée dans un premier temps du Gard à l'Ardèche. Les risques de dégradation étant plus faibles en Ardèche, ma cotisation annuelle à diminué d'environ 50€ sur chaque véhicule. 3 ans plus tard, je fais l'inverse, je quitte l'Ardèche pour le Gard (Nîmes). Une conseillère me contacte pour m'informer d'une forte augmentation tarifaire. Tenez vous bien : plus 300 euros annuel pour mon véhicule récent en tous risques et  plus 250€ pour un véhicule au tiers qui a plus de 10 ans et 215000km. Alors là c'est plus une augmentation, c'est un changement tarifaire sidérant.  Bien évidemment je vais résilier tous mes contrats chez eux et je déconseille fortement cet assureur. Petite blague : la conseillère de l'agence du Gard m'a conseillé de déménager car dans une commune située à 10km de la mienne je paierai moins cher. De qui se moque t'on??</t>
  </si>
  <si>
    <t>09/01/2018</t>
  </si>
  <si>
    <t>tichougras-60148</t>
  </si>
  <si>
    <t>cliente depuis presque 30 ans avec seulement 2 sinistres auto! Déception totale depuis cette année, augmentation de 30% de mon contrat auto sans explication cohérente (et malgré même la progression de mon bonus), erreur sur declaration sinistre (1 en trop!), erreur sur enregistrement declaration km par internet pourtant bien faite, résiliation contrat par erreur en cours d'année!, envoi très tardif des avis d'échéances ne permettant pas la renégociation (18/12 pour échéance au 01/01!)....</t>
  </si>
  <si>
    <t>olivier78-59936</t>
  </si>
  <si>
    <t>AUGMENTATION DE 6% EN 2018 A GARANTIES EGALES ET SANS AUCUN CHANGEMENT NI SINISTRE DEPUIS LA SOUSCRIPTION DU CONTRAT</t>
  </si>
  <si>
    <t>24/12/2017</t>
  </si>
  <si>
    <t>francky-59852</t>
  </si>
  <si>
    <t>MAAf se fou royalement du client,les conseils vont dans leurs sens. maaf a voulut  m,empecher de reassurer un vehicule apres l,avoir retirer en remplacant d'un autre sous pretexte que l,on a pas le droit de garder un vehicule chez soi sans assurance</t>
  </si>
  <si>
    <t>20/12/2017</t>
  </si>
  <si>
    <t>macounet57-59625</t>
  </si>
  <si>
    <t>Cet assureur m'impose 20 % de hausse sur 3 ans ! malgré un bonus de 50% et aucun sinistre.
Je suis assuré chez eux depuis 36 ans pour deux véhicules et ma maison.</t>
  </si>
  <si>
    <t>13/12/2017</t>
  </si>
  <si>
    <t>dleg-59593</t>
  </si>
  <si>
    <t>Hallucinant ! Client chez Maaf depuis 2005 avec 2 véhicules (bonus 50% les 2), je viens d'apprendre le jour où je souhaite faire le remplacement du second véhicule suite à un sinistre (non réparable) que le siège de MAAF nous refuse tout remplacement de ce véhicule ... Nous n'avions pas souscrit l'option véhicule de remplacement, nous avons donc été obligé d'en acheté un second rapidement pour nos trajets et on me dit non, trop de sinistralité !!!
En gros, 2 bris de glace, un accident, tu dégages !!
Et en plus, je viens de découvrir que j'aurais pu bénéficier de 10% de remise sur le second véhicule depuis 10 ans ...
J'ai l'impression qu'ils ne veulent garder que les clients qui n'ont besoin de rien ou qui ont la chance de n'avoir jamais de problème ...
A fuir !!!!</t>
  </si>
  <si>
    <t>12/12/2017</t>
  </si>
  <si>
    <t>lorient54-59543</t>
  </si>
  <si>
    <t>Lorsqu’on est assuré chez eux les anciens clients ne comptent plus Ils n ont plus d avantage car depuis que j y suis mon assurance n arrête pas d’augmenter</t>
  </si>
  <si>
    <t>10/12/2017</t>
  </si>
  <si>
    <t>un-novice-59435</t>
  </si>
  <si>
    <t>véhicule principal assuré auprès de la maaf depuis 21 ans, bonus a vie maaf 50 % depuis 2007 avec bonus lauréat 8%, sommes versées a la Maaf en 21 ans 17000 euros environs ( je n'ai pas la trace du cout des primes versées les premières années). j'ai couté à la Maaf 9613,54 euros montant obtenu sur mon dossier rubrique sinistres IARD. sans la convention indemnisation directe de l'assuré, j'aurais couté à la Maaf 5000 euro de moins. Comment je le sais, j'ai envoyé un recommandé avec accusé réception pour que le maaf me communique les données me concernant en sa possession. Eh bien, d’après eux, ils n'ont jamais reçu ce recommandé, et il a fallu l'intervention de la CNIL pour obtenir ces données et alors que la CNIL leur avait donné 15 jours pour me communiquer ce dossier, je ne l'ai reçu que 16 jours après le courrier de la CNIL. dossier demandé en aout 2017, obtenu fin novembre 2017, ce qui est amusant c'est que dans le dossier il ne garde que les 3 dernières années de contact clientèle mais que l'on y voit des commentaires négatifs datés de 2011. pourquoi avoir demandé mon dossier: il me l'a été dit par une connaissance en qui j'ai parfaitement confiance qu'avec mon dossier Maaf aucune possibilité de négocier quoi que ce soit en cas de problème. je n'ose même pas imaginer ce que contient les dossiers de clients qui ont plus de sinistres que moi. Bref aucun respect des clients fidèles depuis des années. Un conseil, demandez à ce que votre dossier vous soit communiqué et si deux mois après s'il ne le font pas saisissez la CNIL. changez d'assureur régulièrement, vos cotisations baisseront car pour attirer les nouveaux clients ils baissent les tarifs qu'ils compensent lors des années suivantes avec les augmentations qu'ils justifient par l'augmentation du cout des réparations.</t>
  </si>
  <si>
    <t>06/12/2017</t>
  </si>
  <si>
    <t>tsaesb-59334</t>
  </si>
  <si>
    <t>Aucun respect pour la fidélité.</t>
  </si>
  <si>
    <t>03/12/2017</t>
  </si>
  <si>
    <t>tristan691-59051</t>
  </si>
  <si>
    <t>Une catastrophe !!! 8 ans de permis et d'assurance sans le moindre accrochage, la moindre déclaration. Et là un orage de grêle et on me compte un bris de glace plus dégâts carrosserie ( Comme si j'était monsieur météo ou comme si je pouvais gentiment demander à la grêle d'endommager uniquement ma carrosserie). Suite à celà j'ai attendu 6 mois pour mon expertise, 3 mois plus tard toujours pas de nouvelles et la Maaf m'appelle pour me signaler que mon véhicule n'avait toujours pas été expertisé. J'ai donc posé une autre journée pour que le même expert revoit le même véhicule dans le même garage !!!!! Et pour couronner le tout j'ai reçu le mois dernier une lettre de radiation et suis maintenant dans l'incapacité de trouver un nouvel assureur</t>
  </si>
  <si>
    <t>23/11/2017</t>
  </si>
  <si>
    <t>brenda-58632</t>
  </si>
  <si>
    <t xml:space="preserve">La déception est aussi grande que le dégout que j'éprouve en ce moment. 
5 ans assuré et 2 ans en deuxième conducteur et je reçois un courrier de résiliation du contrat pour motif "fréquence de sinistres" non responsable (voiture enfoncé sur un parking) avec un BONUS à 0.68
Je me suis dis au début c'est une blague mais non on cotise pour une assurance, on se fait défoncer sa voiture et c'est de notre faute bien sur. De plus ils ont pas considérations humaines pour le coup. 
En signant le contrat on informe pas le client de ce détail... Je RECOMMANDE PAS CETTE ASSURANCE </t>
  </si>
  <si>
    <t>06/11/2017</t>
  </si>
  <si>
    <t>biclou31-58561</t>
  </si>
  <si>
    <t xml:space="preserve">20 ans que j'étais client chez MAAF : une assurance voiture avec bonus à 0.50 depuis 10 ans, une assurance maison, les assurances scolaires certaines années, une assurance vie et voilà que je viens de me faire résilier par courrier (même pas un coup de fil !!!) tous mes contrats parce qu'en 2017, j'ai eu 2 accrochages (certes responsables ... la loi des séries !) et un cambriolage en 2016.
Bref, un assureur qui n'assure plus en cas de problème n'est pas vraiment un (bon?) assureur...
A bon entendeur, salut la MAAF ! 
</t>
  </si>
  <si>
    <t>03/11/2017</t>
  </si>
  <si>
    <t>chopper-58461</t>
  </si>
  <si>
    <t>client depuis 2010 MOTO MAISON VOITURE
voiture toujours 2 en meme temps harley et pick up
je viens de recevoir ma radiation pour frequence sinitres 2000 EURO en 2017 VOUS DEVEZ AVOIR UN PROBLEME A LA MAAF</t>
  </si>
  <si>
    <t>29/10/2017</t>
  </si>
  <si>
    <t>bv-58349</t>
  </si>
  <si>
    <t>pas toujours bien placer point  de vue prix !
D'autre compagnies moins chères avec les mêmes garanties</t>
  </si>
  <si>
    <t>ben-58205</t>
  </si>
  <si>
    <t xml:space="preserve">Résilié comme beaucoup de gens dans les commentaires par des pseudo accident responsable. 2 vandalisme sur carosserie, une sortie de parking sur route en hiver et l'assurance n'a même pas chercher à me défendre . Je paie tous les mois donc bingo, malus + augmentation de cotisation. On paie des assurances pour se faire jeté. Les pubs pour des prix bas et rien derrière. </t>
  </si>
  <si>
    <t>19/10/2017</t>
  </si>
  <si>
    <t>fabien-58043</t>
  </si>
  <si>
    <t>A éviter!
J'ai eu un accident non-responsable (avec preuves) mais l'assurance conclue une responsabilité à 50% pour la franchise et le malus et ne pas s'embêter non plus (j'engage actuellement un procédure contre MAAF je suis donc persuadé de ma non responsabilité).
"Ni efficace, ni pas chère c'est la MAAF qui coute plus cher"</t>
  </si>
  <si>
    <t>jenil-57898</t>
  </si>
  <si>
    <t xml:space="preserve">Très déçu par la Maaf. Lors de vacances en famille nous sommes tombés en panne nous avons donc joint le service d'aide. Toutes la journées nous avons eu affaire à des personnes différentes qui des fois ne prenaient pas le temps de lire notre dossier. De plus certaines ont été très désagréables. Nous avons attendus 7h au garage pour finalement rentrer chez nous car la maaf n'avait pu nous fournir aucune solution adaptée. Les seules propositions faites ont été de nous donner des voitures type ford classe B (coffre minuscule) alors que nous étions quatre avec des animaux et une voiture de type renault espace </t>
  </si>
  <si>
    <t>08/10/2017</t>
  </si>
  <si>
    <t>aurmix-57841</t>
  </si>
  <si>
    <t xml:space="preserve">J'ai eu besoin de l'assurance l'année dernière pour un sinistre, tout s'est déroulé à merveille et s'est réglé rapidement. Dernièrement j'ai eu besoin de l'assistance, sa été rapide, efficace et ils ont tenu compte de mes besoins. </t>
  </si>
  <si>
    <t>deville-57701</t>
  </si>
  <si>
    <t>Tout commentaire serait désagréable....</t>
  </si>
  <si>
    <t>29/09/2017</t>
  </si>
  <si>
    <t>fufu62-57335</t>
  </si>
  <si>
    <t>HONTEUX ! C'est une machine à fric !
Client depuis 10 ans, aucun accident, bonus de 0.57.
Je veux ajouter un nouveau véhicule neuf à mon nom et seul conducteur dessus. Pas possible car ma femme est malusée (dans une autre assurance !). A quoi ça sert d'être fidèle à un assureur, je ne suis pas responsable du malus de ma femme !
Je suis outré - FUYEZ !!
(Agence d'Armentières dans le Nord)</t>
  </si>
  <si>
    <t>14/09/2017</t>
  </si>
  <si>
    <t>missmaaf-57257</t>
  </si>
  <si>
    <t xml:space="preserve">34 ans d'assurance chez MAAF ... 3800 euros de cotisations payées chaque année ....  Et bien aujourd'hui, je constate que la fidélité ne sert à rien.  La MAAF n'en tient pas compte.  
Un sinistre dont ils doutent  la véracité des faits .... 
Bénéficiaire du bonus à vie, assurée tout risque !
Pour qu'en phase finale, mon sinistre ne soit  pas pris en charge.
Quel en aurait été mon intérêt de faire une fausse déclaration ????
Là .... je ne suis plus !!!!!
Donc,  je les ai informés lors de mon rendez-vous de ce jour de mon mécontentement et  que je partais de chez eux  ...
Un véritable  gachis .........................
</t>
  </si>
  <si>
    <t>11/09/2017</t>
  </si>
  <si>
    <t>thotho-57163</t>
  </si>
  <si>
    <t>A éviter si vous êtes fidèle à votre assurance (30 années), que vous n'avez eu qu'1 seul sinistre responsable.</t>
  </si>
  <si>
    <t>07/09/2017</t>
  </si>
  <si>
    <t>malaya-56870</t>
  </si>
  <si>
    <t>Plus de 30 ans de MAAF, 50 % de bonus, 8 % de prime bon conducteur. L'an passé petit accrochage sur un parking privé, donc responsable à 50 %. Cette année on m'annonce par téléphone que ma franchise va passer de 300 à 500 euros et que c'est comme ça y'a pas à discuter. L'année avant et sans sinistre elle était déjà passée de 200 à 300 euros sans explication ... Je commence à bouillir. A quoi à sert de signer des contrats si tout est remis en question à la moindre peccadille !! Depuis deux ans, je commence à être mécontente de la MAAF. Auparavant aucun problème. De plus je pense que leurs tarifs ne sont pas très avantageux, je pense aller voir ailleurs.</t>
  </si>
  <si>
    <t>25/08/2017</t>
  </si>
  <si>
    <t>01/08/2017</t>
  </si>
  <si>
    <t>othmane-56819</t>
  </si>
  <si>
    <t>Impossible de se rétracter sans payer.
Ils ont refuser de me rembourser la somme payée 
LA MAAF refuse de me rembourser, et un litige est en cours. c'est vraiment la galere et les conseillers ne parlent pas bien, je ne recommande pas du tout</t>
  </si>
  <si>
    <t>22/08/2017</t>
  </si>
  <si>
    <t>datcha-56587</t>
  </si>
  <si>
    <t xml:space="preserve">Client MAAF depuis plus de 10 ans et bénéficiaire du bonus à vie et du tarif lauréat maximum sur 3 véhicules depuis de très nombreuses années, je me vois aujourd'hui "taxé" arbitrairement par la MAAF d'une augmentation de franchise parce que j'ai eu mon deuxième accident responsable (sans tiers concernés donc sans dépenses pour partie adverse) cette année 2017, le précédent datant de 2014 et tout deux lors de manœuvres avec mon camping car de 7.50m de longueur.
J'ai protesté considérant qu'il s'agit ici d'un malus déguisé, mais MAAF semble persister ( ce qui tente à prouver son peu d'objectivité et d'analyse) donc j'étudie sérieusement la résiliation de tous mes contrats. </t>
  </si>
  <si>
    <t>09/08/2017</t>
  </si>
  <si>
    <t>daniel-56364</t>
  </si>
  <si>
    <t>nous avons 8 contrats à la MAAF,plus 3 multirisques avec ma belle mère ,mon épouse en faisant un demi-tour en marche arriere a percuté ma voiture=une aile froissée.(ceci c'est passé à notre domicile)dans les minutes qui suivent je poste les photos à mes amis sur FB.donc la voiture n'a pas bougée.L'expert de la MAAF décide que ce n'est pas possible,donc....c'est pour vos pieds cher SOCIETAIRE.Expert à la botte de l'assureur.Donc en résumé je suis un fraudeur,je fais une fausse déclaration ect...Face à cet expert incompétent je vais faire procéder à une contre expertise dès la semaine prochaine avec reconstitution des véhicules en place(nous disposons de 4 voitures) l'expert avait méme égaré le dossier de mon épouse nous jurant qu'il n'avait pas expertisé le véhicule,il a fallut que le garage lui rafraichisse la mémoire à ce MR,il a retrouvé le dossier et a classé sans suite.voila comment travaille l'expert de la MAAF.En tout cas je pense très sérieusement à résilier les 11 contrats,et à aller voir ailleurs.Non MR MAAF je suis honnète,sur la tete de mes 3 enfants et de mes 5 petits enfants,je suis pas arrivé à 67 ans pour faire une fausse déclaration!</t>
  </si>
  <si>
    <t>29/07/2017</t>
  </si>
  <si>
    <t>01/07/2017</t>
  </si>
  <si>
    <t>chris13320-56355</t>
  </si>
  <si>
    <t>Assurance incompétente qui fait souscrire un contrat par telephone et qui vous résilie après rdv en agence !!!</t>
  </si>
  <si>
    <t>28/07/2017</t>
  </si>
  <si>
    <t>mms-56151</t>
  </si>
  <si>
    <t xml:space="preserve">Savez qu'un jeune conducteur doit être «présenté» par  un membre de la famille assuré à la MAAF pour obtenir un devis. Comment fait un jeune qui n'a pas papa et maman derrière. Inadmissible de la .part d.une assurance mutualiste. Proche du refus de vente. </t>
  </si>
  <si>
    <t>20/07/2017</t>
  </si>
  <si>
    <t>laurent-56128</t>
  </si>
  <si>
    <t>10 ans d'ancienneté à la MAAF, plus de 1600 euros de primes d'assurances diverses dont 2 voitures : pour l'une, 1 bris de glace en 2017 et un autre en 2016, pour l'autre 1 bris de glace en 2016 et un acte de vandalisme en 2015 avec tiers identifié et procédure judiciaire en cours... pas une responsabilité dans tout ça et pourtant on vient de m'avertir que j'allais être résilié pour sinistres trop nombreux alors que je bénéficie d'un bonus de plus de 50% dont une des 2 voitures allait avoir au 1er janvier 2018 le bonus à vie (ceci explique peut être cela).
Quelle surprise! Quel sentiment de trahison!
Je m'en vais "déménager" tous mes contrats chez un autre assureur/mutuelle de confiance.</t>
  </si>
  <si>
    <t>paula-52297</t>
  </si>
  <si>
    <t>Une assurance qui respecte ses clients et qui tient ses engagements , je regrette d'être parti pour mon assurance auto mais étant jeune conductrice le tarif était trop élevé</t>
  </si>
  <si>
    <t>04/07/2017</t>
  </si>
  <si>
    <t>anna-55386</t>
  </si>
  <si>
    <t>quand tout va bien. Le jour où vous avez besoin de lui (sinistre non responsable ) il montre son vrai visage : service client odieux voire cynique qui vous fait bien sentir que vous êtes un "boulet". On ne demande que son dû ou quelques éclaircissements sur son dossier sinistre (après plusieurs mails sans réponse) on se retrouve à se faire réprimander. Aucun dialogue possible : ils ont raison ("l'expert ne fait jamais d'erreur " m'a -t-on dit !!! stupéfiant) vous avez tort. Il n'y a rien à attendre de plus
Vous raccrochez complètement hébétée avec en plus la désagréable sensation d'être "la chieuse de service" ....
FUYEZ !!!</t>
  </si>
  <si>
    <t>15/06/2017</t>
  </si>
  <si>
    <t>chris-55372</t>
  </si>
  <si>
    <t>Je suis entièrement d'accord, la MAAF n'est plus une mutuelle mais bien une assurance. Elle vous prend en otage avec la franchise, soit tu acceptes l'augmentation, soit, le contrat est résilié de plein droit à la date d'échéance. Je suis assurée depuis 35 ans, malheureusement j'ai eu 3 sinistres sur 3 ans dont 2 non responsables, il me double la franchise qui passe de 200 à 400 €. Il n'y a plus de relations clients. Nous sommes un n° de contrat avec des statistiques. Cela ne sert plus à rien de rester fidèle à quelques organismes que ce soit. C'est bien dommage
Christine</t>
  </si>
  <si>
    <t>14/06/2017</t>
  </si>
  <si>
    <t>elite77-55321</t>
  </si>
  <si>
    <t>cela fait 15 ans que je suis chez eux 4 vehicules assuré plus mon habitation .on m'a vole mon vehicule au mois de janvier et depuis je galere pour etre indemnisé . il m'on bien propose 1500€ pour un vehicule coté 4600€ comme j'ai refusé leur aumone il ne veulent pas me rembourser sous pretexte que je ne peut pas fournir de justificatif d'achat alors que l'ancien proprietaire m'a fourni une attestation avec la somme payée pour le vehicule .j'ai contacte leur service reclamation qui m'on rigolé au nez en me disant que je n'avais qu'a joindre le mediateur,et pendant ce temps la je continu a payer l'assurance d'un vehicule que je ne possede plus (normal).</t>
  </si>
  <si>
    <t>ahatuaimeraibienlesavoir-55259</t>
  </si>
  <si>
    <t>Vraiment professionnel agence d annemasse a eviter absolument directeur et secretaire tres lamentable ne surtout pas faire credit auto avec eux!!!!</t>
  </si>
  <si>
    <t>10/06/2017</t>
  </si>
  <si>
    <t>mpa84-54206</t>
  </si>
  <si>
    <t>ATTENTION, assureur a éviter. Ne vous laissez pas séduire par des promesses televisées bidons. Je vie actuellement un vrai cauchemar et c'est pas fini. Je déconseille vivement cette assurance qui peut paraître pour certain comme sur. UNE CATASTROPHE. elle assure que dalle</t>
  </si>
  <si>
    <t>21/04/2017</t>
  </si>
  <si>
    <t>centine-54128</t>
  </si>
  <si>
    <t>ah ah ah, si vous n'etes pas client chez eux, ils ne souhaitent pas assurer de jeunes conducteurs. Bravo, belle assurance!!!!!!!pour  moi une assurance à mettre au panier, jeune assureur deviendra vieux, j'espère que dans quelques années ils s'en mordront les doigts!!</t>
  </si>
  <si>
    <t>18/04/2017</t>
  </si>
  <si>
    <t>stephane-53108</t>
  </si>
  <si>
    <t>Après 10 ans sans sinistre ni problème, suite à un excès de vitesse (134 km/h pour 90 autorisés), la MAAF a unilatéralement résilié mon contrat automobile et mon contrat moto !
Du coup, je me retrouve dans la panade pour en retrouver un nouveau. Merci la MAAF !</t>
  </si>
  <si>
    <t>09/03/2017</t>
  </si>
  <si>
    <t>pandemon-x-51233</t>
  </si>
  <si>
    <t>17 % d'augmentation en janvier 2017 et c'est "normal"</t>
  </si>
  <si>
    <t>12/01/2017</t>
  </si>
  <si>
    <t>sadyilmaz-50924</t>
  </si>
  <si>
    <t xml:space="preserve">num. dossier sinistre MAAF: B1709424
Dégat suite au sinistre dont je n'ai aucune responsabilité engagée: feux arrière gauche cassé, pare-choc arrière plié, troué et rayé, coffre ne veux pas se fermer correctement.
Expertise par photo à distance par expert de la MAAF (societe ATHEXIS à Angers situé sur l'Avenue Patton). 
Dégats constaté par l'expert: feu arrière gauche cassé (à changer). Le disfonctionnement du coffre sera due à l'usure pour un véhicule totalisant 157000kms. Le pire est à venir, pour le pare-choc arrière, il précise que le dommage est sans relation avec le sinistre.
Suite à cela je contact MAAF qui me préconise de faire une contre expertise à mes frais, non remboursé même si mon expert me donne raison et convaic l'expert de la MAAF. Cela ne suffit pas, car si les deux experts ne se mettent pas d'accord, MAAF engagerai un troisième expert qu'il faudra que je paie à hauteur de 50%.
J'était chez direct assurance auparavant, je croie que je vais y retourner. Eux m'avait rembourser ma contre-expertise à l'époque... 
Dommage, j'avais rapatrié mes deux contrats auto, mon assurance habitation et l'assurance scolaire de mon fils chez MAAF. 
Partit comme cela, je vais devoir tout résilier....
Vraiment déçu de MAAF...
Ca à de l'argent pour faire des pubs à n'en pas finir à la TV, mais quand il faut dédommager les sinistrés, le portefeuille, on le voit plus....
</t>
  </si>
  <si>
    <t>04/01/2017</t>
  </si>
  <si>
    <t>gice-50829</t>
  </si>
  <si>
    <t xml:space="preserve">MAAF ASSURANCE NE RESPECTE PAS SES ENGAGEMENTS 
NE VOUS LAISSE PAS LE CHOIX DE VOTRE EXPERT NI DE VOTRE DÉPANNEUR ENCORE MOINS DU GARAGE DEVANT EFFECTUER LES RÉPARATIONS </t>
  </si>
  <si>
    <t>polly-50574</t>
  </si>
  <si>
    <t xml:space="preserve">A l ouverture de vos contrats on vous déroule le tapis rouge, ensuite pour un renseignement vous galérez et là j ai fait un poc sur un pare choc et je suis résiliée aprés 5 ans chez eux!! et puis il faut voir avec quelle amabilité on m a gentillement invitée à changer d assurance pour la fin de l année. on paie pour quoi ???? je ne recommande vraiment pas cette assurance, menteurs imbus de leur personne et "fantôme" !!! </t>
  </si>
  <si>
    <t>22/12/2016</t>
  </si>
  <si>
    <t>rfr-50048</t>
  </si>
  <si>
    <t>Client chez eux depuis que j'ai le permis (2006), je suis résilié sans aucun accident responsable. A éviter vraiment, assurance loin d'etre bon marché, elle ne dispose pas plus de garantie qu'une autre assurance. Les entretiens téléphoniques sont LOIN d'être cordiales et agréables (limite désagréables)</t>
  </si>
  <si>
    <t>08/12/2016</t>
  </si>
  <si>
    <t>gilbert-49884</t>
  </si>
  <si>
    <t>je suis déçu ,je pensais que vous étiez plus à l'écoute de vos clients.Je serai autrement resté client</t>
  </si>
  <si>
    <t>04/12/2016</t>
  </si>
  <si>
    <t>florentbro-49572</t>
  </si>
  <si>
    <t xml:space="preserve">Ma mère emboutit mon véhicule en se garant à côté de mon véhicule et sous mes yeux !. On fait une déclaration .elle se fait indemniser sans problème par son assureur (pacifica) tandis que la maaf me refuse le remboursement prétextant fausse déclaration selon son expert' je me serai fait cela tout seul avec un objet ou le service sinistre maaf évoque même que ma concubine Co conductrice aurait pu faire l'accrochage sans me le dire avec un objet fixe sur la route !! Je fais appel à un expert indépendant et qui dossier à l'appui atteste qu'un accrochage a eu lieu en manœuvrant , véhicule de couleur blanche ,accréditant ma déclaration . Résultat la maaf ne veux rien entendre l'expert payé par la maaf refuse tout contacte avec l'expert indépendant aucune conciliation aucune discution RIEN . Scandaleux. Pourtant assuré pendant 10 ans à la maaf . Depuis je suis partit à la maif et c'est le jour et la nuit ! </t>
  </si>
  <si>
    <t>26/11/2016</t>
  </si>
  <si>
    <t>01/11/2016</t>
  </si>
  <si>
    <t>Je m'apprête à quitter MAAF, car ASSURLAND propose un tarif inférieur dans cette assurance, et 200€ de moins chez MMA. je suis à 50% depuis plus de 15 ans!
La réclamation est prise à la légère, voire par le mépris.</t>
  </si>
  <si>
    <t>24/11/2016</t>
  </si>
  <si>
    <t>nsr691-49377</t>
  </si>
  <si>
    <t>les prix augmentent SANS raisons, je suis déçu je vais changer
il est totalement anormal que l'on augmente mes cotisations de pres de 10% alors que je suis au bonus 50% auto moto sans sinistre</t>
  </si>
  <si>
    <t>20/11/2016</t>
  </si>
  <si>
    <t>danyaude-138966</t>
  </si>
  <si>
    <t>La MAIF vous vire au bout de vingt ans sans arguments du jour au lendemain. (dégradation de la relation client) belle excuse de leur part!!!
Fuyez cette assurance et allez voir ailleurs</t>
  </si>
  <si>
    <t>MAIF</t>
  </si>
  <si>
    <t>04/11/2021</t>
  </si>
  <si>
    <t>01/11/2021</t>
  </si>
  <si>
    <t>bibine-138929</t>
  </si>
  <si>
    <t xml:space="preserve">Assurée depuis 11 ans chez eux je viens de recevoir une lettre de résiliation de tous mes contrats en raison d altération de relation commerciale aucun souci cette année avec eux le seul contact que j ai eu c est que j ai déménagé  et en plus je paye plus cher bref.... lamentable 
A la sortie je paye beaucoup moins cher ailleurs ça me rend service finalement 
</t>
  </si>
  <si>
    <t>will-135900</t>
  </si>
  <si>
    <t>Je n’ai heureusement eu à faire appel à la Maif que deux fois, mais à chaque fois ils ont été incroyablement réactifs. Cette fois-ci ils m’ont envoyé une dépanneuse en un temps record et ils m’ont trouvé une voiture de location en moins de cinq minutes (en s’excusant de m’avoir fait attendre!). Il est évident que l’on a plus tendance à laisser des commentaires en ligne lorsque l’on est mécontent, mais dans ce cas c’est tellement positif que je me dois de partager. Même l’employé du garage m’a dit que parmi toutes les assurances avec lesquelles il travaille, la Maif est la plus efficace. 
Donc n’écoutez pas que le négatif…</t>
  </si>
  <si>
    <t>04/10/2021</t>
  </si>
  <si>
    <t>peregrina-134228</t>
  </si>
  <si>
    <t>Assuré à la MAIF depuis plus de 30 ans , avec des cotisations supérieures à 3000€/an , un sinistre n'a pas été pris en charge sous prétexte qu'il était prévisible.
En aucun cas , mes arguments n'ont été pris en compte.
Les différentes assurances (auto , habitation..) sont chères , et la politique de conciliation  , qui existait au début de l'assurance , est bien enterrée.
A fuir.....</t>
  </si>
  <si>
    <t>23/09/2021</t>
  </si>
  <si>
    <t>far-132601</t>
  </si>
  <si>
    <t xml:space="preserve">je ne sais pas si on peut parler d'assurance en tant que tel. 
Ma mère est assurée depuis 31 ans et est a jour de ses cotisations 
Elle vient d'avoir un accident non responsable, aucune assistance et proposition de rachat de son véhicule a un prix dérisoire digne de marchand de tapis ! 
indigne d'un assureur d'abuser de l'âge avancé des personnes... 
Allez y pour payer vos cotisations mais ne comptez pas sur l'assurance pour vous indemniser un dommage non responsable causé par un tiers identifié! 
Je n'ose imaginer si on est responsable...
J'ai été assuré chez AXA et ALLIANZ et même des courtiers (avec 4 dommages non responsables) leur qualité a été du coup admirable en relation avec ce que ma mère vit à cause de la MAIF.
</t>
  </si>
  <si>
    <t>13/09/2021</t>
  </si>
  <si>
    <t>ludmilla-131740</t>
  </si>
  <si>
    <t>Assurée à la MAIF auto. Mon véhicule a été sinistré dans mon propre parking en février 2020. Le choc a été tellement puissant qu'il a reculé et percuté le mur enfonçant le coffre, en plus de l'avant (capot/moteur...) ; devant les dégâts le dépanneur m'a demandé si l'accident était dû à un carambolage ! Arrivés à Citroën en fin d'après-midi le chef carrossier m'a posé la même question.
J'ai appelé la MAIF et vraiment la gestion de ce dossier a été remarquable : à chaque hésitation décisionnelle de savoir si j'acceptais les réparations ou la proposition de rachat du véhicule, etc., tous les interlocuteurs que j'ai eus ont été au taquet, présents, rassurants, agréables et patients, il en a été de même avec l'expert et le chef carrossier. Bien sûr ce type de sinistre, et dans les conditions du confinement tout de même, ne se sont pas réglés en une journée, cela génère un certain nombre de documents, d'appels téléphoniques, etc. Ma déclaration a été faite 4 février et mon compte a été crédité en début d'avril 2020 ! En ce qui me concerne, et j'insiste sur le "me concerne", tout a été parfait. J'ai racheté une voiture en juin 2021 avec pour assureur la Maïf.</t>
  </si>
  <si>
    <t>07/09/2021</t>
  </si>
  <si>
    <t>citesdor-130468</t>
  </si>
  <si>
    <t>Cela fait des années que je suis à la MAIF pour ma voiture et un temps pour la moto en plus. Il m'est arrivé d'avoir un accident (non de ma faute) ou des soucis avec le pare-brise. Ils ont toujours été très réactifs, sans chercher de souci et compétents. Au niveau administratif quand on demande un papier tout est fait très rapidement aussi. Bravo à eux !</t>
  </si>
  <si>
    <t>03/09/2021</t>
  </si>
  <si>
    <t>ayers96-129484</t>
  </si>
  <si>
    <t>L'assureur jadis militant est devenu une machine à faire de l'argent ne prenant plus en compte les intérêts de ses assurés. Le fric et la rentabilité sont devenus les mots d'orde de cette mutuelle. Alors que je conduis un véhicule automobile depuis 40 ans sans le moindre accident responsable, il a suffi de 3 sinistres (véhicule heurté à l'arrière en stationnement et à un feu rouge, pneu grevé sur autoroute) pour déclencher les foudres de l'assureur militant. Pitoyable, lamentable et dans cet air du temps qui ne respecte rien ni personne.</t>
  </si>
  <si>
    <t>25/08/2021</t>
  </si>
  <si>
    <t>sylviane-126057</t>
  </si>
  <si>
    <t>J'ai résilié uniquement mon assurance car cliente chez vous depuis de nombreuses années, je payais mon assurance au tiers plus cher que l'assurance tout risque. Dommage que vous m'ayez pas contacté pour descendre votre tarif.</t>
  </si>
  <si>
    <t>02/08/2021</t>
  </si>
  <si>
    <t>emmal0610-125260</t>
  </si>
  <si>
    <t xml:space="preserve">Très décue.. En effet en voulant changer d'automobile, le devis proposé par la maif été beaucoup trop excessif. De ce fait, je décide de résilier mes contrats pour aller ailleurs. 
Je découvre alors (au mois de juin) que mon assurance habitation (pour un logement que j'ai quitté en mars) n'avait toujours pas été résilié. 
Je les appelles (en attendant 25 minutes sur le serveur d'accueil), on m'avance que je serais rembourser au plus vite pour l'assurance habitation &amp; pour l'assurance auto. Patience, patience: je rappelle le 16 juillet ou l'on me dit que le virement serait effectué le 12 aout. 
Lorsqu'il s'agit de nous prélever c'est très simple en revanche dès lors qu'il s'agit de rembourser = plus personne. 
J'ai du pousser un coup de gueule pour qu'enfin on me rembourse mes 250€ que j'attendais.  </t>
  </si>
  <si>
    <t>28/07/2021</t>
  </si>
  <si>
    <t>flo-123409</t>
  </si>
  <si>
    <t xml:space="preserve">Bonjour
Je suis désolé mais moi aussi je vais quitter la maif , j'ai un véhicule, trois assurances habitation, et le pompon c'est une assurance juridique qui à servi à rien quand j'ai eu besoin d'aide ils ont toujours raison en trouvant la faille et comme les autres ils me recommandent de faite un courrier AR pour solliciter une prise en charge extra contractuelle 1300 euros jetés par la fenêtre nous avons aussi une protection conducteur </t>
  </si>
  <si>
    <t>vansteph-118036</t>
  </si>
  <si>
    <t xml:space="preserve">vanherpestephane@yahoo.fr
Sociétaire MAIF depuis plus de 25 nous venons de nous faire humilier. Nous avons percuté une bouche égout ce qui a provoqué la projection de la plaque sur notre portière arriere. Suite à une expertise baclée d'un cabinet soucieux de faire du zèle auprès de la MAIF, on nous signifie que notre déclaration n'est pas en adéquation avec les dommages et nous colle donc deux sinistres (un pour la roue crevée, l'autre pour la portière). Nous avons établi un constat de voirie avec la mairie  Nous contestons l'expertise et après plusieurs semaines sans nouvelles, la MAIF nous fait comprendre qu'il vaut mieux accepter de dire qu'il vaut mieux avouer une fausse déclaration (que nous n'avons pas commise )
plutôt que de missionner des contres expertises (au nombre de 2) à nos frais. On nous menace aussi de déchéance à l'assurance. Après une réclamation qui n'a servi à rien, la MAIF n'a pas pris la peine de contacter  l'assurance de la mairie où a eu lieu LE sinistre.  Nous avons finalement accepter les deux sinistres, donc d'avouer une fausse déclaration que nous n'avons pas commise. Nous sommes coincés entre la MAIF qui joue la montre, les cowbows du cabinet d'expertise qui remontent des fausses fausses déclarations et le besoin de récupérer notre véhicule. Au bout de presque trois mois d'immobilisation, je viens récupérer mon véhicule et donc payer mes deux franchises de 300€ auxquelles on m'ajoute 50€ de surplus pour vétusté du pneu à changer . Nos interlocuteurs des plateformes ont été méprisants voire odieux, on nous a basculé sur notre délégation locale qui sont incompétents (ils nous disent qu'ils n'ont jamais fait de sinistres, qu'il ne savent pas comment on fait), on nous a envoyé un "militant" qui nous a vanté les nombreuses compétences de la MAIF. Évidemment , j'attends toujours une réponse pour le remboursement de ma cotisation pour l'immobilisation de mon véhicule. Ce n'est pas un sentiment d'injustice que nous ressentons, c'est une méprisante humiliation. Nous ne sommes pas tous des assurés malhonnêtes . La MAIF est devenue une entreprise qui préfère se payer de belles publicités plutôt que de gérer humainement les dossiers de leurs sociétaires. J'ai mis une étoile car je ne pouvais pas mettre moins. </t>
  </si>
  <si>
    <t>touta-117820</t>
  </si>
  <si>
    <t>La Maif n’est pas à l’écoute de ses clients. Ils ne réajuste jamais les prix c’est pour ça que j’ai fait un comparatif et que j’ai décidé de changer d’assurance. Je gagne 7€ par mois pour les mêmes garanties. Ils trouvent toujours une close dans le contrat pour ne pas rembourser.</t>
  </si>
  <si>
    <t>22/06/2021</t>
  </si>
  <si>
    <t>kr-117751</t>
  </si>
  <si>
    <t>Sociétaire MAIF depuis 24 ans (en tous risques), je n'avais pas à me plaindre de la MAIF (jamais eu d'accident responsable) jusqu'à aujourd'hui où j'ai eu un 2e accrochage (un camion m'est rentré dedans en reculant sans regarder : accident dont je ne suis pas responsable). Le capot avant est salement endommagé, et le pare-choc avant a pris un choc. La MAIF (après expertise) va remplacer le capot mais ne veut pas réparer les dégâts subit par ce sinistre sur le pare-choc avant, sous prétexte que celui-ci était déjà endommagé et, selon l'expert, "à remplacer". Personnellement, je n'avais pas prévu de le remplacer il m'allait très bien (esquinté sur les côtés en sortant d'un box de parking). Je trouve cela anormal : le minimum, quand on est victime d'un accident, est de récupérer la voiture dans le même état qu'avant ce sinistre. Or, la MAIF le refuse catégoriquement, se réfugiant derrière l'avis  "oral" de l'expert (il ne mentionne pas les dégâts sur le bouclier dû à ce sinistre), sauf à payer une contre-expertise de ma poche. Si rien n'est fait, je pense solder cette affaire et rapidement changer d'assureur (à la fois pour l'auto et le reste tant qu'à faire). Les services MAIF se sont bien dégradés maintenant, malgré leur récente campagne publicitaire (une certaine logique ?).</t>
  </si>
  <si>
    <t>21/06/2021</t>
  </si>
  <si>
    <t>merde-115774</t>
  </si>
  <si>
    <t>Cela fait plus de cinquante ans que je suis assurée à la maif, et j'ens suis très satisfaite.
Que dire de plus . Ils sont très professionnels. Bravo pour eux .continuez</t>
  </si>
  <si>
    <t>jp-114701</t>
  </si>
  <si>
    <t xml:space="preserve">Je ne suis pas arrivé à assurer mon nouveau véhicule
Je ne connais pas la raison de ce refus
Je suis adhérent depuis plus de 40 ans et une bonus q 50%
Je vais être obligé de les quitter à mon grand regret
</t>
  </si>
  <si>
    <t>24/05/2021</t>
  </si>
  <si>
    <t>takoeco-114305</t>
  </si>
  <si>
    <t xml:space="preserve"> Bonjour, 50 ans environ à la Maif, 2 voitures en tout risque, maison, etc.: relativement satisfait, mais...:
 Petit accident "responsable" avec mon véhicule stationné, assuré tout risque par la Maif (rafale de vent très fort qui a abimé la portière en sortant), franchise 260€: ok.
Je ne demande pas à la Maif de véhicule de prêt auquel j'ai droit pendant une semaine, temps prévu de réparation pour trouver une porte d'occasion etc. (prêt de véhicule pourtant option incluse en plus dans mon assurance Maif pendant 1 sem.): pouvant me déplacer en vélo, je le fais donc par économie mutualiste, si ce mot a encore un sens, "sentiments mutualistes"... 
 Choix du Réparateur Professionnel par moi-même (que je connais), mais non agréé-partenaire Maif: de ce fait le cabinet de l'Expert me dit au téléphone que je n'aurai pas accès à son devis et qu'il y est écrit que je vais devoir avancer moi-même les Frais de Réparation au Réparateur et qu'après seulement avec la facture acquittée la Maif me remboursera sa part.
 Je rappelle aussitôt et l'Expert et la Maif, par téléphone et par écrit par mail, que la Loi a changé sur ce point depuis le 3 Décembre 2020, selon l'"Article L211-5-2 - Code des Assurances - Légifrance" l'Assuré n'a plus à avancer les Frais* dépenses de Réparation au Professionnel, même si ce dernier ne fait pas partie de la liste des Réparateurs agréés par l'Assurance, ces Frais* devant être payés directement par l'Assurance au Réparateur (*moins la Franchise).
 Alors que pour d'autres demandes de renseignement la réponse de la Maif est habituellement relativement rapide, à ce jour aucune réponse écrite sur ce point par la Maif (au téléphone on me maintient le contraire, que cela ne changera pas avec la Maif, qu'il faut faire un chèque au Réparateur que celui-ci n'encaisserait qu'après le remboursement par la Maif)...</t>
  </si>
  <si>
    <t>19/05/2021</t>
  </si>
  <si>
    <t>patrick--114104</t>
  </si>
  <si>
    <t>Je regrette que tous les employes soient  formatés et repondent à cote de ce qui leur est demandé.la Maif  ´est pas une entreprise philanthropique, j’ai plusieurs contrats avec cette assurance , plus beaucoup d’argent placé.Jamais de remise,je n’ai pas le sentiment d’etre un client fidele ( depuis plus de 30ans ) la maif a beaucoup changé mais pas en bien .</t>
  </si>
  <si>
    <t>18/05/2021</t>
  </si>
  <si>
    <t>panait-109335</t>
  </si>
  <si>
    <t>Assureur compliqué. Ils m'ont jeté car sur ma banque il a eu un bug bravo les militants. Je me retrouve avec 3 véhicules et 1 maison sans  assurance. Soi disant  ils ont attendus. Je suis trop dégoûté.</t>
  </si>
  <si>
    <t>06/04/2021</t>
  </si>
  <si>
    <t>batbatheni-105784</t>
  </si>
  <si>
    <t>Et bien cela fait 36 ans que je suis à la MAIF (assureur militant). Bonnes relations ,bonne assistance.
J'ai acheté une voiture que j'assure chez mon assureur préféré:La MAIF
On m'envoie pour la 8 eme fois  mon contrat à signer de manière électronique.Il n'y a ni lien pour le faire ni la possibilité d'ouvrir les pièces jointes.J'ai beau le dire...On m'envoie toujours le même courrier.Ca m'énerve un peu.Je leur demande de m'envoyer mon contrat à signer version papier...J'attends toujours. Ca m'énerve aussi...Aller la Maif réglez cela! Si je ne signe pas mon contrat que me dira mon assureur si j'ai un accident? Que je n'ai pas signé mon contrat!!!!!Merci de répondre.</t>
  </si>
  <si>
    <t>07/03/2021</t>
  </si>
  <si>
    <t>frog-104085</t>
  </si>
  <si>
    <t>Bonjour.
Je constate une baisse significative de la qualité de service de la Maif. J'y suis depuis pourtant 30 ans.
En septembre 2020, mon véhicule est endommagé par un tiers qui reconnait à 100% le sinistre.
La MAIF gère le dossier. je fais donc réparer la voiture.
Le professionnel me demande de régler la franchise de 330€, ce que je fais sur les conseil de la Maif, celle-ci me disant que le remboursement devrait arriver juste aprés.
Sauf que depuis ces trois mois, aucun remboursement. La Maif m'informe qu'elle n'arrive pas a rentrer en contact avec l'assurance du tiers pour obtenir le remboursement. 
Pourtant dans les conditions générales il est stipulé: 
"• Événement entièrement imputable à un tiers identifié, qu'il soit ou non assuré
Dans ce cas, nous versons à l'assuré une somme correspondant au montant de la franchise, à titre d'avance sur
le recours attendu".
Le Médiateur va recevoir bientôt une demande de ma part.</t>
  </si>
  <si>
    <t>dan-103063</t>
  </si>
  <si>
    <t xml:space="preserve">Suite à bris de glace.
Pare brise remplacé 
Prise en charge rapide. Pas eu besoin d'appeler l'assurance.
Juste le formulaire à envoyer.
Quelques mois après avoir pris mon assurance </t>
  </si>
  <si>
    <t>21/01/2021</t>
  </si>
  <si>
    <t>ek-101980</t>
  </si>
  <si>
    <t>Ma fille a souhaité s'assurer auprès de la MAIF suite à l'achat de sa 1ere voiture début décembre.
Elle a 23 ans, a obtenu son permis à 18 ans et a fait la conduite accompagnée . Jusqu'à présent elle utilisait soit mon véhicule , celui de son père où celui de son frère les 3  assurés à la MAIF.
La MAIF a refusé de l'assuré car elle n'a pas d'autre contrat chez eux !
 INCOMPREHENSIBLE !!!!</t>
  </si>
  <si>
    <t>29/12/2020</t>
  </si>
  <si>
    <t>jude-101971</t>
  </si>
  <si>
    <t>Bonjour , avant j étais a la Matmut , client depuis 1986 ,mais avec mon changement de véhicule je me suis  aperçu en demandant un devis  que pour les memes garantie voiture + maison , je paye 30 pour cents en moins a la MAIF cela resume tout pour moi .</t>
  </si>
  <si>
    <t>marinep15-101880</t>
  </si>
  <si>
    <t>Nous avons eu un karma vraiment mauvais en cette fin 2020 : accident de voiture qui a nécessité de refaire la carrosserie côté gauche, puis panne sur l'autoroute 1 mois plus tard a 100km de chez nous, sur la route des vacances. Grâce à notre assurance tous risques et à la qualité de l'assistance et de la prise en charge Maif, pas de stress, nous avons pu faire réparer la voiture la première fois puis la faire remorquer et continuer en taxi jusqu'à notre destination lors de notre 2e mésaventure, tout ça sans vraiment perdre de temps. Quel soulagement ! 
En résumé, une excellente gestion, réactive et adaptée à nos besoins. Merci !</t>
  </si>
  <si>
    <t>27/12/2020</t>
  </si>
  <si>
    <t>nadia-101766</t>
  </si>
  <si>
    <t xml:space="preserve">boj je regrette vraiment d’avoir était assurer par la maiif obliger de résilier loi chatel j’ai trouver bien mieu ailleurs car on nous dis un tarif puis on nous prélève un autre tarif </t>
  </si>
  <si>
    <t>22/12/2020</t>
  </si>
  <si>
    <t>simo-101531</t>
  </si>
  <si>
    <t>MAIF possède un très bon service, mais le problème c'est le prix de ses prestations, c'est trop ... trop cher, c'est même exorbitant par rapport à la concurrence pour les mêmes garanties.</t>
  </si>
  <si>
    <t>topemeraude-101263</t>
  </si>
  <si>
    <t>J'aimerais bien avoir un  lien pour donner mon avis sur la protection juridique  de la Maif , cela est-il possible ?
Je suis très embarrassé par la façon dont la mutuelle interprète et gère les dossiers .</t>
  </si>
  <si>
    <t>pierre-101117</t>
  </si>
  <si>
    <t>Avec une assurance auto chez la MAIF depuis plus de 10 ans et une assurance habitation dont nous avons accepté des options supplémentaires récemment (si on avait su!), nous venons, après achat d'un autre véhicule, d'apprendre par téléphone que nous sommes radiés. Aucun accident en 10 ans, des cotisations toujours payées à temps... Lors de notre demande d'explication on nous signale une sombre histoire de "bris de glace" en 2019, sans que l'interloucteur ne puisse nous en dire plus, tout en trouvant notre demande d'explication non légitime. Une"militante" doit nous appeler mais vu les commentaires précédents ça ne risque pas d'arriver. Nous acceptions de payer plus que d'autres assurances par les valeurs que celle promouvait. Quelle erreur ! Assurance à fuir !</t>
  </si>
  <si>
    <t>08/12/2020</t>
  </si>
  <si>
    <t>aucun-101029</t>
  </si>
  <si>
    <t xml:space="preserve">Je trouve l'assurance véhicule trop chère.
Etre au bonus maximum et payer aussi chère,ce n'est pas normal!!
Nous n'avons pas eu d'accident depuis dix ans.  </t>
  </si>
  <si>
    <t>blanchard--100983</t>
  </si>
  <si>
    <t xml:space="preserve">Vos tarifs sont trop élevés, c'est pourquoi j'ai fait appel à la concurrence sue Assurland, afin de comparer. Après comparaison j'ai trouvé les compagnies qui offrent les mêmes garanties que vous mais à des tarifs trop bas. Ce qui me tente d'aller vers la concurrence. </t>
  </si>
  <si>
    <t>04/12/2020</t>
  </si>
  <si>
    <t>kakou-100442</t>
  </si>
  <si>
    <t>3 véhicules assurés sur des niveaux différents. Très content des services (y compris numériques), beaucoup de réactivité, jamais de soucis. ça fait 43 ans que je suis client avec d'autres services tels que les RAQVAM. Assureur militant.</t>
  </si>
  <si>
    <t>sylvain-100133</t>
  </si>
  <si>
    <t xml:space="preserve">Équipe très sympathique, très à l'écoute, très réactif, un très bon sens relationnelle avec ces clients ainsi qu'un soutien moral qui fait beaucoup de bien 
Mme Hermand </t>
  </si>
  <si>
    <t>pas-de-pseudo-99227</t>
  </si>
  <si>
    <t>Assurance chère pour un véhicule stocké dans un garage et qui ne roule plus depuis 4 ans.
De plus, problème de communication en interne: les infos n"ont pas l'air de passer d'un bureau à l'autre...</t>
  </si>
  <si>
    <t>26/10/2020</t>
  </si>
  <si>
    <t>amiral-99118</t>
  </si>
  <si>
    <t xml:space="preserve"> Assurance auto parfaite pour pour les garanties et le tarif. Accueil en agence et téléphonique excellent ainsi que les connaissances professionnelles.</t>
  </si>
  <si>
    <t>23/10/2020</t>
  </si>
  <si>
    <t>eli-98945</t>
  </si>
  <si>
    <t xml:space="preserve">Très mauvais accueil téléphonique de la part de la MAIF à l’occasion d’un devis. La conseillère se marrait de manière irrespectueuse, totalement non professionnelle Sans aucun sens client. Elle renvoie une bien piètre image de la MAIF... </t>
  </si>
  <si>
    <t>20/10/2020</t>
  </si>
  <si>
    <t>missputching-98648</t>
  </si>
  <si>
    <t xml:space="preserve">Nous avons retrouvé notre véhicule endommagé sur le parking d'un hypermarché (rayures rectilignes et parallèles de l'aile avant gauche à l'aile arrière gauche en passant par la portière). La personne a pris la fuite. L'expert pense que nous avons percuté une glissière de sécurité! Si j'avais percuté une glissière de sécurité comme le prétend l'expert, mon véhicule serai à mon sens beaucoup plus endommagé! Car sur une voie rapide avec une vitesse d'au moins 100KM/H, il m'est impossible de croire que c'est le genre de dégâts que j'ai actuellement sur mon véhicule! L'assurance refuse de nous indemniser étant donné que notre déclaration est contraire à l'avis de l'expert. J'ai fait un dépôt plainte à la gendarmerie afin d'obtenir les vidéos de surveillance de l'hypermarché. Je suis assurée tous risques "formule plénitude". La situation dans laquelle je suis ressemble plus à un enfer qu'une plénitude! Au vu, des nombreux témoignages sur le site c'est à se demander si la MAIF et ses experts mandatés ne sont pas de connivences !  La MAIF n'a aucune considération pour ses assurés. Assureur militant, c'est assureur menteur ! Je déconseille cette assurance! </t>
  </si>
  <si>
    <t>denis-98610</t>
  </si>
  <si>
    <t>Victime d'un petit accrochage hors de ma présence, j'ai supposé un choc de parking. Sans preuve, l'expert a décrété que c'était un choc alors que je conduisais. Refus de la Maif de prise en charge alors que je suis assuré tous risques. Beaucoup d'échanges pour essayer de me convaincre que j'avais tord d'être dans mon bon droit. Résultat: pour économiser 131€ la Maif perd un client qui depuis 55 ans lui a fait gagner beaucoup, mis à part quelques petits snistres. Je N'ai plus confiance en cet assurance pour qui les grands mots pompeux sont devenus vides de sens!</t>
  </si>
  <si>
    <t>11/10/2020</t>
  </si>
  <si>
    <t>momo-98548</t>
  </si>
  <si>
    <t xml:space="preserve">DEGUEULASSE - fidèle au dicton : les assurances, tant que vous payez ( je suis en formule tous-risques / attention à ceux qui sont au tiers !!! )tout va bien mais en cas de sinistre c'est autre chose. un zéro serait un compliment pour ces NULS !
Aucun précédent avec la MAIF, bon payeur / jamais d'impayés.
Je retrouve mon véhicule ( Golf Carat, valeur d'environ 17000euros )détérioré un matin, en allant au travail ( stationné, on me l'a abimé sur le côté gauche et l'auteur ne m'a pas laissé ses coordonnées ). Je déclare ce sinistre le jours même et respecte les demandes de la MAIF ( ces incompétents ).
Je pensais, Assuré en formules haut de gamme, qu'en faisant le nécessaire, mon  véhicule serait expertisé puis remis en l'état.
L'expert mandaté cabinet GxxxxxxT, M. Dx Txxxx Lxxx Jxxxx a souhaité voir le véhicule 2 fois ( une expertise à distance + une en réelle ), il voulait la voir une 3ème fois, peut-être même une 4ème fois si je l'avais pas informé que je posait à chaque fois des congés pour venir…
La date d'expertise réelle le 11 mars le fait renvoyer son rapport le 15 mai 2020 ( 65 jours pour un rapport d'expertise, ça pique cqfd : le confinement n'est en rien responsable car il avait tous les éléments en main - c'est l'excuse donnée par la MAIF, non-recevable !!! ).
Il était en télétravail et si c'était vrai, avec le confinement et s'il mettait 65 jours par dossier, il aurait du boulot jusqu'en l'an 3000.
L'expert de la MAIF à changer d'avis à 4 reprises ( courriels envoyés aux incompétents de la MAIF + lui ).
1er avis : j'ai effectué l'expertise 11/03/2020, il n'y a pas de raison d'émettre une opposition,
2ème avis : J'ai un doute sur un mouvement circulaire sur la jante, le reste ok,
3ème avis : 15/05/2020, CR d'expertise non pris en charge pare-chocs avant + jante av. gauche,
4ème avis : 28/08/2020, le jours de la tierce expertise, ok pour le pare-chocs mais un doute pour la jante ( procès-verbal de tierce expertise faisant foi et transmis à la MAIF - ils ne peuvent pas dire qu'ils sont pas au courant !!! )
Tout cela pour, qu'après 65 jours de méditation avec lui-même, il me refuse la prise en charge d'une partie des dégâts, on sait pas pourquoi ??? D'après lui, la jante + pare-chocs avant viennent d'un sinistre précédent ou étaient déjà détériorés )
Ne pouvant accepter cette conclusion, même si les jeans troués, chez les jeunes c'est à la mode, j'en informe la MAIF, Mme RxxxxxE, ( cette pseudo assurance )qui veut rien savoir et à chaque fois que j'appelle, on me dit qu'on doit prendre connaissance du dossier ( super suivi de vos sociétaires ).
Au final, j'ai conversé avec Mme RyXXXXE, Mme GrXXXy, et d'autres dont la loi sur la confidentialité ne me permet pas d'écrire le nom mais je pourrais faire l'organigramme du service sinistre de la MAIF en 2020 s'il le souhaite.
Payant une contre expertise réalisée le 28/08/2020 en présence de l'expert + contre-expert et moi-même.
Celle-ci me donne raison et atteste que ma demande est recevable.
Cet expert du cabinet GXXXXXXT s'est trompé dans la finition de mon véhicule ( problème de valeur ) et refuse de me communiquer le compte-rendu d'expertise modifié comme le préconise la loi ( art. du code R326-3 du code de la route ), de connivence avec Mme RxxxxxE qui se croient au dessus des loi de notre république.
Refusant d'assumer leur erreurs / incompétence, ils m'informent qu'ils font un geste commercial et prennent en  charge les dégâts.
Refus d'assumer l'immobilisation du véhicule qui a moisi dans le box, la demande de décote, le préjudice moral, les vacances annulés etc...
Mon véhicule a moisi 170 jours ( km de l'expertise et contre expertise faisant foi et constaté par les 2 experts ) dans le box.
La loi me donne raison et la MAIF via Mme RxxxxxE sont apparemment au dessus des lois.
Ce litige règlera au tribunal.
Cet expert qui m'a déclaré qu'en 12 ans d'expérience, il à connu avec moi, sa 1ere demande de Tierce-expertise ne digère pas  une décision contraire à la sienne ( donné par un expert assermenté comme lui ).
Il m'a déclaré également que la MAIF lui a demandé contrairement à d'autres assurances de "CHERCHER" lorsqu'il n'y a pas de tiers responsable. DEPLORABLE.
Allez à la MAIF si vous êtes sûr de ne pas avoir de problèmes sinon FUYEZ-LES !!!!!!!
Comptez sur moi pour de la publicité NEGATIVE reflétant votre niveau de prestation. 
</t>
  </si>
  <si>
    <t>09/10/2020</t>
  </si>
  <si>
    <t>charleschess-97333</t>
  </si>
  <si>
    <t>Je suis à la Maif depuis environ 30 ans. C'est une excellente assurance , sérieuse et qui m'a bien remboursée lorsque j'ai eu parfois des incidents. Par exemple ayant eu à un moment de ma vie des difficultés financières j'avais acheté une voiture à mille euros. J'ai commis une imprudence et la voiture a été détruite. Alors que j'étais donc en tort la MAIF m'a remboursé mille euros.Toutefois,pour certains modèles, il est possible de trouver moins cher ailleurs.Pour résumer une excellente assurance, des bureaux un peu partout permettant de s'expliquer et donc forcément plus chère que les assurances qu'on trouve sur internet mais où on peut galérer en cas de litige.Il faut faire un choix : le sérieux et l'efficacité de la maif mais avec un cout certain ou moins cher ailleurs mais ......</t>
  </si>
  <si>
    <t>romain-97259</t>
  </si>
  <si>
    <t xml:space="preserve">Assurance ou tout y est compliqué, et surtout les chiffres, les montants, les explications du contrats, toujours des frais de résiliation, de changement etc etc. J'ai eu un correspondant téléphonique audieux, incapable de m'expliquer pourquoi je n'allais pas être rembourser du mois de septembre payé alors que j'ai résilié au mois d'août... Bref merci au revoir après des années chez eux. </t>
  </si>
  <si>
    <t>10/09/2020</t>
  </si>
  <si>
    <t>fredh-96555</t>
  </si>
  <si>
    <t>Je viens de déclarer un sinistre bris de glace à la MAIF. J'ai du passer 7 appels et rester 3 ou 4 heures avec eux pour qu'il prennent en charge... Que de temps perdu pour juste une vitre !
Et à chaque fois un nouvel interlocuteur a qui on doit réexpliquer les détails du dossier... Il faudrait une seule personne qui suive le dossier !</t>
  </si>
  <si>
    <t>s-zouaou-96320</t>
  </si>
  <si>
    <t>Je.suis doublement déçu par cet assureur, a fuire car tout va bien jusqu'à ce qu'un sinistre arrive et la vous êtes si seul. J'ai eu un accident pas trop grave à l'étranger et l'expert dépêché déclare que le véhicule est VEI donc impossible à assurer même si vous réparez vous-même votre véhicule. Ils me proposent  dans la foulée un rapatriement en.urgence par avion car le médecin déclare que je suis inapte à  conduire alors que je n'ai rien de grave et vous propose votre véhicule à la casse. Je vais réparer mon véhicule et vais me.battre pour lever la.VEI pour ensuite changer d'assureur . Une.assurance qui liquide et juste ca.</t>
  </si>
  <si>
    <t>14/08/2020</t>
  </si>
  <si>
    <t>theolait-96100</t>
  </si>
  <si>
    <t xml:space="preserve">Je suis sociétaire de la MAIF depuis 46 ans.
J'assure deux véhicules l'un ayant 4 ans d'ancienneté et l'autre ayant 10 ans (contrats VAM et PACS selon la dénomination de la MAIF) et un appartement en multirisque habitation (RAQVAM).
J'ai eu le malheur d'avoir un sinistre en responsabilité partagée sur ma voiture de 10 ans (un micro sinistre dont l'enjeu était de 960 € répartis entre moi et le tiers, ce dernier avait une voiture encore plus ancienne que la mienne).
Résultat, j'ai vu ma prime d'assurance bondir de + 24 % l'année suivante et mon bonus réduit de 0,50 à 0,54.
Un sociétaire avec 46 ans d'ancienneté « ne sera pas mieux traité en cas de sinistres : ceux-ci sont gérés de manière anonyme par des plateformes spécialisées » (lu sur un site spécialisé)
Je confirme que la fidélité n'est pas du tout récompensée par l'assureur.
A ma charge, je dois reconnaître que je ne me suis pas jamais occupé des contrats d'assurance. Je suis à la MAIF parce que ma femme est fonctionnaire. En épluchant les contrats MAIF, j'ai découvert que je payais d'avance environ 60 % de la cotisation de l'année 2021. C'est ubuesque !
Les assureurs prennent l'argent là où il est (comme dirait l'autre). Partant, les assurés doivent faire de même : ne pas rester plus de 7 ou 8 ans chez le même assureur et faire jouer la concurrence. Avec la loi dite Hamon, on peut résilier un contrat d'assurance à tout moment passé le délai d'un an ; le nouvel assureur se charge pour vous des démarches de résiliation.
Je paye 1.550 € par an avec trois contrats auto et MRH. A garanties équivalentes, je réduis la facture de pratiquement 50 %.
La particularité de la MAIF consiste à se gargariser avec des valeurs humanistes « d'assureur militant dit mutualiste »… alors que dans les faits la MAIF ne se distingue *absolument pas* des autres assureurs.
Je suis sociétaire de la MAIF depuis 46 ans.
J'assure deux véhicules l'un ayant 4 ans d'ancienneté et l'autre ayant 10 ans (contrats VAM et PACS selon la dénomination de la MAIF) et un appartement en multirisque habitation (MRH) (RAQVAM).
J'ai eu le malheur d'avoir un sinistre en responsabilité partagée avec ma voiture de 10 ans (un micro sinistre dont l'enjeu était de 960 € répartis entre moi et le tiers, ce dernier avait une voiture encore plus ancienne que la mienne).
Résultat, j'ai vu ma prime d'assurance bondir de + 24 % l'année suivante et mon bonus réduit de 0,50 à 0,54.
Un sociétaire avec 46 ans d'ancienneté « ne sera pas mieux traité en cas de sinistres : ceux-ci sont gérés de manière anonyme par des plateformes spécialisées » (lu sur un site spécialisé)
Je confirme que la fidélité n'est pas du tout récompensée par l'assureur.
A ma charge, je dois reconnaître que je ne me suis pas jamais occupé des contrats d'assurance. Je suis à la MAIF parce que ma femme est fonctionnaire. En épluchant les contrats MAIF, j'ai découvert que je payais d'avance en 2020 environ 60 % de la cotisation de l'année 2021. C'est ubuesque !
Les assureurs prennent l'argent là où il est (comme dirait l'autre). Partant, les assurés doivent faire de même : ne pas rester plus de 7 ou 8 ans chez le même assureur et faire jouer la concurrence. Avec la loi dite Hamon, on peut résilier un contrat d'assurance à tout moment passé le délai d'un an ; le nouvel assureur se charge pour vous des démarches de résiliation.
Je paye 1.550 € par an avec trois contrats auto et MRH. A garanties équivalentes, je réduis la facture de pratiquement 50 %.
La particularité de la MAIF consiste à se gargariser avec des valeurs humanistes « d'assureur militant dit mutualiste »… alors que dans les faits la MAIF ne se distingue *absolument pas* des autres assureurs.
</t>
  </si>
  <si>
    <t>09/08/2020</t>
  </si>
  <si>
    <t>--------95739</t>
  </si>
  <si>
    <t xml:space="preserve">depuis mon accident de voiture le 29 juin  tout a été parfait .....séjour à l’hôpital  , rapatriement à ma destination  , prise en charge de ma voiture , location d'un véhicule  , aide à retrouver une voiture par le "club auto " ....patience et amabilité des interlocutrices  (rares interlocuteurs !!)....Je suis entièrement satisfaite .Je l'ai été aussi il y a plusieurs années quand j'ai dû être hospitalisée en Turquie .....retour devant la porte de mon domicile !   Là encore tout a été parfait et comme à l'époque il n'y avait pas à faire de bilan de satisfaction , j'en profite  aujourd’hui  ! </t>
  </si>
  <si>
    <t>cyril-bce-95629</t>
  </si>
  <si>
    <t>Du même acabit que l’assurance habitation: des frais mais jamais un retour, aucun conseil et des agents toujours débordés (visiblement uniquement pour faire souscrire) une honte.</t>
  </si>
  <si>
    <t>rony-93994</t>
  </si>
  <si>
    <t>Un service client digne de ce nom. Des gens facilement joignables, sympathiques, à l'écoute, qui prennent le temps de chercher la meilleure solution avec vous, qui ne se défilent pas en bottant en touche quand vous avez besoin d'eux,  et qui n'essaient pas de vous vendre à tout prix des services supplémentaires.
Nous avons eu plusieurs sinistres depuis plusieurs dizaines d'années chez eux, et jamais de mauvaise surprise. La MAIF accompagne ses clients durant les épreuves compliquées de sinistres, sans mettre la pression et en assumant ses responsabilités d'assureur. Et c'est à cela qu'on reconnaît un bon assureur.
Les remboursements sont honnêtes en cas de sinistre et les tarifs abordables.
De plus, la MAIF se concentre sur ce qu'elle sait faire et n'hésite pas à vous dire si ils sont moins compétents sur un sujet (j'ai tous mes contrats chez eux sauf ma moto car ils ont admis qu'ils géraient moins bien les "grosses" motos américaines.
De même pour un contrat pro que j'avais demandé.
C'est donc tout à leur honneur et plutôt gage d'intégrité.</t>
  </si>
  <si>
    <t>13/07/2020</t>
  </si>
  <si>
    <t>elisa27-93587</t>
  </si>
  <si>
    <t>Ne ne conseillerai pas cette assurance qui modifie en cours de contrat et sans amendement ses conditions de prise en charge</t>
  </si>
  <si>
    <t>laurence-93476</t>
  </si>
  <si>
    <t xml:space="preserve">Un accident ou je ne suis pas en tort, un véhicule qui subit des dommages esthétiques et qui est jugé économiquement irréparable. Un rapport d'expertise qui ne m'a pas été transmis malgré ma demande..
des informations contradictoires au téléphone, on m'a même raccroché au nez lorsque le conseiller m'a dit que j'avais droit à une garantie recours... le comble, le conseiller MAIF en dit trop et ensuite raccroche, je précise que je reste toujours polie et correcte avec mes interlocuteurs.
Au moins 20 fois on insiste pour que je cède mon véhicule...(3 bosses à l'arrière)
Quid de la publicité MAIF réparer plûtot que jeter?
</t>
  </si>
  <si>
    <t>coucou777-89758</t>
  </si>
  <si>
    <t xml:space="preserve">Très mauvaise assurance. C'est flou sur L'aide technique près de la maison.  C'est mauvais si vous avez un problème de santé à l'étranger et que vous ne pouvez pas conduire. L'assistance en Italie est épouvantable. Le remorquage est aléatoire. Il n'y a pas de suivi des dossiers. En cas d'aide médicale il n'y a aucun suivi. C'est une plateforme téléphonique. Ils fichent les gens. Et ce sont des secrétaires qui vous posent des questions médicales en cas d'assistance. Aucun contact avec des docteurs. Les rares docteurs répètent aller à l'hôpital par vous même et refusent de vous procurer l'assistance médicale de l'assurance vous devez rappeler plus de 20 fois pour avoir avoir une assistance médicale. </t>
  </si>
  <si>
    <t>19/05/2020</t>
  </si>
  <si>
    <t>ricco-89488</t>
  </si>
  <si>
    <t>EXCELLENCE RELATIONNELLE</t>
  </si>
  <si>
    <t>08/05/2020</t>
  </si>
  <si>
    <t>fran7978-87164</t>
  </si>
  <si>
    <t xml:space="preserve">Suite à un accident de voiture le 17/01, première expérience de la gestion d'un sinistre qui laisse malheureusement à désirer. 
Un rapport de l'expert avec une sous-estimation évidente de la valeur du véhicule (et sans aucune justification, càd des annonces comparables). Multiples relances sans retour à ce jour. C'est donc l'assuré qui bataille pour un traitement équitable du dossier, et l'assurance qui elle fait traîner... Décevant ! Aussi bien dans la relation client que dans l'attente legitime d'une indemnisation juste en cas de sinistre. </t>
  </si>
  <si>
    <t>latisserande-86864</t>
  </si>
  <si>
    <t xml:space="preserve">ma voiture devait partir à la casse avant le 2 février 2020 vous m avez couper de nombreuses fois au tel ou pas répondu POUR  l' ENLÈVEMENT DE CETTE CLIO  a Evreux 27000 </t>
  </si>
  <si>
    <t>07/02/2020</t>
  </si>
  <si>
    <t>didier-86365</t>
  </si>
  <si>
    <t>Très bonnes prestations. Très bonne couverture. Jamais eu de souci avec cette assurance. Toujours de bonnes réactions. Mais tout ça reste cher par rapport à d'autres.</t>
  </si>
  <si>
    <t>26/01/2020</t>
  </si>
  <si>
    <t>julzou-86242</t>
  </si>
  <si>
    <t>J'ai été radiée moi aussi il y a plus de 10 ans sans motif particulier évoqué, je n'ai pas laissé d'"ardoise" aujourd'hui je me renseigne meme au bout de plus de 10 ans je ne peux toujours pas m'assurer chez eux - je pense m'adresser au procureur de la république pour faire une réclamation et avoir des motifs de ce "fichage"</t>
  </si>
  <si>
    <t>23/01/2020</t>
  </si>
  <si>
    <t>myriamb-86227</t>
  </si>
  <si>
    <t>J'ai eu un accident de voiture(le tiers et 100% responsable)super réactifs. 10 jours après j'avais reçu le virement de mon remboursement du véhicule (suite au passage aussi très rapide de lexpert)</t>
  </si>
  <si>
    <t>eral-85866</t>
  </si>
  <si>
    <t>Qualité de service exceptionnelle .Des interlocuteurs rapidement obtenus qui sont vraiment à l'écoute .On se rend compte facilement qu'ils ne sont pas obnubilé par une recherche de rentabilité mais par une réelle mission d'assurance au service des sociétaires.</t>
  </si>
  <si>
    <t>13/01/2020</t>
  </si>
  <si>
    <t>cromorne64-85361</t>
  </si>
  <si>
    <t>Après plus de 20 ans d'assurance auto sans aucun accident, il a suffit de 2 accidents non responsables pour être résilié... de tous mes contrats!!! Même le contrat habitation! Maintenant le bec dans l'eau, avec toujours un litige en cours concernant les conditions générales qui ne sont pas appliquées. Personne ne commente ni ne discute les questions posées. Seule réponse reçue, la résiliation pour "altération de la relation commerciale"!!!! Conclusion: payez et taisez-vous, sinon dehors!!</t>
  </si>
  <si>
    <t>30/12/2019</t>
  </si>
  <si>
    <t>pierre-82237</t>
  </si>
  <si>
    <t>assurance a recommander 
tarif raisonnable
politique mutualiste réellement appliqué
paiement rapide pour notre petit dégât des eaux
pas de surprime pour notre accident de voiture litigieux dans un rond point
a conseiller 
il faut le dire aussi lorsque cela est bien</t>
  </si>
  <si>
    <t>23/12/2019</t>
  </si>
  <si>
    <t>carin-81956</t>
  </si>
  <si>
    <t>Un sinistre sur mon auto il y a 6 moi
Mail et appels restent sans réponses
Pourtant les interlocuteurs disent suivre mon dossier, tiendrons informés ce qu ils ne font jamais  Résultat presque 5000 euros à régler à mon garagiste et eux ne m indemnisent pas
 J ai du assumer les frais non pris en charge en raison d un expert qui ne s est pas déplacé voir mon auto et a pris l information sur conseil du mécanicien en concession
 Je suis à 50% de bonus  Pas de sinistre en tort Montant de ma cotisation plus de 800 euros
 Vraiment des services devenus une honte  Aucune prise en charge dans leurs bureaux pour aider</t>
  </si>
  <si>
    <t>sandf-81633</t>
  </si>
  <si>
    <t>L'assureur était militant, il ne l'est plus. Des services commerciaux en front au téléphone, et des galères en Back avec des lenteurs de dossiers considérables.</t>
  </si>
  <si>
    <t>05/12/2019</t>
  </si>
  <si>
    <t>mecontente-29329</t>
  </si>
  <si>
    <t>Mécontente de l'assureur militant MAIF qui n'indique pas sur l'avis d'échéance papier de fin d'année les options payantes, parfois caducs, qui sont, en revanche sur l'espace connecté MAIF.</t>
  </si>
  <si>
    <t>03/12/2019</t>
  </si>
  <si>
    <t>lostinthiswhirlpool-81097</t>
  </si>
  <si>
    <t>Bof, je ne suis pas très satisfait de la MAIF.
Au final, je paie cher mon assurance auto chez eux (je viens de refaire un comparatif auto), et ils n'ont pas su me conseiller lors du seul accident que j'ai eu depuis que je suis assuré chez eux... Ça, je ne l'oublierai pas.</t>
  </si>
  <si>
    <t>18/11/2019</t>
  </si>
  <si>
    <t>lnines-80786</t>
  </si>
  <si>
    <t>A FUIR ! Étant sociétaire de plusieurs contrats, je me recois ce jour un courrier pour résiliation de contrats. Je l'ai contacte pour connaitre la raison, leur réponse : nous n'avons pas à vous donnez de motif. Mais quel manque de professionnalisme !!
Ne vous faites pas avoir comme moi, ils vous font souscrires à diverses contrats avec option mais dès qu'ILS jugent que vous leurs coutez un peu d'argent ils n'hésitent pas à vous dégagez</t>
  </si>
  <si>
    <t>viggo-80390</t>
  </si>
  <si>
    <t>Cliente depuis de nombreuses années sans problèmes particuliers, il avère qu aujourd'hui je suis très mécontente des "services et conseils" de cet assureur. En effet, mon fils jeune conducteur a acquis un véhicule assez récent et ai demandé à mon assureur un devis "raisonnable" de couverture pour un jeune conducteur sans rien préciser de particulier. Par malchance, quelques jours plus tard il a été pris dans un carambolage et son véhicule bien endommagé. Je transmet donc un constat et a ma grande surprise ce véhicule n'est assuré qu'au tiers. J appelle donc mon courtier qui ne dit ne rien pouvoir faire pour moi le contrat étant signé. Éventuellement faire un courrier......Ou est le conseil? comment peut t on ne pas assurer un véhicule de jeune conducteur  TOUS RISQUES? En résumé aucuns conseils, aucunes informations sur le devis,à aucun moment non plus il m a été précisé ATTENTION ce devis ne couvre pas les dommages au véhicule. Particulièrement quand ce véhicule à une certaine valeur!!!!!!!Tres décue par un assureur près de ses clients,a l'écoute,et militant.......</t>
  </si>
  <si>
    <t>25/10/2019</t>
  </si>
  <si>
    <t>chperedlens-37860</t>
  </si>
  <si>
    <t>La Maif est chère comparativement à deux devis demandés à la GMF et la MaaF
L'Assureur militant est devenu une assurance comme les autres mais plus chère. Les sociétaires ont perdu le contrôle de leur association il suffit de voir la débauche de filia mai, la comm' télé etla plate forme de Niort qui écrase les bureaux locaux</t>
  </si>
  <si>
    <t>15/10/2019</t>
  </si>
  <si>
    <t>alex-79833</t>
  </si>
  <si>
    <t>Après résiliation de l'assurance de mon véhicule, la maif ne veux pas me rembourser le trop percu</t>
  </si>
  <si>
    <t>08/10/2019</t>
  </si>
  <si>
    <t>lucielittoz-79772</t>
  </si>
  <si>
    <t xml:space="preserve">A plusieurs reprises le service clients sont désagréable et se contredise. </t>
  </si>
  <si>
    <t>07/10/2019</t>
  </si>
  <si>
    <t>tomas74-79044</t>
  </si>
  <si>
    <t xml:space="preserve">Aucun suivi en cas de soucis de la vie lors d un accident. avec personne non assure.. Très déçu après 10 ans de contrat. Obligé d engager les frais de réparation sinon franchise à payer le temps de valider le fait que la personne ne soit assuré. Ce n est pas digne d un bonne assureur. Tant que l'on paye et qu aucun sinistre intervient tout va bien mais quand la situation change ce n est plus la même...
</t>
  </si>
  <si>
    <t>08/09/2019</t>
  </si>
  <si>
    <t>drams-78745</t>
  </si>
  <si>
    <t xml:space="preserve">Je suis très mécontent de cet assureur ! Une étoile serait une trop bonne note pour les évalué. Je suis dans l'attente depuis plus d'un an d'un retour de la Maif concernant de nombreuses malfaçons faites sur mon véhicule par un garage agréé MAIF ! Après plusieurs relance de ma part je n'ai à ce jour aucune nouvelle ! Pour information l'accident Date de septembre 2016 ! C'est INADMISSIBLE ! L'eau s'infiltre dans ma voiture ce qui entraîne une moisissure de mes sièges ! ACC de mon véhicule ne fonctionne plus du aux réparations. Je précise que ACC gère tous les organes de sécurité de la voiture ! 
En bref vraiment très mécontent ! Je suis assuré tout risque et pourtant cela ne sert à rien ! </t>
  </si>
  <si>
    <t>marta-78700</t>
  </si>
  <si>
    <t>Cliente de très longue date de la MAIF, j'étais jusqu'à présent très satisfaite de leurs services et en faisais la pub autour de moi à l'occasion. 
Cependant à la suite à un accident dont j'ai été victime au mois de décembre dernier (donc il y a bientôt 8 mois!), je n'ai eu aucune expertise, aucune prise en charge, ni solution proposée. Pourtant il s'agissait d'un accident dont je n'étais pas responsable puisque j'ai été percutée à l'arrêt par un véhicule qui a pris la fuite. J'ai porté plainte et il y avait un témoin). Aucune nouvelle de la maif depuis le mois de janvier et lorsque impossible de contacter la personne en charge du dossier qui ne me rappelle pas. Et je vais devoir bientôt passer le contrôle technique de mon véhicule....
C'est scandaleux!!!</t>
  </si>
  <si>
    <t>26/08/2019</t>
  </si>
  <si>
    <t>lolo13-77847</t>
  </si>
  <si>
    <t>Un matin je retrouve mon véhicule abimé devant chez moi
un tout petit dégât je tiens a signalé sur une voiture neuve
Je vais au garage l expert passe et dit que le dégâts ne correspondes  pas a la déclaration
Je suis assuré tous risques et donc je déclare ce qu il s est passé ni plus ni moins
quelques jours plus tard sans nouvelles je contacte le service sinistre qui se trouve à Bordeaux et le comble la conseillère me traite d avoir fait une fausse déclaration se ne sont pas les termes que la personne a employé mais je ne peux pas les écrire sur le site  je me réserve donc le droit de porter plainte en diffamation contre cette personne
Une sociétaire qui paye c est cotisations sans aucun retard et qui a un bonus 50 depuis des années
Les autres assureurs sont d accord pour récupérer des mauvais clients comme moi
j ai 4 contrats que je v ai résilier car aujourd hui je n ai plus confiance dans ces soit disant assureur
je me dit que si j ai un dégât des eaux ou un feu dans ma maison je ne serai pas assuré
assuré depuis plus de 5 ans je peux quitter cette assurance a tout moment avec 1 mois de préavis
pour les futurs assurés la maif est à éviter à tout prix
je vois que sur les forums il y a beaucoup de problèmes de remboursement de sinistre avec cette assureur</t>
  </si>
  <si>
    <t>nagamboko-77664</t>
  </si>
  <si>
    <t>Bonjour,  
J ai été victime du vol de mon véhicule le 26 juin dernier. 
Je suis à la maif depuis plus de 10 ans , pour l assurance auto,  le logement ect. 
Ma voiture récente était assurée tout risque et la maif  m a proposée une voiture de remplacement en attendant.  
J ai eu cette voiture 20 jours comme stipulé dans le contrat.
Cependant je n ai toujours pas reçu l avis de l'expert et donc je ne suis pas encore indemnisée. 
Après plusieurs coup de téléphone à la maif,  ils me répondent qu après une erreur de leur part, je peut avoir la voiture de remplacement 27 jours... J en ai de la chance.
Il est impossible de négocier un véhicule de remplacement jusqu'à indemnisation. Malgré mon ancienneté,  malgré la centaine d euros de que leur donne tout les mois pour être assuré en cas de problème.  Dans 6 jours je suis à pied,  les transports en communs sont peu présent et j ai besoin d un véhicule pour tavailler,  faire les courses,  aller chercher mon fils ...
Je ne pensais pas que le militantisme consistait à laisser les gens dans le besoin.  
Je ne vous remercie pas et pense changer d assureur si aucune solution n est trouvé  ...</t>
  </si>
  <si>
    <t>16/07/2019</t>
  </si>
  <si>
    <t>hugo-77434</t>
  </si>
  <si>
    <t xml:space="preserve">J'ai voulu faire un devis pour assuré le véhicule de mon enfant, j'ai du passé par 3 PERSONNES différentes au téléphone et aucune n'a su répondre à ma demande. Le comble, la dernière personne que j'ai eu au téléphone a du me faire patienter plus de 5 minutes pour au final me dire qu'ils ne peuvent pas assuré ma fille. MA DEMANDE ETAIT UN DEVIS TOUT SIMPLEMENT, et celui-ci m'a été refusé. De plus les personnes ont tous été désagréables, pas un pour rattraper l'autre. </t>
  </si>
  <si>
    <t>gladiateur-76747</t>
  </si>
  <si>
    <t>on se fait percuter par derrière par un scooteur, qui reconnait sa faute, Un témoin, avec coordonnées. La MAIF dit qu'il est injoignable on se déplace au siège: mauvais accueil et aucune écoute.</t>
  </si>
  <si>
    <t>mike23-76710</t>
  </si>
  <si>
    <t>Bonjour, assuré à la MAIF depuis 55 ans (eh oui) et fils d'INSTITUTEURS - comme le signifie l'acronyme maIf - je fais un constat décevant qui me pousse inexorablement dans les bras d'autres assureurs.
Plus trace de l'instituteur fondateur militant, le mercantilisme a gagné cette mutuelle. En revanche, quand le retraité que je suis, sans accident depuis plus de 25 ans se propose d'acquérir un véhicule commun mais haut de gamme avec une puissance de près de 300 CV on vous fait le reproche - vécu au téléphone - d'avoir jeté votre dévolu sur une auto qui ne sied guère à la gent enseignante et on vous propose un devis monstrueux.
Adieu, belle mutuelle ouverte dorénavant à tous mais pénalisant les "grosses autos" qu'il est indécent de conduire quand on a été enseignant.</t>
  </si>
  <si>
    <t>12/06/2019</t>
  </si>
  <si>
    <t>titou-76391</t>
  </si>
  <si>
    <t>Lorsque survient un désaccord avec cet organisme,ils ne répondent pas a vos questions c'est l'omerta,ils maintiennent obstinément leur position sans considérer un instant que vous pouvez être de bonne foi qui se présume.Eux qui se vantent d'être a l'écoute du societaire......</t>
  </si>
  <si>
    <t>croustille-75982</t>
  </si>
  <si>
    <t xml:space="preserve">FUYEZ les amis !!! La MAIF a bien changée ! fini les valeurs mutualistes et militantes martelées par la pub.  Priorité au BIZNESS. Désolé mais rentabilité ne rime pas avec efficacité !  </t>
  </si>
  <si>
    <t>16/05/2019</t>
  </si>
  <si>
    <t>harris-75331</t>
  </si>
  <si>
    <t>Après des années sans sinistre à la MAIF, mon véhicule est immobilisé  depuis juillet 2018 suite à 1 sinistre (non responsable) dans un garage affilié MAIF.
Garage incompétent, mauvaise expertise : cela fait 9 mois que mon véhicule est au garage et ce n'est pas faute de les harceler...
Au bout de 4 mois, ils n'avaient pas encore commandé les pièces, au bout de 6 mois, on me remet mon véhicule qui dysfonctionne, au bout de 8 mois, ils n'ont toujours pas commandé les pièces complémentaires, au bout de 9 mois, je suis toujours dans l'attente...
Dans mon malheur, j'ai un véhicule de prêt pendant les réparations mais je regrette que ce dernier soit de catégorie A alors que j'assure un véhicule de catégorie D depuis plus de 7 ans !!!
Enfin, je suis dans l'obligation de continuer à payer la prime d'assurance d'une voiture que je ne roule pas et la MAIF ne propose AUCUNE solution sinon de continuer à payer et d'attendre ...</t>
  </si>
  <si>
    <t>mfc-75205</t>
  </si>
  <si>
    <t>Depuis 1970 sans accident, victime d'un chauffard motard, ayant commis deux infractions:doubler par la droite, à plus de 100km/h sur une route limitée à 70 km/h (infractions dénoncées par témoin), je suis reconnu responsable d'une collision à l'arrière de mon véhicule.</t>
  </si>
  <si>
    <t>18/04/2019</t>
  </si>
  <si>
    <t>laurence656464-72464</t>
  </si>
  <si>
    <t>tant que l'on paie ses cotisation pas de probleme mais dès qu'il y a un sinistre on refuse l'indemnisation.</t>
  </si>
  <si>
    <t>26/03/2019</t>
  </si>
  <si>
    <t>sbai-71421</t>
  </si>
  <si>
    <t xml:space="preserve">je suis révolté de la méthode utilisée par le service de gestion de sinistre pour tenter de discréditer le vandalisme que j'ai subi. Une décision discriminatoire avec des méthodes abusives et qui ne respecte ni le code éthique et ni le code pénal. Ils détournent un dossier concernant un incendie de véhicule, pour le faire dévier sur une panne imaginaire </t>
  </si>
  <si>
    <t>18/02/2019</t>
  </si>
  <si>
    <t>nhafra-70134</t>
  </si>
  <si>
    <t>Je suis allée chez eux car mon entreprise est partenaire donc pourcentage de remise sur la cotisation. Une de mes collègues en a été très satisfaite. J'ai un sinistre responsable avec ma voiture contre deux bornes délimitant un passage étroit (porte avant droite et pare choc arrière endommagés). Pour la portière ce n'est que de la tôle froissée, elle fonctionne très bien. Pour le pare choc les réparations sont nécessaires. Je déclare le sinistre, vais faire le devis chez un carrossier partenaire et là le couperet tombe. Mention VEI (véhicule économiquement irréparable car sa valeur est inférieure au montant des réparations). Je ne peux obtenir le rapport puisqu'il est prévisionnel, la MAIF refuse que je modifie la déclaration ou que j'annule le sinistre (ce qui leur ferait économiser des sous). Je rappelle l'expert qui m'envoie chez un autre carrossier en me disant de demander des pièces d'occasion. J'obtiens un devis à 1300 et quelques. L'expert valide le dossier et rend son rapport final, sans mention VEI. Mais pour la MAIF, ils se basent sur la mention VEI du premier échange avec l'expert. Donc aucune écoute, aucune compréhension. La gestionnaire m'a même dit qu'elle faisait preuve d'écoute puisque ça faisait "21 mn qu'elle était au tel avec moi, que des dossiers comme le mien ils en voient tous les jours". Donc voilà pour le côté humain de la MAIF. Et je suis en tous risques hein, donc pour prendre l'argent des cotisations aucun souci, mais pour assurer il n'y a personne.</t>
  </si>
  <si>
    <t>11/01/2019</t>
  </si>
  <si>
    <t>sodak2001-69664</t>
  </si>
  <si>
    <t>La MAIF facture 160 euros de frais de mensualisation
une honte en pleine crise gilet jaune
je contact une association de consommateur ou famille de France, c'est un scandale</t>
  </si>
  <si>
    <t>26/12/2018</t>
  </si>
  <si>
    <t>mina-69070</t>
  </si>
  <si>
    <t xml:space="preserve">Sociétaire depuis une quinzaine d'année j'aurais beaucoup de choses à raconter. Toutes mes assurances sont à la MAIF  jusqu'à un capital décès. Bilan en demi-teinte avec des éléments qui me poussent à sérieusement étudier ma résiliation de contrats  du moins le contrat assurance auto VAM. Je réside dans une ville qui n'a pas d'antenne MAIF. Les choses peuvent s'avérer dès lors très bureaucratiques et le traitement des sinistres intransigeant sans aucune information préalable sur les malus et l'application des taux. Il n'y a aucun contact possible sauf par téléphone. J'ai eu un sinistre matériel en 2017 j'ai cassé le rétroviseur d'une voiture en évitant un piéton.  J'avais un taux de 0.60 et je passe à 0.80. Mon taux actuel étant donc une moyenne des deux, j'imagine 0.76. Voilà ce que j'ai sur l'échéancier prévisionnel de 2019  : 
Cotisation HT de référence 679.29 € y compris options dont 631.04 € soumis au coefficient.
Coefficient de réduction majoration  0,76
Régularisation du coefficient 2018 0.80 au lieu de 0.60 soit 116.94 € HT
cf événement du 06/06/2017  
Concrètement ma cotisation VAM passe de 488.19 euros TTC à 795.59 euros TTC 
La compta et l'assurance n'étant pas mon métier je souhaiterais rester humble si d'aventure un calcul évident pouvait m'avoir échapper pour justifier une telle augmentation de 307.4 euros
ça fait cher le rétro pour être sûre de ne pas écraser un piéton occupé avec son smartphone. J'ai appelé la MAIF une gentille personne m'a répondu mais ne comprenant pas pourquoi l'augmentation était si forte elle m'a mise en contact avec la responsable de l'antenne dont je dépends. Cette responsable qui n'a pas décliné son identité a été très condescendante et ne m'a pas expliqué quoique ce soit de façon claire. D'ailleurs à toute fin utile j'aimerais signaler à la MAIF qu'il serait de bon ton de faire le distinguo entre accident matériel et accident sur tiers. Bref. Augmentation car malus ok je peux comprendre mais ce que je souhaitais c'était une explication claire du calcul pour en arriver à 307 euros. C'était apparemment trop demander.  Avant quand j'étais dans le sud on me recevait gentiment. Il y avait une antenne proche de chez moi et la pédagogie ainsi que l'information étaient de mise. Le service était très professionnel et je me sentait fière d'être sociétaire MAIF.  Je ne donne pas les détails de la conversation mais c'était plus que pénible. Et là à 15 jours d'une échéance professionnelle très importante pour moi je n'ai pas envie de me battre avec un assureur. Assureur qui me placera bien sûr au fichier national si je résilie. De plus on s'est moqué de moi de moi quand j'ai dis qu'en tant que maman isolée j'étais à 300 euros près. du coup j'ai rétorqué que la MAIF n'était sans doute pas à un sociétaire près. Vraiment oui après 15 ans de fidélité ça fait cher le rétro et c'est très décevant de ce faire traiter ainsi. 
</t>
  </si>
  <si>
    <t>02/12/2018</t>
  </si>
  <si>
    <t>alex54-51448</t>
  </si>
  <si>
    <t>Quand on se vante dans ses publicités que la confiance est une règle (voir youtube) ainsi que sur son site d'être le numéro un de la relation client, je me dit immédiatement que c'est mensongé. Le seul but est de faire de l'argent. MAIF m'explique que c'est le code de la route qui prime mais quand on me grille la priorité (à droite), n'est ce pas le code de la route?
4 interlocuteurs, 4 discours différents : quelle Acompétence!
fuyez !</t>
  </si>
  <si>
    <t>20/11/2018</t>
  </si>
  <si>
    <t>stephanie95330-68127</t>
  </si>
  <si>
    <t>Bonjour, j'ai acheté une nouvelle voituredebut octobre 2018, devant m'assurer tout risque je contacte plusieurs assurances , et m'oriente vers la MAIF . J'ai donc un tarif annuel pour 2018 d'environ 650 euros soit  a peu pret 54 euro par mois . Hier je eçois le nouvel echeancier pour 2019 ... Surprise le tarif passe a 1250 euros soit plus de 40% d'augmentation ...  Bon  n'ayant rien signé encore , j'envisage de ne surtout pas prolonger cetet assurance mais surtout , changer aussi celle de ma maison qui est chez eux .... 
dommage aucun argument et surtout impossible de les joindre au tel .</t>
  </si>
  <si>
    <t>27/10/2018</t>
  </si>
  <si>
    <t>muret31-67679</t>
  </si>
  <si>
    <t>Avec plusieurs sinistres : assistance étranger, accidents automobile, assistance juridique suite à problème immobilier, je n'ai rien à reprocher, bien au contraire. Certes, je paie cher, mais c'est normal. Financièrement parlant, je n'ai "perçu" bien moins que mes cotisations!! Mais ça s'appelle MUTUELLE! C'est tout!</t>
  </si>
  <si>
    <t>garrygabriel-67477</t>
  </si>
  <si>
    <t>Je suis nouveau client Maif, et je regrette déjà, après avoir été victime d'une usurpation d'immatriculation, la maif a décidé de me mettre un malus sans aucune raison alors que je suis la victime, je suis donc passer de 40% de bonus à 25%, inacceptable, je demande aujourd'hui à cette assurance de me rembourser le trop perçu, pour me rendre à la concurrence, sinon je ferais appelle à la défense des consommateurs pour opérations frauduleuses, bien à vous.</t>
  </si>
  <si>
    <t>09/10/2018</t>
  </si>
  <si>
    <t>jino-66452</t>
  </si>
  <si>
    <t>Très bonne assurance avec prix raisonnables. Il y a toujours quelqu'un pour vous répondre rapidement.</t>
  </si>
  <si>
    <t>28/08/2018</t>
  </si>
  <si>
    <t>nasserdu57-65765</t>
  </si>
  <si>
    <t>Etant assuré depuis des années chez eux, j'ai eu un 5ème sinistre ( jamais responsable) : un poids lourd me percute rendant économiquement non réparable...ils me laissent à l'abandon pour la revente de l'épave et ils estiment ( exprès?) Une misère le véhicule 2100e et quand je les appelle pour leur expliquer que je dois travailler on me répond 'je ne peux rien'. C'est bien ce que je vous reproche! De plus, j'ai 29 ans et 4 mois il fallait que je sache qu'à partir de 28 ans je devais faire 1 ass à mn non-_x009b_ menace d'arrêter l'assurance ils ne savaient que mn vehicule était épave. Quand j'élève un peu le ton, elles se permettent d'être irrespectueuses. Je pars avec 3 contrats. Pas pro du tout...</t>
  </si>
  <si>
    <t>25/07/2018</t>
  </si>
  <si>
    <t>juni-65620</t>
  </si>
  <si>
    <t>Un sinistre depuis un an. Traitement du dossier catastrophique.
J'ai contacter la maif par téléphone il ya 10 jours ( avec promesse non tenue de me rappeler) et par mail il y 4 jours, toujours aucune réponse sur le suivi de mon dossier...</t>
  </si>
  <si>
    <t>19/07/2018</t>
  </si>
  <si>
    <t>jf37-65499</t>
  </si>
  <si>
    <t>assurance chère et sectaire car n'accepte pas tous les clients.</t>
  </si>
  <si>
    <t>15/07/2018</t>
  </si>
  <si>
    <t>soken-65440</t>
  </si>
  <si>
    <t>Ils sont la quand on paye mais quand on a besoin d'eux personne (sauf remorquage très rapide) , assurer depuis 2 ans pour tout mes biens, je songe à partir !!</t>
  </si>
  <si>
    <t>12/07/2018</t>
  </si>
  <si>
    <t>niagara-65061</t>
  </si>
  <si>
    <t>Recherche par tous les moyens à ne pas rembourser les sinistres à leur juste prix.</t>
  </si>
  <si>
    <t>loubinou-65047</t>
  </si>
  <si>
    <t>J ai déclaré un sinistre sur stationnement le 04/06 .l expert a signé à ma place le procès verbal après que je sois partie en omettant la prise en charge du pare-chocs arrière, le 05/06 je fais un accident à raison, et le pare-choc n est pas pris en charge lors de l expertise du 07/06 alors qu il est précisé sur le constat et même sur les photos que j ai envoyé à la MAIF, le pneumatique et son système également . Après maintes relances et réclamations , l expert revient sur sa position et rajoute seulement le pneumatique et s excuse sur la signature rejetant la faute à l informatique...?!?! Signature manuscrite faite à ma place .
On me demande de réouvrir un autre sinistre pour payer une nouvelle franchise si je veux changer mon pare choc. Ce n est pas une assurance . C est une pompe à fric....
Je suis pourtant assurée tous risques , aujourd’hui cela fait 20 j que mon véhicule est immobilisé sachant que c est mon outil de travail . 
Je suis consternée et extrêmement déçue de la MAIF , cette assurance me pousse à vouloir résilier car je la trouve préjudiciable.</t>
  </si>
  <si>
    <t>25/06/2018</t>
  </si>
  <si>
    <t>cm-64049</t>
  </si>
  <si>
    <t xml:space="preserve">MAif en toute franchise !!
Sociétaire depuis 40 ans ...2 applications de franchise en 1 an ...dur à avaler .
Coup de vent : L'arbre du voisin tombe sur votre terrain, écrase le trampoline de votre petit fils...150 euro de franchise pour vous ...Sans parler des arbustes abimés non pris en charge...
Votre toit panoramique fixe de voiture se fissure suite à un éclat de pierre en roulant, malgré la formule tout risque plénitude : Franchise...alors que si c'était  un toit ouvrant pas de franchise comme les autres bris de glace du véhicule...comprenne qui pourra.
</t>
  </si>
  <si>
    <t>16/05/2018</t>
  </si>
  <si>
    <t>natan79-63328</t>
  </si>
  <si>
    <t>En fait je suis à la Maif depuis plus de 30 ans et malgré que je côtoie d’autres assureurs et que je  m’intéresse  au marché je n’ai jamais perdu ma confiance dans cet assureur.</t>
  </si>
  <si>
    <t>cdrp-62965</t>
  </si>
  <si>
    <t xml:space="preserve">Je suis client à la MAIF depuis plusieurs années. Jusque là j'ai été plutôt bien traité, à chaque sinistre la prise en charge a été rapide, le service client pertinent. 
L'an dernier je décide d'acheter une remorque et contacte la MAIF pour l'assurer. Le conseiller clientèle qui traite ma demande me dit : "pas la peine d'assurer la remorque elle est prise en charge par votre assurance auto" Je me dis que c'est cool et qu'on essaye pas de me refourguer un produit dont je n'ai pas besoin. En décembre, patatras, sur la route une bourrasque arrache les réhausses de ma remorque, celle ci devient inutilisable. Je contacte donc la MAIF pour trouver un réparateur du réseau et faire réparer ma remorque.
Réponse du conseiller(très courtois, ils n'ont pas que des défauts) votre remorque n'est pas prise en charge. ??????
Alors en fait elle est prise en charge mais pas si c'est vous qui l'abîmez ... sauf que si je demande une assurance et qu'on me dit qu'elle est inutile j'estime qu'elle devrait être prise en charge.
Tant pis on râlera encore après les assureurs et on changera de crèmerie ...
Malgré tout, me disant que ma remorque pouvait subir de nouveaux dommages, je demande un devis pour la faire assurer. Je vous laisse deviner la réponse du conseiller que j'ai eu au téléphone !!! </t>
  </si>
  <si>
    <t>04/04/2018</t>
  </si>
  <si>
    <t>christelle-62685</t>
  </si>
  <si>
    <t>À fuir très vite assurance très chère et en cas de sinistres plus personne ils essaient même pas de savoir si on a tord ou pas de toute façon ils ne font rien démerde toi!!! Assureur militant on est obligé de se battre contre eux en cas de sinistres non responsable c'est quand même un comble</t>
  </si>
  <si>
    <t>these-62066</t>
  </si>
  <si>
    <t xml:space="preserve">Nouveau client chez la MAIF, j'ai payé ma cotisation par chèque le 08 février 2018. J'apprends par un courrier que la MAIF n'aurait pas reçu le paiement de la cotisation annuelle. Heureusement j'ai demandé une attestation à la conseillère lors du paiement. Aussi, j'ai répondu par courrier avec copie de l'attestation de paiement pour prouver ma bonne foie et surtout que j'avais payé. 
Je décide aussi de contacter par téléphone la MAIF afin d'avoir de plus amples informations. j'explique donc ma situation à la conseillère que j'ai au téléphone et elle m'explique que je dois entre autre faire opposition à mon chèque. Je lui fais comprendre que c'est inadmissible et qu'il est difficile de faire confiance à un assureur qui égare des chèques. Comment faire confiance à un assureur qui ne sait pas faire attention aux chèques de ses clients ? Comment vont ils réagir en cas d'accident s'ils n'arrivent même pas à suivre un chèque ??? 
J'explique également à la conseillère que cela m'embête, car il y a mes données personnelles sur ledit chèque. Tout ce qu'elle trouve à me répondre c'est "bah oui c'est du papier, ça vole". C'est tout juste inadmissible de répondre de cette manière à un client. 
JE RAPPELLE À LA MAIF QU'IL EXISTE UN GRAND NOMBRE D'ASSUREUR ET QUE LORSQUE L'ON EST EN TORD ON TENTE DE TROUVER UNE SOLUTION ET NON PAS DE REPONDRE DES ABSURDITÉS. </t>
  </si>
  <si>
    <t>06/03/2018</t>
  </si>
  <si>
    <t>tacatac-61947</t>
  </si>
  <si>
    <t>La MAIF souhaitte résilier les contrats auto alors que je suis adherent depuis plus de 40 ans un bonus de 0,50 et aucun accident. Incompréhensible pour une mutuelle enseignants au départ. Il est evident que la MAIF agit délibérement sur les seniors preferant les plus jeunes avec des primes plus élevées. Nul</t>
  </si>
  <si>
    <t>03/03/2018</t>
  </si>
  <si>
    <t>petesset-61732</t>
  </si>
  <si>
    <t xml:space="preserve">J'ai eu un accident de voiture le 13 décembre 2017 pour lequel je ne suis pas responsable.
La MAIF a été très réactive et nous avons même pu avoir un véhicule de location pendant 1 semaine pour nos vacances fin décembre.
Le montant pour réparer la voiture suite à mon accident a été estimé a 4133,91 euros TTC par l'expert.
Mais  nous avons  appris aussi, que notre voiture avait eu un choc antérieur et que la réparation faite était non conforme. Il fallait donc prévoir de une certaine somme pour cette réparation, le garage a estimé cette réparation a 4827 euros TTC.
Nous avons décidé de ne pas faire réparer la voiture. La MAIF nous a alors prévenu que dans ce cas là, ils nous reverseraient la somme prévue pour la réparation mais avec le montant HT.
Informés de cette nouvelle, nous avons effectué de notre côté toutes les démarches pour faire reprendre notre véhicule en l'état. Et c'est là que nous n'avons pas compris la démarche de cette assurance. L'expert a été mandaté pour refaire un devis de réparation pour estimer à nouveau le montant de la réparation. Et là surprise ! Le montant des pièces est resté le même mais le taux horaire est passé de 40 euros à 30 euros et pour les ingrédients de 33 à 15 euros !
Finalement pour la même réparation le premier devis avait un montant HT de 3445 euros et le deuxième devis de 3099 euros…
Nous n'étions pas avertis de cette différence et nous avons pris la décision de ne pas faire réparer en pensant que nous aurions un versement de 3445 euros, nous n'aurions peut-être pas pris la même décision si nous avions sû qu'un nouveau devis serait effectué par l'expert...
Ce qui me fait dire aujourd'hui, que nous avons fait économisé de l'argent à notre assurance. Si nous avions fait réparé notre voiture, cela leur aurait couté 4134 euros et finalement, ils nous versent 3099 euros. 
Je suis très insatisfait de cette façon de faire, j'ai toujours vanté la réactivité et les valeurs de cette assurance, mais là, je crois que je ne pourrais plus faire de même à l'avenir !
</t>
  </si>
  <si>
    <t>25/02/2018</t>
  </si>
  <si>
    <t>pat2539-60992</t>
  </si>
  <si>
    <t>Dans le cadre de la loi Chatel, j'ai envoyé à la Maif ma lettre recommandée de résiliation. Celle-ci fut reçue le 18 décembre 2018. Sans malice, je n'ai pas supprimé l'autorisation de prélèvement  automatique à ma banque. Et le 8 janvier 2018, le montant des trois assurances que j'aurai du si je n'étais pas parti chez un autre assureur, a été prélevé sur mon compte bancaire.   Quelques jours après, la consultation de mon compte bancaire m'informe de cette situation. Ma réaction pour  obtenir le remboursement de ce prélèvement injustifié passa par de la communication téléphonique, écrite (SMS) et par des entretiens à la délégation locale. Qu'ai je obtenu ? Rien car j'étais responsable de cette situation : j'aurai du faire autrement et ne pas profiter de la loi Chatel au mois de décembre. A la date du 30 janvier, le remboursement n'était toujours pas effectué.  Pour la Maif, je suis confronté à une situation normale et je dois accepter un prélèvement bancaire injustifié et attendre le remboursement. Tout ceci sans compassion, sans empathie, sans prise en compte du désagrément financier (qui paiera les agios bancaires) parce que le logiciel dicte sa règle et qu'aucune réactivité n'est permise (???). J'attends toujours le courrier qui doit "préciser les conditions dans lesquelles ce crédit sera pris en considération". Belle formulation pour l'assureur militant qui s'engage à "favoriser cette société collaborative où les gens se font confiance". Pour ma part, je n'ai plus confiance.</t>
  </si>
  <si>
    <t>31/01/2018</t>
  </si>
  <si>
    <t>ma22-60328</t>
  </si>
  <si>
    <t>Dégoûtée par cette assurance qui se moque de respecter les dispositions légales en matière d’assurance et qui applique le Code des assurances à sa guise !!!
Il est impossible et déconseillé de leur demander des conseils. Cela peut vous coûter très cher ! 
Je l’ai appris à mes dépens ...
En effet, après avoir appelé un matin pour obtenir des conseils en qualité d’assurée, j’ai appris que mes conseils demandés se sont transformés en « déclaration de sinistre de précaution » et pour lequel m’est affublé un malus. 
Aucun sinistre (au sens juridique du terme) n’existe, c’est la raison pour laquelle j’ai adressé une LRAR à la MAIF pour que soit enlever immédiatement le malus.
Il a été retiré, après avoir contacté leurs services tous les jours.
MAIS ...
Malgré un rappel, dans ma LRAR, des articles du Code des assurances relatifs aux critères constitutifs d’un sinistre, le sinistre « imaginaire » figure désormais sur mon relevé d’informations et fait grimper le montant de ma cotisation annuelle. 
J’ai demandé à ce que cette mention figurant sur mon relevé d’informations soit effacée mais on me maintient que le sinistre existe alors que la MAIF ne dispose d’aucune déclaration écrite et que je n’ai jamais demandé de déclaration de sinistre !!!! J’ai demandé à ce que l’appel enregistré soit déterré mais bien évidemment il n’en fut rien.
Voilà ce qu’il m’a été répondu : « Comme nous vous l'avons précisé,dès que notre sociétaire nous fait part d'un événement,nous enregistrons les informations afin de conserver les éléments de type date,lieu,circonstances,conducteur... dans le cas où nous serions mis en cause par un assureur adverse. »
Il s’agit là d’un simple choix de gestion mais pas d’une disposition légale !!!
On m’a même reproché au téléphone de ne pas avoir été floué dans mes explications et qu’il aurait fallu que je reste vague lors de ma demande de conseil.
Aujourd’hui, je subis un surcoût injustifié et appliqué arbitrairement par cette assurance qui se prétend professionnel de l’assurance alors qu’elle agit au mépris des textes de loi et applique à ses assurés des décisions discretionnaires.
Étant huissier de justice et avant tout juriste, je  compter intenter une action judiciaire pour faire pointer du doigt des pratiques illégales de l’assurance MAIF.
Je compte bien évidemment demander des dommages et intérêts pour le préjudice causé par le versement du surcoût de ma cotisation annuelle et le remboursement des sommes que je suis contrainte de régler injustement, et ce même si je change d’assureur.
Je trouve regrettable qu’il faille en arriver à de telle mesures pour qu’un assureur respecte les règles qui lui sont imposées. 
Sans ce sinistre « imaginaire », ma cotisation annuelle serait moins onéreuse.
J’ose espérer que l’un de leur super conseiller tombera sur ce message et agira afin que j’évite d’en arriver à de telles mesures ...</t>
  </si>
  <si>
    <t>dhoif-60265</t>
  </si>
  <si>
    <t xml:space="preserve">Assurer depuis avril 2017 avec mon premier véhicule, 6 mois plus tard je suis tombé en panne plein autoroute; j’ai appelé l’assistante immédiatement (l’autoroute étant un réseau privé) l’autoroute m’on’y donc envoyer un dépanneur, arrivé au garage mes frais sont prises en charge par mon assurance (Maif) que je ne sais pas comment remercier car ils ont prient tous mes frais de transport en charge (train et taxi dans une distance de plus de 250km) mais aujourd’hui j’ai changé de voiture moins puissant que la première, je vois ma facture élevé. </t>
  </si>
  <si>
    <t>08/01/2018</t>
  </si>
  <si>
    <t>pasencoretoutvu-59941</t>
  </si>
  <si>
    <t>C'est une assurance qui pratique le mensonge, les personnes sont abus de leurs personnes et vous prennent de haut. J'ai eu un accident avec une voiture en stationnement interdit, lui ayant laissé mes coordonnées celui-ci n'a jamais répondu. L'assurance (je ne les croix pas parce qu'ils sont menteurs) me dit que cette personne ne veut pas donner suite, donc cet accident est de ma faute et veulent me coller les frais de garantie et le malus.
Pour un autre pépin ou qq m'a percuté, on me répond que le garage que j'ai choisi n'est pas reconnu par la Maif et que je dois payer tous les frais, mais quand on va sur leur site on le trouve référencé, allez comprendre. Mon conseil sauvez vous de cette assurance qui se dit sociétaire, militante, mais cela n'est que de l’esbroufe pour pigeons.</t>
  </si>
  <si>
    <t>28/12/2017</t>
  </si>
  <si>
    <t>francois26-59701</t>
  </si>
  <si>
    <t xml:space="preserve">Assuré depuis huit ans, je déconseille fortement cette assurance ,lapsus volontaire, qui se fout royalement de ses clients :choc à l'arrière droit de mon C.C , à l'arrêt et réparation à moitié du pare-choc ,teinte de peinture différente.Barrière qui se baisse sur mon passage : Maif refuse de prendre en compte ,il a fallu que je recherche compte rendu de procès pour que la Maif daigne me rembourser. ...Enfin, pas du tout à l'écoute de ses clients, ne répondant pas, lenteur administrative, aucun intérêt  pour les petits clients... Je quitte cette  mauvaise mutuelle, le cœur soulagé, fatigué de devoir se justifier et surtout, camping caristes, étudiez bien votre contrat avant de signer chez ces tristes sires.  </t>
  </si>
  <si>
    <t>15/12/2017</t>
  </si>
  <si>
    <t>zorba-59579</t>
  </si>
  <si>
    <t xml:space="preserve">L'esprit mutualiste (partage, solidarité, CONFIANCE) a malheureusement disparu. </t>
  </si>
  <si>
    <t>11/12/2017</t>
  </si>
  <si>
    <t>plim-30815</t>
  </si>
  <si>
    <t>j'ai cru que la Maif était interessante au niveau prix, notamment pour les jeunes conduteurs, j'ai été surpris d'aller voir ailleurs. un jeune conducteur à un moment ou à un autre devra s'assurer comme conducteur principal pour engranger du bonus et là, c'est plus la même chose. je résilie à échéance. cette année, la Maif ne couvre plus si vous avez un vol dans votre voiture. soyez prudent!</t>
  </si>
  <si>
    <t>05/12/2017</t>
  </si>
  <si>
    <t>alain-59352</t>
  </si>
  <si>
    <t xml:space="preserve">Je suis sociétaire MAIF depuis environ 30 ans, sans aucun sinistre responsable, J'ai eu 3 véhicules assuré à la MAIF, avec 50% de bonus. Depuis 4 ans mon fils utilise une de ces voiture (306) assurée au tiers. Jeune conducteur il a eu 2 légers accrochages en 2016 et début 2017.  
Courant décembre Je décide d'assurer un nouveau véhicule (neuf)  et de donner celui que j'utilise à mon fils et remplacement de la vieille 306. Je fais donc faire des devis , "...assurez votre fils chez nous, il profitera de tous les avantages..." et décide d'assurer les 2 avec des contrats Formule PLENITUDE. 
Et, lorsque je reçois mon relevé de cotisation annuelle je me retrouve avec un malus de 20% sur l'un des véhicule. Ils ont simplement appliqué le malus d'un contrat au tiers à un contrat Plenitude. 
J'ai appelé la MAIF pour avoir des explications et faire valoir ma fidélité, La seul réponse qui m'a été faite "C'est comme ça ….. c'est la loi.....un point c'est tout....vous récupérez vos 50% dans 5 ans..." Impossible de discuter.  
Je suis très déçu et me sens trahi par une mutuelle qui ne récompenser la fidélité de ses adhérents. 
Je compte quitter cette assurance dès que possible. 
</t>
  </si>
  <si>
    <t>04/12/2017</t>
  </si>
  <si>
    <t>jez-58401</t>
  </si>
  <si>
    <t>J'ai été résilié car j'avais déclaré 1 pneu crevé nécessitant un dépanneur...  Où va-t-on !</t>
  </si>
  <si>
    <t>bobo-58268</t>
  </si>
  <si>
    <t xml:space="preserve">Le 20 août 2017 nous avons eu un sinistre sur notre voiture j au fair une déclaration le 20 août et un complément le 29 août qui n à pas été prise par la gestion sinistre qui n à pas transmis à l expert qui a rendu in rapport incomplet sans les éléments du 29 août nous n avons pas ete indemnisé et notre véhicule autre tout risque esr reste endommagé 
Une honte cela fair plus de deux mois que nous envoyons des emails des courriers au siège rien ne se passe humainement et psychologiquement nous sommes à bout 
Cette assurance b a aucun esprit humain et le militantisme n existe pas 
Assurance à fuir </t>
  </si>
  <si>
    <t>21/10/2017</t>
  </si>
  <si>
    <t>alf-56386</t>
  </si>
  <si>
    <t>Bonjour. Suite au vol de ma caravane le 28 juin, sachant que le délai de carence est de deux semaines à compter de la date due dépôt de plainte du vol, nous somme le 31 juillet et toujours aucun remboursement. L'assureur n'a pas transmis les documents du dossier au huissier (documents transmis électriquement), et ne nous avait pas demandé les clés (selon le huissier il faut les fournir... du coup elles n'ont pû être envoyées que le 29 juillet). Bref plus de deux semaines de retard sur le remboursement. Plus d'accueil client en agence, tout par internet, du coup nous ne sommes plus des clients mais des dossiers. On a perdu l'empathie liée au contact humain. Pour une assurance qui de dit "assurément humaine" !... Ils auraient pu avoir la volonté d'arranger nos vacances avec un remboursement rapide... mais non.</t>
  </si>
  <si>
    <t>31/07/2017</t>
  </si>
  <si>
    <t>boune-55869</t>
  </si>
  <si>
    <t xml:space="preserve">il ne faut surtout ne pas etre assure au tiers car dans ce cas , vous etes le paria de service </t>
  </si>
  <si>
    <t>07/07/2017</t>
  </si>
  <si>
    <t>lesinge-55629</t>
  </si>
  <si>
    <t>Service peu adapté à convenir aux demandes basiques de client faisant partie des "meubles" depuis des générations.</t>
  </si>
  <si>
    <t>26/06/2017</t>
  </si>
  <si>
    <t>smithouu95-55238</t>
  </si>
  <si>
    <t>Assuré chez Maif depuis 2013 a 2017 ..je suis très satisfait du service.jai vécu une fois une panne en allant a bordeau, le service rendu etait a la hauteur .le tarif est pour moi bien accessible car j'ai commencé  en tant que jeune conducteur et depuis j'ai vu une baisse considerable</t>
  </si>
  <si>
    <t>nataune-55213</t>
  </si>
  <si>
    <t>Ça fait de nombreuses années que je suis assurée auto tout risque à la Maif, et de nombreuses années sans sinistre. J'ai eu, l'été dernier, un accident sans tiers responsable, et le véhicule n'a pas été jugé réparable par l'expert, j'ai été remboursée par la Maif. Ayant acheté un véhicule il y a quelques jours et faisant confiance à la Maif, j'ai appelé le service client pour faire un devis d'assurance auto au tiers. J'ai été choquée d'apprendre que j'avais pris 25 points de malus et que le devis s'élevait à 450 euros par an, pour une formule de base au tiers!!! La Maif est une très bonne assurance mutualiste quand vous n'avez pas de sinistre et que vous êtes assurés chez eux depuis longtemps! Par contre, si vous avez eu un sinistre et que vous souhaitez réassurer votre véhicule chez eux, aucune prise en compte de votre fidélité et de votre profil! Vous avez beau n'avoir eu aucun sinistre pendant de nombreuses années, vous paierez cher la moindre erreur!!! Je n'assurerais donc pas mon nouveau véhicule chez la Maif.</t>
  </si>
  <si>
    <t>08/06/2017</t>
  </si>
  <si>
    <t>xavassur-54677</t>
  </si>
  <si>
    <t>Très bien tant qu'on n'a pas de sinistre à déclarer. Au moindre pépin, les promesses ne sont pas tenues et la MAIF est loin de l’assureur militant annoncé. C’est même plutôt une administration sclérosée et administrée par des enseignants en décalage avec leur temps. Si vous êtes jeunes avec votre avenir devant vous, un conseil, passez votre chemin.</t>
  </si>
  <si>
    <t>14/05/2017</t>
  </si>
  <si>
    <t>maifnul14-54563</t>
  </si>
  <si>
    <t>Nul 
Aucun service 
Relation client inexistante
Remboursement arbitraire
Fidélisation zéro 
Et la liste est longues</t>
  </si>
  <si>
    <t>10/05/2017</t>
  </si>
  <si>
    <t>yannick-54371</t>
  </si>
  <si>
    <t xml:space="preserve">bonjour  j ai eu un accident de voiture le 27 mars 2017 alors que j etais en stationnement un vehicule m a percute par l arrierre ma voiture a ete tres endommagee roue arriere arrachee donc gros choc arriere j etais dans le vehicule au moment de l impact j ai ete emmene a l hôpital  pour des examens 4 semaines d arret de travail 
donc ma voiture a ete transportee au garage Peugeot du coin sans mon accord , le mardi 28 mars je me suis rendu au garage en question on m a dit que l expert alle passer dans la semaine celui ci ma dit que mon vehicule etait reparable j ai donc signe un ordre de reparation , mais une semaine apres on me dit que le garage n etait plus apte de la reparer car le delai allait etre trop long , j ai donc contacte le garage Volkswagen  a cote car c est une coccinelle  il a fallu 2 semaines pour transferer la voiture, mon vehicule a ce jour n a toujours pas ete repare il est sur un parking et le pompon c est que l expert me dit que c est a moi de commander les jantes alu car elles ne sont pas dorigine.
j avais de plus contacter un contrat tout risque plenitude.....
et un contrat pacs corporel mais rien n a ete pris en  compte a ce jour au telephone  on me repond que je n ai pas a me plaindre on me prete une voiture </t>
  </si>
  <si>
    <t>patu-53678</t>
  </si>
  <si>
    <t xml:space="preserve">Adhérent depuis 33 ans, je suis consterné par le nouveau service d'accueil téléphonique mis en place. Plus de contact avec le MAIF de la ville de Rouen. Renvoi direct sur une plateforme. Interlocutrice qui n'ai pas au fait de mon contrat, pas de lien informatique, peu ou pas d'écoute et interprétation des questions posées. Assureur pas militant.
</t>
  </si>
  <si>
    <t>29/03/2017</t>
  </si>
  <si>
    <t>nouchoo31-53308</t>
  </si>
  <si>
    <t>Cliente à la Maif, je n'ai rien à redire sur les prestations qu'ils me proposent. Ils sont réactifs et m'offrent des tarifs intéressants. Il est facile de faire modifier son contrat avec un conseiller en ligne au telephone. Tous les interlocuteurs que j'ai eu à ce jour ont su m'expliquer et me conseiller.</t>
  </si>
  <si>
    <t>16/03/2017</t>
  </si>
  <si>
    <t>sissi-51467</t>
  </si>
  <si>
    <t xml:space="preserve">Extrêmement déçue, assurée depuis toujours a la MAIF, outre le préjudice moral du vol de mon véhicule, je suis dans l'attente d'une prise en charge depuis bientôt 3 mois..Etre assurée "tous risques" ne signifie plus rien puisque je me débrouille seule pour circuler et travailler depuis, lorsque j'appelle pour savoir où en est mon dossier, je n'ai jamais le même interlocuteur, aucune compassion quant à la situation qui devient plus que difficile..Alors l'esprit mutualiste..une illusion, à oublier, c'est une entreprise comme une autre ou ce qui compte apparemment ce sont nos cotisations. </t>
  </si>
  <si>
    <t>19/01/2017</t>
  </si>
  <si>
    <t>globule-51450</t>
  </si>
  <si>
    <t>Il y a des années, il suffisait de passer un coup de fil à la MAIF et tout était réglé rapidement. Désormais, on passe des jours et des jours en échanges téléphoniques et écrits, et rien n'est jamais réglé: on compte sur l'épuisement de l'assuré, qui ne se fera pas rembourser au final. Bref: un assureur comme les autres - mais en plus cher!</t>
  </si>
  <si>
    <t>18/01/2017</t>
  </si>
  <si>
    <t>randy38-51088</t>
  </si>
  <si>
    <t>Je vous déconseille à tous d'aller chez la MAIF. Un assureur qui est très présent pour les factures, pour souscrire, pour prendre une assurance complémentaire et complètement inutile.. ça oui.. !
Mais totalement absent quand il s'agit de vous écouter, de vous contacter et de vous aider dans une démarche en lien avec son coeur de métier théorique : "ASSUREUR". 
La seule chose que la MAIF peut vous assurer correctement c'est l'insatisfaction que vous aurez en cas du moindre sinistre, ou dans vos démarches. 
Des conseillers qui se permettent de vous transférer à d'autres conseillers à qui vous devez tout ré-expliquer, et ce sans prévenir si votre cas est trop "chiant à gérer". #PINGPONG C'est vrai que c'est toujours plaisant.
Je dois vous avouer que dès le début ils n'ont pas été efficace... Pour l'assurance logement.. ils n'ont pas su écrire correctement l'adresse du logement, ce qui a retarder mes démarches. J'ai du les recontacter. C'est vrai qu'aujourd'hui aucun outil permet de vérifier l'existence des rues. #GoogleMap
Pour l'assurance auto tout va bien quand tout va bien... ! Si vous avez un pépin : Ne comptez pas sur la MAIF pour essayer de comprendre votre cas et vous aider, il vous rappellerons peut-être une fois leur jugement délibéré sur des suppositions... Si ils ne sont pas sûr d'une situation ils ne vous rappelleront pas, ils préférerons lancer un dé ;) . Un bon vieux mailing automatique avec fichier PDF en pièce jointe, histoire de pas trop se fatiguer sur l'écriture du mail et pour rendre leur délibération #AssureurMilitant #LOL
Pour finir si vous êtes jeune, que vous débutez dans la vie active, faites très attention ! Vous serez mal guidé, orienter à leur avantage et les procédures seront expéditives. Après tout, jeune = inexpérimenté, c'est vrai "il faut en profiter !!" Et je ne parle pas des tarifs de l'assurance logement..
Bref nous partons asap</t>
  </si>
  <si>
    <t>09/01/2017</t>
  </si>
  <si>
    <t>altra-50966</t>
  </si>
  <si>
    <t>La MAIF évolue...
Suite à un différent de quelques centaines d'euros sur une réparation "a minima" de  carrosserie automobile, qui n'a pas rendu à mon véhicule ses caractéristiques d'origine et qui s'est vite dégradée, j'ai envoyé deux courriers explicatifs et argumentés auxquels je n'ai reçu que des réponses types, lapidaires et ne répondant pas à mes questions.
J'ai fini par demander clairement une réponse concrète et non dilatoire, résultat : plus de réponse...!!
Quand je suis devenu sociétaire MAIF il y a plus de 40 ans, j'ai été reçu par de vieux militants avec qui j'ai pu échanger sur l'esprit mutualiste de cette assurance, qui étaient là, présents, pour échanger, dialoguer, expliquer et répondre, avec empathie et proximité, aux petits problèmes rencontrés.
Aujourd'hui, dans les bureaux réduits au strict minimum des agences locales, on ne  rencontre des interlocuteurs ouverts que si on vient... pour déposer ses économies..!
Pour le reste, il faut envoyer des mails ou des courriers auxquels il est facile de répondre "à côté" ou de ne pas répondre du tout quand ils dérangent.
Il y a une différence notoire entre la "relation clients" dont la MAIF s'enorgueillit et la prise en compte réelle des demandes des assurés.
Vu comment mon petit problème d'assurance a été pris en compte et traité, mes économies sont parties ailleurs, dans un autre établissement mutualiste car personnellement je reste fidèle à cet état d'esprit, mais pas à la MAIF.</t>
  </si>
  <si>
    <t>05/01/2017</t>
  </si>
  <si>
    <t>hafida-50832</t>
  </si>
  <si>
    <t>Après 7 ans en tant que sociétaire, la MAIF m'a éjecté comme une mal propre, à cause de 2 bris de glaces que je paye  et 2 accidents,1 responsable et l'autre non mais nous somme 3 conducteurs. .</t>
  </si>
  <si>
    <t>mik-50339</t>
  </si>
  <si>
    <t>Suite à un différend qu'à mon fils  avec un garagiste ( défauts de réparation et de conseil), les assurés MAIF de longue date que nous sommes viennent de découvrir qu'ils ne bénéficient pas de protection juridique pour un véhicule âgé de plus de 4 ans...IMATECH peut vous fournir des conseils, mais démerdez-vous tous seuls : Autrement dit, le message est clair pour chaque assureur militant que nous sommes:  paye,  tais-toi et surtout prie le ciel de ne pas en avoir besoin !</t>
  </si>
  <si>
    <t>15/12/2016</t>
  </si>
  <si>
    <t>christophe-50140</t>
  </si>
  <si>
    <t>J'ai acheté une voiture le 30 août de 2010 chez AEMG AUTO à saint genis Laval (garage a éviter absolument...). Or j'ai un problème me de moteur. Je contacte alors ma protection juridique Maif. Or celle ci m'explique que je n'ai droit qu'à un conseil juridique et non la protection car mon véhicule a plus de 4 ans... Je dois donc prendre un avocat, faire une expertise... Aller au tribunal de grande instance a mes frais. Je précise que les conseils juridiques étaient de mauvaise qualité. Je ne recommandé donc pas la Maif. Même mon avocat ne comprend pas que la maif ne me donne pas la protection juridique. Je précise que j'assure deux véhicules et plusieurs vie s immobiliers. Je paie aussi chaque mois pour une protection juridique mais qui n'en est pas une. Cordialement</t>
  </si>
  <si>
    <t>11/12/2016</t>
  </si>
  <si>
    <t>alain-43767</t>
  </si>
  <si>
    <t>En juin 2012 je me faisais rentrer à l'arrière de ma voiture par un automobilisme en état d'ébriété (automobilisme emmené par les force de l'ordre). En novembre 2015 la MAIF était encore à me dire que j'étais peut être responsable de l'accident ils étaient toujours dans l'attente du PV de police (après 3 ans et demi). A partir de ce moment j'ai commencé à me fâcher, lettre recommandée, RDV avec un militant (qui m'a dit qu'elle ne pouvait rien faire) appel téléphonique régulier, déplacement à l'agence locale. J'ai fini par obtenir gain de cause et paiement d'une partie du préjudice que je demandais en juillet 2016.
Courant Septembre j'ai reçu de la part de la MAIF un courrier résiliant l'ensemble de mes contrats (Habitation + 2 voitures) pour "dégradation des relations commerciales". On se demande qui est à l'origine de la dégradation des relations commerciales !!
Courant novembre je reçois donc le décompte des cotisations versées la MAIF m'annonçant qu'ils devaient me reverser 675 Euros (avance sur les cotisations de 2017). Ne voyant rien venir je les ai appelé pour savoir ou en était le remboursement il m'a été dit que le remboursement interviendrait début janvier 2017 car mon dernier contrat se finissait fin 2016. Je faisais quand même remarquer que le remboursement concernait 2017 que cela faisait plusieurs mois que l'avance avait été faite, qu'une facture de remboursement avait été émise par la MAIF le 10/11/2016, que j'ai payé les nouveaux contrats d'assurances et que la MAIF se faisait de l'argent sur le dos de ses assurés. Il m'a été dit que le système état comme cela, que le virement ne pouvait se faire qu'en janvier car la clôture des contrats interviendraient fin décembre.
J'ai menacé d'aller faire le siège à l'agence locale de la MAIF et de faire un scandale là-bas et après une demi-heure au téléphone,mon interlocuteur a pris contact avec le siège pour m'annoncer qu'ils allaient procéder aux remboursements des cotisations versées pour 2017, remboursement que j'ai reçu ce matin.
Comme quoi il était bien possible de faire un virement en dehors de leur système habituel.
Je déconseille bien sur la MAIF qui  comme la majorité des assurances voit d'abord son intérêt avant celui des ses assurés, font traîner les dossiers même si vous n'êtes pas responsables et en plus font tout pour retarder les remboursements des cotisations versées à tort.
Je tiens à disposition toutes les pièces nécessaires pour justifier mes dires.</t>
  </si>
  <si>
    <t>hexeo-49830</t>
  </si>
  <si>
    <t>Ils ne sont pas les moins chers du marché mais on peut leurs faire confiance à 100%. Service client ultra rapide, pleins de bon conseils, vous rapelle réellement quand ils disent qu'ils le feront. Nous avions voulu changer pour All Secur (pour les prix) mais finalement, nous sommes vite retournés chez eux</t>
  </si>
  <si>
    <t>lila-138462</t>
  </si>
  <si>
    <t xml:space="preserve">Niveau prix c'est équitable même intéressant mais dès qu'il y a un accident,  on te traite comme un coupable même quand tu n'es responsable de rien.
Deux accidents non responsables,  dont  un avec un tiers identifié et qui assume sa responsabilité,  un accident en stationnement,  donc pas de tiers identifié. 
Il m'ont envoyé un courrier de résiliation et la compagnie me dise que je vais être fiché dans la base de données. 
Pour une personne non responsable,  la compagnie aurait pu me proposer une autre solution comme une proposition de tarif différent pour compenser en considérant que je ne  suis pas responsable et ne devait pas être  traité comme un coupable en me mettant sur la liste des conducteurs à risque. En résumé  un conducteur qui a un accident sans responsabilité ne devait pas être traité comme un conducteur qui a un accident dont il est responsable. </t>
  </si>
  <si>
    <t>Eurofil</t>
  </si>
  <si>
    <t>28/10/2021</t>
  </si>
  <si>
    <t>jp001-138170</t>
  </si>
  <si>
    <t xml:space="preserve">a fuir ils m ont résilié le contract pour un accrochage d une aile alors que je n etuis pas en tort je suis a 50% depuis 30 ans c est une honte il m on dis que c eest eux qui payent encore heureusement on est assuré pour </t>
  </si>
  <si>
    <t>24/10/2021</t>
  </si>
  <si>
    <t>max-81101</t>
  </si>
  <si>
    <t xml:space="preserve">un mois que j'attends la réparation de mon véhicule , l'expert refuse de réparer ma voiture , et ne me rappel jamais , de plus il ne respecte pas la loi , un guignol 
pas mieux chez eurofil aviva , des heures pour répondre sur facebook , et des heures après ils me répondent à 18h15 , qu'ils sot fermés .
j'ai passé des heures au téléphone et des tas de documents pour mon sinistre , et rien ne bouge , ils me prennent pour un con .
un mois après rien ne bouge .
donc dés demain je vous saisis vous et l'expert en justice </t>
  </si>
  <si>
    <t>29/09/2021</t>
  </si>
  <si>
    <t>freddy-134325</t>
  </si>
  <si>
    <t xml:space="preserve">tant qu'on à pas de sinistre tout va bien , le jour ou vous en avez un , c'est une vraie galère dans tout les domaines .
l'expert ne fait pas son boulot correctement .
il bâcle le travail , ne met pas toutes les pièces à remplacer dans son rapport .
et il demande à faire le minimum ( quelques centaines d'euros ) avec des pièces d'occasion sur votre véhicule , sinon il vous la déclare en épave alors qu'elle vous à couté des milliers d'euros .
on se demande pourquoi on est assuré ? alors qu'on est pas responsable du sinistre .
</t>
  </si>
  <si>
    <t>24/09/2021</t>
  </si>
  <si>
    <t>felnaou-129115</t>
  </si>
  <si>
    <t xml:space="preserve">Après un sinistre déclaré à l’étranger le 30 juillet et l’envoi de tout les papiers aucune information sachant que j’ai appelé au moins 10 fois mais toujours pas de réponse et j’ai pas était contacté par leurs service </t>
  </si>
  <si>
    <t>23/08/2021</t>
  </si>
  <si>
    <t>inconnu-5-122127</t>
  </si>
  <si>
    <t xml:space="preserve">Suite à un grave accident alors que je suis assurée tous risque maxi je me retrouve à devoir payer une partie du remorquage.
Ils m'ont déclaré 100% responsable à lors que la vitesse du vehicule en face était mis en cause.... Et je ne parle même pas des agents au téléphone qui n'a aucune compassion et vous très presque de criminelle alors UE vous êtes une victime....
Bref fuyez cette assurance </t>
  </si>
  <si>
    <t>02/07/2021</t>
  </si>
  <si>
    <t>ludivine--114529</t>
  </si>
  <si>
    <t>C’est un zéro pointé ! Notre véhicule a été volé le 6/08/2020, retrouvé en Roumanie fin août, et depuis plus de 9 mois nous attendons notre véhicule ! Nous étions évidemment assurés tout risque ! Nous avons eu un véhicule de prêt pour seulement une semaine, personne ne nous répond à nos emails, et personne ne nous dit quand nous pourrons la récupérer malgré nos appels incessants et nos emails ! 
C’est inadmissible ! Un service client vraiment déplorable ....</t>
  </si>
  <si>
    <t>21/05/2021</t>
  </si>
  <si>
    <t>castillon-89687</t>
  </si>
  <si>
    <t xml:space="preserve">tarif correct , mais service très moyen en cas de panne, difficultés  pour obtenir une assistance. L e tarif est équivalant dans certaines agences et , au moins nous avons un interlocuteur en face de nous sa s attendre de très longues minutes au téléphone. </t>
  </si>
  <si>
    <t>15/05/2021</t>
  </si>
  <si>
    <t>maurice-lacombe-113602</t>
  </si>
  <si>
    <t>Je ne suis pas content du tarif
en effet, la MAAF vient de me faire une proposition pour les mêmes critères de voiture
montant annuel de 750 € alors que euros, paye 842 € par an
sans changement de leur part Je vais changer d'assurance</t>
  </si>
  <si>
    <t>13/05/2021</t>
  </si>
  <si>
    <t>pierre-111144</t>
  </si>
  <si>
    <t xml:space="preserve">La compagnie d'assurance EUROFIL est  une assurance à fuir absolument!!!! aucune considération des assurés. je ne recommande absolument pas EUROFIL. 
 </t>
  </si>
  <si>
    <t>21/04/2021</t>
  </si>
  <si>
    <t>patou-109308</t>
  </si>
  <si>
    <t xml:space="preserve">A faire. Assurais depuis plusieurs années, pas de sinistres,  et là je veux mettre notre fils qui vient d'avoir son permis réponse impossible de l'ajouter, ils ne veulent pas l'assurer, en revanche ils stipulent bien les risque encourus s'il devait conduire sur nos véhicules.  Et veulent une preuve pour qu'il ne conduise pas.
Ma réponse bye-bye, une honte tout simplement. Des samedi je serais ailleurs et mon fils sera assuré comme nimpquel conducteur </t>
  </si>
  <si>
    <t>micdim-109146</t>
  </si>
  <si>
    <t>Tarif acceptable , maintenant comme je n'ai pas eu de sinistre je ne peu pas juger des éventuelles remboursement suite à un accident, la relation avec le personnel est correcte</t>
  </si>
  <si>
    <t>04/04/2021</t>
  </si>
  <si>
    <t>frip-107684</t>
  </si>
  <si>
    <t>impossible d'assurer une tesla grande autonomie 2021 de 11 cv pourtant client depuis plus de 20 ans et ayant 50 % de bonus depuis très longtemps ,c'est dommage car c'était une très bonne compagnie et le personnels gentil. J'espère qu'ils pourront bientôt assurer ce modele car je retournerai aussitôt chez eux</t>
  </si>
  <si>
    <t>glc-104527</t>
  </si>
  <si>
    <t xml:space="preserve">très bien placé niveau prix au moment de la souscription mais personnellement
je remarque de grosses augmentations à chaque échéance et je trouve dommage
d'être obliger de téléphoner pour négocier la hausse de tarif. heureusement on trouve 
un arrangement assez facilement avec un interlocuteur toujours d'une extrême gentillesse.
j'ai déjà recommandé à de nombreux amis et famille qui ont souscrit chez vous
</t>
  </si>
  <si>
    <t>20/02/2021</t>
  </si>
  <si>
    <t>dan--101459</t>
  </si>
  <si>
    <t xml:space="preserve">Encore une belle hausse cette année, 5.70% pour mon véhicule sans accidents ( 2.2% pour l'habitation) malgré une année de déplacement particulièrement difficile causée par la pandémie.
Déjà quand temps normal roulant avec cette voiture très peu (2000 km/an), la c'est carrément diviser par 10 ( 200 km grand maximum), vous comprenez  que cela commence à devenir ubuesque sans compter et toujours à cause du covid que le nombre de sinistrés sur nos routes pour 2020 du fait des confinements successifs a baissés.
j'aurai pu espérer une baisse voir une diminution de la prime..........MAIS NON!  jusqu'à ou cela ira t'il?
</t>
  </si>
  <si>
    <t>15/12/2020</t>
  </si>
  <si>
    <t>melka-101365</t>
  </si>
  <si>
    <t>je n'aurai jamais du m'assurais chez eux accueille téléphonique nulle pas de respect 3 ans d'assurance chez eux  aucun sinistre je leur demande un j'este commerciale puisque j'ai trouvée des assurances beaucoup moins chère au même garantie voire mieux chez eux je paie 344£ et chez un autre 248£ la je les appelle pour qu'il face un j'este commerciale et la en me répand pourquoi tu reste avec nous va change et mon assurance de 344£ passe a 398£ avec un nouvelle avenant qu'ils en crée sur place je déconseille a qui conque leur assurance de toute façon de ma part je les déconseillerait a mon entourage et connaissance</t>
  </si>
  <si>
    <t>12/12/2020</t>
  </si>
  <si>
    <t>dani-moumour-101181</t>
  </si>
  <si>
    <t>apres negociation qui s'avèrè nègative vous avez perdu 558euros ceci du à votre piètre nègociateur vous avez recu ou vous recevrai prochainement la rèsiliation qui sera effectuèe par le futur assureur.bien à vous. M SAADI   MADANI .</t>
  </si>
  <si>
    <t>09/12/2020</t>
  </si>
  <si>
    <t>nicolas27500-101013</t>
  </si>
  <si>
    <t>Après 17 ans de permis, environ 6 ans d’ancienneté chez Eurofil, seulement un accrochage (Pas chez eux en plus) et aucun autre sinistre en 17 ans ... ils sont plus cher que MMA ! A 46% : 650€ pour une malheureuse clio ! Donc Bye Eurofil ! Je recommande pas !</t>
  </si>
  <si>
    <t>06/12/2020</t>
  </si>
  <si>
    <t>anonyme-100816</t>
  </si>
  <si>
    <t xml:space="preserve">Honteux. Assurance qui sait encaisser tant que tout va bien et qui au moindre petit problème résilie sans proposer de résiliation amiable et sans se soucier des difficultés que cette opération va engendrer pour l'assuré. À fuir ! </t>
  </si>
  <si>
    <t>virginie-99433</t>
  </si>
  <si>
    <t>Mauvais accueil téléphonique, et on me refuse une assurance de véhicule car celui ci n'a pas été assuré à mon nom pendant 3 mois. Pourtant j'ai déjà 2 contrats chez eux, auto et habitation, des que je peux, je resilie.</t>
  </si>
  <si>
    <t>30/10/2020</t>
  </si>
  <si>
    <t>bibe-98850</t>
  </si>
  <si>
    <t>Depuis sous contrôle Aviva moins performant conditions moins avantageuses.cela n engage que moi.desole.comptant sur votre compréhension pour ma franchise
Cdt</t>
  </si>
  <si>
    <t>16/10/2020</t>
  </si>
  <si>
    <t>dj-manga-98739</t>
  </si>
  <si>
    <t>J'ai payé 144 euros pour assurer une voiture pendant un mois, puis le contrat a été résilié. 
Je ne recommande pas! Service mediocre! A fuir absolument !!!</t>
  </si>
  <si>
    <t>14/10/2020</t>
  </si>
  <si>
    <t>merci--98365</t>
  </si>
  <si>
    <t>Bonjour. Des prix bas mais abus sur la franchise très élevée. En tant que clients avec plusieurs contrats chez EUROFIL nous allons voir chez la concurrence nous pensons trouver mieux. Cordialement.</t>
  </si>
  <si>
    <t>05/10/2020</t>
  </si>
  <si>
    <t>jerome-98169</t>
  </si>
  <si>
    <t xml:space="preserve">Ils ne sont bons qu'à encaisser votre argent. Et encore, attention à ne pas avoir de soucis car sinon ils vous réclameront, pour 2 semaines de retard, en une seule fois l'intégralité de l'année en cours.
Sous peine de rompre le contrat. 
Résiliation en fin d'année et bye bye. </t>
  </si>
  <si>
    <t>30/09/2020</t>
  </si>
  <si>
    <t>nicolas--97535</t>
  </si>
  <si>
    <t xml:space="preserve">Inadmissible, j’ai un véhicule assuré chez eux depuis bientôt 4 ans ... sur ces 4 diagnostics sur les 3 dernière années j’ai eu le malheure de changer 2 fois mon pare-brise, et d’avoir un accident non responsable (on m’a percuté à l’arrière, conducteur responsable de l’accident au téléphone). De ce fait on me comptabilise 3 sinistres ... et cela même si je suis responsable ou non (en l’occurrence je ne suis responsable de rien). 
J’ai voulu assurer un second véhicule et Eurofil me signale que j’ai trop de sinistre ... donc il ne veule pas me faire d’offre. 
A la lecture des messages, je comprends un peu mieux la politique de l’assureur. 
À destination des personnes ayant le malheur d’avoir des bris de glace ou de vous faire percuter, il faut savoir que vous êtes responsable au même titre que si vous êtes un mauvais conducteur responsable d’accident. Je n’ai jamais eu d’accident être considéré ainsi est vraiment inadmissible. 
Eurofil est une assurance à laquelle il ne faut pas avoir à faire de déclaration ... Responsable ou non dans le cas contraire vous serez considéré comme un indésirable ! 
Assureur a éviter !!! </t>
  </si>
  <si>
    <t>menthe93--97067</t>
  </si>
  <si>
    <t xml:space="preserve">Ce là fait 7 ans que J"ai 1 assurance auto chez eurofil, je peux dire que je n"ai rien à reprocher. Ils sont très aimables, très réactifs, très professionnels. </t>
  </si>
  <si>
    <t>05/09/2020</t>
  </si>
  <si>
    <t>hpapa-96230</t>
  </si>
  <si>
    <t>Certains conseillères prennent des gens comme leur chien.Pire il y a une qui m'a raccroché au nez et m'avait dit qu'elle n'assurera pas ma voiture avec un second conducteur malgré mon bonus chez eux.Ce qui a été facilement fait chez un concurrent .D'ici peut Je pense que je vais résilier tous mes contrats chez eux 
Je ne  conseille personne de faire leur assurance chez eurofil malgré que je suis un ancien adhérent chez eux</t>
  </si>
  <si>
    <t>12/08/2020</t>
  </si>
  <si>
    <t>routman13-95876</t>
  </si>
  <si>
    <t xml:space="preserve">très satisfait de la société Eurofil je suis client depuis 20 ans et je n'ai pas trouvé mieux service  rendu impeccable  conforme a mes attente il ont ru plusieurs fois un geste commercial je recommande </t>
  </si>
  <si>
    <t>mimi-95301</t>
  </si>
  <si>
    <t xml:space="preserve">Assurés depuis 1997 nous avons voulu inscrire notre fils qui vient d'avoir le permis, la réponse a été négative pas de nouveau conducteur chez eurofil ....
Après comparaison chez d'autres assurances qui assurent les mêmes les jeunes les tarifs ne sont pas si intéressants.
</t>
  </si>
  <si>
    <t>27/07/2020</t>
  </si>
  <si>
    <t>candide-94926</t>
  </si>
  <si>
    <t>Le 7/11/2019 arrêtée a un feu rouge, le camion à coté de moi accroche mon pare-choc à l'avant droit puis "grille" le feu rouge et prends la fuite bien sûr ! Je relève son numéro d'immatriculation et déclare le sinistre à mon assurance qui me demande de porter plainte pour délit de fuite. Avec toute la peine du monde j'arrive à faire "travailler" un policier pour prendre ma plainte le 7/12/2019, puis je la transmet à l'assurance qui me dit:" pas de problème on s'en occupe !".Depuis plus de nouvelles. Le matin du 11/07/2020 je reçois un AR d'Eurofil me notifiant ma résiliations de contrat ! Sachant qu'aucune réparations ni autre démarche n'est engagée à ce jour ! Pas même un constat mais par contre mon relevé d'information, lui, indique bien un sinistre !!! Alors foutage de poire dans les règles.</t>
  </si>
  <si>
    <t>file-94804</t>
  </si>
  <si>
    <t>Personne au bout du fil</t>
  </si>
  <si>
    <t>22/07/2020</t>
  </si>
  <si>
    <t>nour95-94682</t>
  </si>
  <si>
    <t xml:space="preserve">Suite au vol de notre véhicule familial à 15 jours de nos vacances, nous demandons un geste commercial pour nous louer une voiture pendant 15 jours afin de pouvoir partir un peu....(nous sommes mon mari et moi infirmiers à l'hôpital et avons « trimer » comme des ânes pendant la crise du Covid...), résultats : Aucun geste pas un semblant de compassion ou d'humanité. </t>
  </si>
  <si>
    <t>20/07/2020</t>
  </si>
  <si>
    <t>mrsummers-93386</t>
  </si>
  <si>
    <t>Plutôt Satisfait dans l'ensemble, je recommanderais.</t>
  </si>
  <si>
    <t>07/07/2020</t>
  </si>
  <si>
    <t>mb81-90196</t>
  </si>
  <si>
    <t xml:space="preserve">j'ai souscrit récemment une assurance auto chez Eurofil by Aviva. Après leur avoir fait parvenir les relevés de situation de mes anciens assureurs ils ont augmenté ma cotisation de 200 euros! Quand j'ai voulu comprendre pourquoi ils m'ont indiqué des sinistres non responsables sur un relevé. Je leur ai indiqué que cela était une erreur de l'ancien assureur. ils m'ont demandé de la faire corriger, ce que j'ai fait. A réception du relevé corrigé ils m'ont accusé d'avoir falsifié le document, résilier mon contrat en gardant toutes les avances que j'avais faites, environ 300 euros!!! Il a fallu me battre avec eux pour prouver que je n'avais pas falsifié ce document. Chose faite, ils veulent poursuivre mon contrat mais ne le mettent toujours pas à jour!!! Inacceptable !!! Je suis obligée de faire intervenir'pàprotection juridique </t>
  </si>
  <si>
    <t>14/06/2020</t>
  </si>
  <si>
    <t>antoine-89955</t>
  </si>
  <si>
    <t>Le tarif ne fait pas tout...aujourd'hui je l'apprend à mes depends.Pas de suite donné au vol de ma voiture...malgré plusieurs appels, mails, on me ballade sans m'apporter aucune réponse.
Bientôt 2 mois d' attente et Eurofil fait lettre morte.
Aujourd'hui je me pose vraiment la question quand a entamer des demarches juridiques.
Un conseil, fuyez ce type de compagnie, ou en cas de problème il n'y a plus personne.</t>
  </si>
  <si>
    <t>27/05/2020</t>
  </si>
  <si>
    <t>cedricosdelaplacos-89223</t>
  </si>
  <si>
    <t xml:space="preserve">Je suis chez Eurofil depuis 5ans pour l'assurance auto en tout risque. Ils sont très bien placé niveau tarif, mais faites très attention au condition tél que le vol a effet personnel ils ne remboursent jamais ce type d'incident!! </t>
  </si>
  <si>
    <t>charf69-89174</t>
  </si>
  <si>
    <t>bonjour, j'ai eu un sinistre non responsable en sortant du travail la barrière à abîmée la capote de ma voiture (frottée non réparable) ; le pseudo expert m'a donné 150 euros !!! alors que je suis tout risque !!!!  je peux donc rien réparer   je precise que mon employeur veut prendre en charge comme j'étais au travail mais seulement si l'assurance prend aussi en charge (donc l'assurance sera remboursée) mais non, l'assurance se cache derrière l'avis de cet expert et on me demande contre expertise !!!! je paye tous les mois tout risque, aucun accident et au max de bonus, et la seule fois on je fais appel a eux, c'est le néant sidéral.  en gros cet assurance se cache derrière des experts pour rembourser le moins possible! votre dossier traîne, faut appeler des centaines de fois, pour au final rien : je me demande si cela avait été un accident grave comment ca aurait été géré !!!   conclusion , fuyez, vous avez juste un papier vert pour rouler mais pour ce qui est du reste, c'est une honte</t>
  </si>
  <si>
    <t>27/04/2020</t>
  </si>
  <si>
    <t>carole-74773</t>
  </si>
  <si>
    <t>A fuir! Cliente depuis de nombreuses années chez Eurofil, je viens de me faire résilier mon contrat automobile suite ) la déclaration de 3 sinistres NON RESPONSABLES en 24 mois (dont 1 catastrophe naturelle et 1 bris de glace)!</t>
  </si>
  <si>
    <t>soph-88016</t>
  </si>
  <si>
    <t>A fuir surtout ne vous faites pas avoir J'ai voulu changer d'assurance pour payer moins cher au début tout était tout beau et là aujourd'hui une voiture alors que j'étais garé casse mon pare-chocs arrière ce qui a engendré des problèmes au niveau du moteur et m'a bloqué ma porte au niveau passager j ai une smart Ils sont de connivence avec l'expert qu'ils ont fait Passé  il a déclaré petit dégat au niveau du pare-chocs c'est une blague Je t'etais non responsable même pas en tort et ils ne prennent pas la défense de leur assuré On a vraiment l'impressio d'être des moins que rien incoherence dans la gestion des informations communiquées de l'assistance du grand n'importe quoi Je me retrouve maintenant à payer un contrat expert il me dise déjà qu'il faudra payer le troisième pour trancher C'est inadmissible fuyez fuyez fuyez</t>
  </si>
  <si>
    <t>05/03/2020</t>
  </si>
  <si>
    <t>momo-87968</t>
  </si>
  <si>
    <t>Les offres reçu par Internet ou par téléphone sont pas les mêmes quand on reçoit la situation du compte....</t>
  </si>
  <si>
    <t>04/03/2020</t>
  </si>
  <si>
    <t>castaber-87841</t>
  </si>
  <si>
    <t xml:space="preserve">avec 50% de bonus ai été résilié sans avoir eu aucun sinistre responsable, de plus sans avoir été prévenu de cette résiliation qui, d'après la MACIF, aurait du être signifiée par courrier recommandé. MACIF m'a assuré sans problème sur présentation du relevé d'informations </t>
  </si>
  <si>
    <t>leo-87797</t>
  </si>
  <si>
    <t>J'ai été résilié après un sinistre NON RESPONSABLE (percuté à l'arrière en étant à l'arrêt) , je n'ai même pas fait un an chez eux. Très expéditif.</t>
  </si>
  <si>
    <t>david-87465</t>
  </si>
  <si>
    <t>A fuir ! Accident non responsable voiture envoyé dans un garage non agréer par eurofil !!!l'expert ne peut pas passer car partie adverse non assuré et maintenant ils me demandent d'enlever l'épave non roulante a ma charge pour ne pas payer les frais de gardiennage ....</t>
  </si>
  <si>
    <t>21/02/2020</t>
  </si>
  <si>
    <t>thierryresse-85384</t>
  </si>
  <si>
    <t>l 'avis de prélevement du 5 janvier 2020 est passé sur mon compte le 30 décembre sans excuses ni contreparties malgré mes appels téléphoniques</t>
  </si>
  <si>
    <t>snake-85369</t>
  </si>
  <si>
    <t>Ce n'est pas compliqué, au premier sinistre, une résiliation, avec la même phrase type que d'autres : "inadéquation du risque". Quelle est l'intérêt d'être assuré si au final c'est pour être résilier au moindre sinistre ? En gros, à éviter purement et simplement.</t>
  </si>
  <si>
    <t>dan-1-69291</t>
  </si>
  <si>
    <t>ET ENCORE UNE AUGMENTATION, ENCORE UNE !
Je veux bien comprendre pour un sinistre même non responsable mais 10 ans d'ancienneté sans aucuns reproches, de plus pour un kilométrage annuel insignifiant (environ 3500km) DUR DUR A DIGERER!
Sans compter les nombreux parrainages  (soeur, frère..) et mon geste commercial de l'année dernière encore une fois envolé.
AH LA,LA ,je vous jure!</t>
  </si>
  <si>
    <t>11/12/2019</t>
  </si>
  <si>
    <t>wadja545-76740</t>
  </si>
  <si>
    <t>C'est hallucinant le mépris et comment ils parlent aux clients !!! J'ai jamais vu ça de la vie ! J'ai appellé juste pour savoir si il y a des frais de dossier c'est pas compliqué !! Et on m'oblige déjà à enregistrer toutes mes infos personnelles pour mettre à jour leurs bases de données publicitaires !!! Les frais de dossiers des fois sont exorbitants et ce n'est pas mentionné dans le devis! Comme je ne peux pas souscrire en ligne 
J'ai rapellé une seconde fois Et là SURPRISE un autre interlocuteur refuse prendre en charge ma souscription !!! Je rêve !!! En plus on vous prend de haut . A EVITER ABSOLUMENT</t>
  </si>
  <si>
    <t>04/12/2019</t>
  </si>
  <si>
    <t>ben-81442</t>
  </si>
  <si>
    <t xml:space="preserve">Vous m'avez encaissé 123e d'un coup (soit 4 mois). Au bout d'un mois vous m'avez dit qu'il manquait un relevé d'information d'un ancien assureur et que de ce fait vous ne pouviez pas m'assurer. Je vous ai demandé le remboursement des 3 mois que j'avais payé d'avance mais on m'a répondu que non il fallait bien lire le contrat parce que vous ne remboursiez pas. 
J'ai donc payé 123e pour 1 mois d'assurance !! ( pour une clio 2 ). 
 </t>
  </si>
  <si>
    <t>winch56-81091</t>
  </si>
  <si>
    <t>Voilà une compagnie qui propose un devis, puis au moment de souscrire fait une offre supérieure pour le même véhicule, puis revient au prix du devis, puis fait un contrat provisoire en se trompant dans le type du véhicule. Je rappelle dans la minute qui suit pour leur indiquer l'erreur ce qui provoque une nouvelle hausse du tarif. Je refuse donc le contrat verbalement et envoi dans le même temps un courrier recommandé qu'ils reçoivent le lendemain, soit 24 heure avant la date éventuelle du début de contrat. Bien entendu ils n'en tiennent pas compte et m'adressent un nouveau contrat provisoire avec des dates erronées, le type de véhicule incorect et prélèvent direct une échéance. Eurofil Aviva a même l'intention d'en prélever une seconde le mois suivant. Comment peut-on qualifier de telles procédures. Inutile de dire que je ne me laisserai pas faire.</t>
  </si>
  <si>
    <t>jo54-80327</t>
  </si>
  <si>
    <t xml:space="preserve">Prix très correct, service client parfait pas besoin d'attendre 1h pour joindre une personne même quand je suis tombé en panne après 20h après on verra par la suite. </t>
  </si>
  <si>
    <t>23/10/2019</t>
  </si>
  <si>
    <t>samuel2300-79739</t>
  </si>
  <si>
    <t>J'ai souscrit une assurance auto le 10 septembre, le 22 septembre, j'ai fourni les relevés d'information, le 4 octobre j'ai recu une recommandé pour me prévenir que mon assurance sera résilié le 10 octobre car ils n'ont pas recu le justificatif de la carte grise. je l'ai envoyé le 1 er octobre et elle est toujours en cours de traitement! j'ai payé 3 mois d'assurance! je vais leur envoyé une mise en demeure pour me rembourser les 2 mois: a fuir!!!</t>
  </si>
  <si>
    <t>04/10/2019</t>
  </si>
  <si>
    <t>bdur-79451</t>
  </si>
  <si>
    <t>Attention, limite honnêteté. Assuré depuis 5 ans, sans accident, au moment de résilier mon contrat, loi Hamont, ils ne recoivent soit disant pas les documents de résiliation de ma nouvelle assurance. J'ai du les renvoyer moi même. Ils ont donc gagné un mois de paiement. J'espère être remboursé du trop perçu.</t>
  </si>
  <si>
    <t>rob-79333</t>
  </si>
  <si>
    <t>Fuyez 0 etoile c'est ce qu'il mérite. Ne comptez pas sur l'assistance elle est inexistante. On se moquera de vous.</t>
  </si>
  <si>
    <t>ls-79013</t>
  </si>
  <si>
    <t>Catastrophique.
Résiliation suite à deux sinistres non responsables après 950 euros de franchise par sinistre. Nous venons de nous apercevoir suite à une modification de contrat ce jour que nous roulons sans assurance depuis 3 mois ! Eurofil nous a écrit à une mauvaise adresse et ne s'est pas étonné du retour du recommandé avec la mention d'erreur. Une bande de gros nuls.</t>
  </si>
  <si>
    <t>06/09/2019</t>
  </si>
  <si>
    <t>jocelynebclanet-78936</t>
  </si>
  <si>
    <t xml:space="preserve">dommage d'avoir fait une inscription en fonction du prix avec 50  de bonus sans regarder les commentaires affolants et je constate que tout est vrai : communication au tél néant , ou en pause , alors que le site mentionne de 8h45 à 20 h tous les jours , ou alors écrire sur facebook , un monde ! il faut rester accroché à facebook 1 H pour attendre la réponse.....qui ne vient pas quand même . Le tout est purement INCROYABLE </t>
  </si>
  <si>
    <t>04/09/2019</t>
  </si>
  <si>
    <t>remlam-78649</t>
  </si>
  <si>
    <t>A fuir absolument , plateforme téléphonique totalement incompétente .Après 30 minutes d' attente , le personnel incapable de donner les bonnes informations et surtout ne fait aucun effort.</t>
  </si>
  <si>
    <t>24/08/2019</t>
  </si>
  <si>
    <t>so-77483</t>
  </si>
  <si>
    <t>Personnel qui répond de façon exécrable ! On est bon qu'à payer et ils vous le font bien comprendre                                            !</t>
  </si>
  <si>
    <t>09/07/2019</t>
  </si>
  <si>
    <t>paul95-77029</t>
  </si>
  <si>
    <t>Réactif, prix attractif, écoute du client, un des moins cher du marché de l assurance auto et habitation</t>
  </si>
  <si>
    <t>22/06/2019</t>
  </si>
  <si>
    <t>rp-76915</t>
  </si>
  <si>
    <t xml:space="preserve">Très mécontent à FUIR . Client depuis + 7 ans, pas d'impayé, pas de sinistre sauf 1 il y a 4 jours, reçu ce jour LRAR pour éjection (aucun motif) à l'échéance le 31/8! En plus nous recommande un assureur partenaire ! Par téléphone à la déclaration du sinistre, nous avait certifié pas d'incidence sur bonus 50% très ancien...Ce jour contacté service clients qui ne peut indiquer le motif de la résiliation: c'est une décision de la Direction, le fait du Prince donc....
</t>
  </si>
  <si>
    <t>19/06/2019</t>
  </si>
  <si>
    <t>karthiga-76905</t>
  </si>
  <si>
    <t xml:space="preserve">A fuir. 
J'ai souscrit auprès d'eux pour une voiture toute neuve le 28 mai 2019. Voilà que 20 jours on me résilie le contrat car une fois qu'ils ont obtenue ma carte grise provisoire ils voient en co titulaire mon mari qui n'as pas le permis alors que je l'ai signaler lorsque j'ai fait le devis chez eux. 
Tout ça apparemment c'est écrit dans leurs conditions mais le respect ? La façon de parler à leur client ? 
La personne que j'ai eue au téléphone m'as tout simplement répondu que je pouvais le prendre comme je le voulais quand je leur ai dit que en gros je viens de m'asseoir sur 260e ? Parce que bien évidemment ils vous prennent la somme des 4 mois en avance et ils vous ne le rendent pas quand ils vous résilie. Je suis tout simplement choquée par la façon dont on vous traite 
Je ne donne jamais mon avis ou que se soit mais je prend la peine de le faire ici pour qu'une autre personne se fasse pas avoir comme moi. 
J'ai derrière mois 7 ans de permis jamais eue de soucis toujours eue les meilleurs offres des assurances mais voilà que à cause d'eux je me retrouve avec peu d'assurance qui veulent de moi et à des prix très élevés car je me suis fait résilier par une assurance. </t>
  </si>
  <si>
    <t>essafina16-76642</t>
  </si>
  <si>
    <t xml:space="preserve">Malgré les tarifs très attractifs, cette assurance ne présente rien de comparable à une assurance 
 discount  et je ne suis en rien d'accord avec certains commentaires lus sur internet.
Les équipes sont très professionnelles et les conseils sont très avisés.
Je recommande vivement cette assurance et sans aucune hésitation
</t>
  </si>
  <si>
    <t>gg73-76625</t>
  </si>
  <si>
    <t>Bonjour:
Vendredi dernier J' ai reçu par courrier ma prime d' assurance auto.
je constate une augmentation de 17%, alors que je n' ai aucun sinistre et que mon coefficient réduction à baisser.
De qui se moque t'on ?.
Je ne comprends pas la position d' EUROFIL.
Il me reste 2 solutions: quitter EUROFIL ou rouler sans assurance et plus j'y pense................
Je vous laisse seul juge pour aller chez EUROFIL</t>
  </si>
  <si>
    <t>exoplanete-76563</t>
  </si>
  <si>
    <t xml:space="preserve">Assurée depuis 25 ans chez Eurofil je dois aujourd'hui changer d'assurance car il ne veulent pas assurer mon nouveau véhicule. Malgré l'envoi de l'acte de cession de mon ancien véhicule il m'ont prélevé ma nouvelle prime et refuse de me rembourser immédiatement les 600 euros me demande d'attendre un mois !!! </t>
  </si>
  <si>
    <t>07/06/2019</t>
  </si>
  <si>
    <t>eliesaffer-76217</t>
  </si>
  <si>
    <t xml:space="preserve">Ne pas se fier aux tarifs, qui augmentent dès la seconde année. 
Et attention à  la garanti bris de glace, car si vous avez un sinistre vous êtes résilié dans l'année !!! 
On vous ouvre des sinistre en trop, il vous faut compter une heure (littéralement) pour obtenir le classement sans suite. 
</t>
  </si>
  <si>
    <t>24/05/2019</t>
  </si>
  <si>
    <t>samz-75328</t>
  </si>
  <si>
    <t>Bonjour,
Assuré depuis plus de 15 ans chez Eurofil (2 maisons, 1 voiture, protection familiale), je suis sidéré par leur façon de faire
Mon fils ayant eu son permis, nous voulons le mettre en conducteur secondaire le temps qu'il achète sa propre voiture. Lorsque mon épouse appelle, une dame très désagréable lui rétorque qu'elle résilie le contrat helico-presto. Mon épouse n'a même pas eu le temps de lui expliquer quoique ce soit ni même essayé de trouver une autre solution (ne pas ajouter mon fils sur le contrat par exemple). Dans la foulée nous recevons une notification de résiliation.
Je veux donc chercher une autre assurance et demande à Eurofil de ne pas laisser la mention "résilié par l'assureur" pour éviter les conséquences négatives lors de ma recherche. Là aussi, refus de leur part jusqu'à ce que je trouve une autre assurance (très pratique je trouve.....).
bref, je suis ecoeuré et vais enlever tous mes biens assurés chez eux car ils ne méritent que ça
FUYEZ EUROFIL et ne vous fiez surtout pas à leurs tarifs "attractifs"... la Qualité a un prix!</t>
  </si>
  <si>
    <t>372hvn-75237</t>
  </si>
  <si>
    <t>Bonjour,
J'ai 2 voitures assurées chez Eurofil. Ma femme vient d'avoir son permis. Je souhaite l'assurer en tant que conducteur secondaire sur l'une d'entre elles. Eurofil ne veut l'assurer qu'en conducteur principal et donc du coup le tarif triple. Le seul motif de refus est parce que j'ai 2 voitures. Est ce normal? C'est pas mentionné dans le contrat non?</t>
  </si>
  <si>
    <t>glad-74981</t>
  </si>
  <si>
    <t>A fuir, ils m ont résilié car je souhaitais ajouter mon conjoint en conducteur occasionnel et ils me l ont refusé car il avait des sinistres. Et ils ont refusé de m assurer seul comme conducteur principal de mon auto car ils nous considèrent comme un foyer. Aberrant, illogique et injuste car je n ai eu aucun sinistre durant 5 ans. J aurai du rester chez direct assurance.</t>
  </si>
  <si>
    <t>11/04/2019</t>
  </si>
  <si>
    <t>pires-71480</t>
  </si>
  <si>
    <t>Eurofil-Aviva Assurance Low-Coast !!!
Tout est au rabais !!!
Afin de maximiser leurs profits, ils tentent par exemple de vous obliger à réparer votre véhicule dans un garage avec lequel ils ont des arrangements... Malgres l'obligation LÉGALE ( loi Hamon du 17 Mars 2014) " libre choix du réparateur " .
Non seulement ils ne vous informe pas de votre liberté de réparer votre véhicule ( arrêté du 29 décembre 2014 ), mais tentent par de l'intimidation ( si la réparation est mal faites vous le serez pas couvert, vous allez devoir payer de votre poche etc etc. Multiples appels pour vous dissuader d'aller ailleurs, font semblant que votre désir n'a pas été formulé etc etc..) .
Je déconseille Fortement ce commerçant.</t>
  </si>
  <si>
    <t>20/02/2019</t>
  </si>
  <si>
    <t>bibaofir-71046</t>
  </si>
  <si>
    <t>Client Eurofil depuis 8 années avec deux voitures différentes successives.
Alors que ma dernière voiture à été vandalisée deux fois en 6 mois, deux ans après Eurofil décide de me résilier pour "inadéquation du risque au regard de la politique d'acceptation".
Bonjour le choc !!!!
Bien entendu ensuite on est marqué au fer rouge et il est impossible de s'assurer correctement à moins de payer une prime exorbitante.
Il est absolument inadmissible de subir ceci et surtout ensuite d'être fiché comme un vulgaire contrevenant alors que j'ai 50% de bonus et en plus un autre bonus supplémentaire lié à ma fidélité.
Une résiliation par l'assuré à la demande de l'assureur serait beaucoup mieux pour éviter de se retrouver dans une situation inextricable.</t>
  </si>
  <si>
    <t>14/02/2019</t>
  </si>
  <si>
    <t>eyehawk06-71025</t>
  </si>
  <si>
    <t>J'ai ete victime du vol de ma voiture assurer tous risques ++++ EUROFIL refuse de me rembourser mon vehicule,donc j'ai pris un avocat me defendre alors que j'ai jamais eu a faire avec la justice,je deconseil EUROFIL</t>
  </si>
  <si>
    <t>07/02/2019</t>
  </si>
  <si>
    <t>nadou-70240</t>
  </si>
  <si>
    <t>J'ai assuré ma voiture depuis 15 jours et je viens de recevoir un nouvel échéancier qui double ma cotisation mensuelle! Aucune demande de consentement, cette modification a été faite sans même me consulter.</t>
  </si>
  <si>
    <t>16/01/2019</t>
  </si>
  <si>
    <t>martinsabli-68504</t>
  </si>
  <si>
    <t>Bonjour, assurance résiliée pour défaut de documents par courrier AR. L'ensemble des documents étaient pourtant sur le site largement avant la fin du premier mois d'assurance. Le service client m'a indiqué que le motif de la résiliation était lié au fait que mon profil ne correspondait pas aux conditions générales. L'argument avancé n'avait rien à voir avec un défaut de document. Je n'ai pas trouvé l'argument avancé dans les conditions générales non plus. 
J'ai donc deux problèmes: remboursement ou geste commercial, aucun et beaucoup plus important au vu de la lettre AR aucun assureur ne veut me reprendre aux conditions normales car je serai selon eux fiché AGIRA pour 3 ans. Au téléphone le service client m'assure que je ne suis pas fiché AGIRA. Je demande un courrier indiquant qu'il ne s'agissait pas d'une résiliation compagnie et que je ne suis pas fiché AGIRA pour pouvoir l'envoyer à mon nouvel assureur et diminuer la prime; réponse du service client aucun courrier ne me sera envoyé. C'est inadmissible et inacceptable. 
A titre personnel, j'ai plusieurs véhicules, 50% de bonus depuis 19 ans et une seule déclaration pour accident non responsable en 2017</t>
  </si>
  <si>
    <t>10/11/2018</t>
  </si>
  <si>
    <t>nala-68467</t>
  </si>
  <si>
    <t>J aurais gagné du temps et de l argent, et de la serennité a ne pas être assuré...</t>
  </si>
  <si>
    <t>xpoul-67934</t>
  </si>
  <si>
    <t>la societe vient de resilier mon contrat sous 10 jours car mon fils ( qui ne boit pas et ne sort pas il adore le sport)vient d avoir son permis est un risque aggravant pour leur benefices en conduisant ma clio!!! alerte a tout les parents  d ado serieux vous etes jeté du jour au lendemain bonus 50% jamais d accident 30 ans de permis!!!!!
appelez vous verrez!!!!!!</t>
  </si>
  <si>
    <t>07/11/2018</t>
  </si>
  <si>
    <t>alherv-68117</t>
  </si>
  <si>
    <t xml:space="preserve">contrat souscrit le 01/01/2002 pour deux autos et pour une habitation
premier sinistre le 04/04/2018 soit 16 ans et 4 mois sans  sinistre
le sinistre en question intervient sur un parking  de ma ville surchargé
espace réduit entre deux voitures    j'effleure l'arrière gauche de la voiture située à ma droite    le conducteur de cette voiture présent à bord de celle ci ouvre la porte ce qui entraine le contact entre les 2 voitures          Je reçois une lettre de résiliation standard photocopie d'après les avis lus par ailleurs aucune explication particulière
</t>
  </si>
  <si>
    <t>03/11/2018</t>
  </si>
  <si>
    <t>materic-67676</t>
  </si>
  <si>
    <t>Après plus de 10 ans chez Eurofil avec 4 contrats , j,ai été mis dehors lors de mon changements d'adresse.
Sans explication à part que j'avais eu en 18 mois 3 bris de glaces non responsables.
Eurofil comme beaucoup d'assurances est la pour faire du chiffre sur votre dos.
a fuir</t>
  </si>
  <si>
    <t>scawl-67529</t>
  </si>
  <si>
    <t>Attention si vous achetez une voiture en leasing et que vous vous assure chez Eurofil. Ma voiture de moins de 2 ans 17000kms estimée à...7680e alors que l'argus est à 11000 hors option.Selon l'expert, ce qui est du n importe quoi, les couts de la réparation sont plus chers que le prix de la voiture(c'est de la folie). Chez Eurofil, on a le droit de payer et après un sinistre, la société de leasing et l'assurance s arrangent ensemble.Méfiez vous!!!. Le leasing, plus jamais! Eurofil, plus jamais non plus, encore moins d'ailleurs</t>
  </si>
  <si>
    <t>yalnizlik-67148</t>
  </si>
  <si>
    <t xml:space="preserve">Sans que je fasse aucun accident ils augmente les prix.
De ce fait je ne suis pas du tout content d'eurofil, j'ai même l'intention de résilier tout mes contrats chez eux. </t>
  </si>
  <si>
    <t>27/09/2018</t>
  </si>
  <si>
    <t>pauline-66912</t>
  </si>
  <si>
    <t xml:space="preserve">cette assurance ne vous defend pas des qu il y a litige et applique le malus meme si vous avez raison . augmentation exponentiel de ass d ann ee en annee.vite a changer ...zero............je ne conseil pas cEtte assURANCE . idem GMF ET DIRECT ASS NUL...................
</t>
  </si>
  <si>
    <t>17/09/2018</t>
  </si>
  <si>
    <t>pat74-66906</t>
  </si>
  <si>
    <t xml:space="preserve">a fuire en panne a 280 km il on oublier d'appeler le taxi et le depanneur était trop loin il paie pas la difference  </t>
  </si>
  <si>
    <t>claunic-66593</t>
  </si>
  <si>
    <t xml:space="preserve">suiteune a un degat important sur ma caravane ,j'ai donc prevenu par telephone mon assureur eurofil.Reponse
pas deprobleme nous ouvrons un dossier.Ce fut la seule demarche que j'ai du effectué.Ensuite une proposition pour le passage de l'expert,reparations (6200euros)et recuperation de ma caravane apres un cheque de 150 euros de franchise.Je suis extremement satsfait de la prise en chargede mon sinistre et je recommande vivement de souscrire vos assurances chez eurofil.PAS DE Blablas seulement le respect du contrat et une simplicité dans la demarche lors d'un probleme.
declaration faite en septembre 2017.Autre vehicule assuré laguna 8chv formule tout risques sans franchise accident
</t>
  </si>
  <si>
    <t>herve32-66398</t>
  </si>
  <si>
    <t>a fuire de toute urgence! je n'est que des litige avec eux! refus de prendre en compte le courrier, refus de prendre en compte la demande de résiliation, triple la prime d'assurance sur le moi d'après, réclamé une prime d'assurance avec 2 mois avance sinon il résilie, aucune réponse pas au mail, numéro surtaxé, bref y allez pas a fuir!!!</t>
  </si>
  <si>
    <t>25/08/2018</t>
  </si>
  <si>
    <t>alex-66216</t>
  </si>
  <si>
    <t xml:space="preserve">Je confirme l'avis précédent du conducteur dans la même situation que la mienne
Ne surtout pas prêter votre véhicule à un jeune conducteur sous peine de subir une clause abusive, une franchise-pénalité de 3000 euros
Clause dont personne ne vous parle lors de la signature du contrat
Ma fille à eu un accrochage sur un parking avec constat à l'amiable et l'on ma demandé de payer l'intégralité des frais (1600 euros). En plus de cela Eurofil a résilié mon contrat
La réparation a eu lieu en juin de cette année et j'ai règlé directement le garagiste
Sur ce je viens de recevoir un courrier de Eurofil rappelant que je leur doit 3000 euros.
Au téléphone, le conseillé est incapable de m'expliquer pourquoi si ce n'est de me relire les clauses du contrat
" franchise de 3000 euros en cas de prêt ...)
Elle veut me passer le responsable qui n'est pas disponible
Les pratiques de cette assurance sont très discutables
J'en suis actuellement là et attends de leurs nouvelles.
Plusieurs de mes connaissances fuient cette assurance
 </t>
  </si>
  <si>
    <t>16/08/2018</t>
  </si>
  <si>
    <t>cindy2409-65968</t>
  </si>
  <si>
    <t>Assurance qui se défosse au moment de prendre en charge un sinistre. Elle se fie aux conclusions d'un expert incompétent. Service client et commercial désastreux. A fuir!</t>
  </si>
  <si>
    <t>03/08/2018</t>
  </si>
  <si>
    <t>melbaaaaaaz-65309</t>
  </si>
  <si>
    <t xml:space="preserve">Fuyez!!! Aucune empathie poir les clients. suite perte d'emploi j'ai changé de banque et le prélèvement de mon assurance auto n est pas passé. 
jai desuite été contacté et informé de ma situation le service n'a rien voulu savoir. Ils veulent que  je paie la totalité de l'année soit 600e. J'ai perdu mon emploi 1 loyer un enfant je ne refuse pas de payer les 200e lais 600 d'un coup au vu de ma  situation. 
j'aurai jalais du souscrire </t>
  </si>
  <si>
    <t>06/07/2018</t>
  </si>
  <si>
    <t>sylvie-65137</t>
  </si>
  <si>
    <t>Une honte !!! 3 sinistres EN STATIONNEMENT DONC NON RESPONSABLE en deux ans et on vous jette comme un malpropre, même si vous cotisez à l'option TOUS RISQUES ! Lettre en AR de résiliation sans motif : "un récent examen de votre dossier [...] ne permet pas sa reconduction".
Une assurance qui n'en est pas une : il NE FAUT RIEN DÉCLARER même si vous n'êtes pas en tord et payer les réparations par vous même. Ou bien vous vous exposez à voir le PRIX de votre prime d'assurance TRIPLER chez un de leur "partenaire" et chez les autres assureurs !!</t>
  </si>
  <si>
    <t>28/06/2018</t>
  </si>
  <si>
    <t>mathieu4585-64993</t>
  </si>
  <si>
    <t>Assure 1 an et puis un accident et la : augmentation du risque donc résiliation. Une assurance pas chère si vous n'en avez pas brsoin. Vous resilient à la moindre dépense</t>
  </si>
  <si>
    <t>22/06/2018</t>
  </si>
  <si>
    <t>aucun-64442</t>
  </si>
  <si>
    <t>Jaten la fin de mon sinistre et je resilie tt mes contrat accident depuis le 16/05 et toujour pas repare mon vehicule surtou je suis pas fautif. A fuire vous le conseil pas reglo .me demande de paye la franchise si je veux reparer mon vehicule .......</t>
  </si>
  <si>
    <t>fadou-63999</t>
  </si>
  <si>
    <t xml:space="preserve">Je me suis fait avoir ! J'avais souscrit à deux contrats auto pour deux conducteurs. Au début on a pris en compte le bonus le plus élevé. Il a suffit que je résilie le deuxième contrat, ils ont recalculé la tarification pour le conducteur qui a le moins de bonus. Quand je voulais inverser les conducteurs, la conseillère avec qui j'ai souscrit au contrat s'est complètement déchargée, elle m'a orienté au service client qui m'a renvoyé à elle ! Tout le monde s'est retiré de l'affaire. On m'a demandé de déposer une réclamation. Des conseillers impulsifs et pas du tout professionnels !! </t>
  </si>
  <si>
    <t>14/05/2018</t>
  </si>
  <si>
    <t>laurentlaurent-63903</t>
  </si>
  <si>
    <t>J'ai eu un accident avec blessés. L'assistance, le raptriement, la résolution des problèmes, l'écoute au service client, l'expert etc ... TOUT a été un enfer, je n'y retournerais plus jamais !!!</t>
  </si>
  <si>
    <t>11/05/2018</t>
  </si>
  <si>
    <t>gwen-63543</t>
  </si>
  <si>
    <t>une assurance que je conseille a personne. sur un mot de travers au telephone la conversation est enregistre et ils resilient votre contrat en un tour de main,jamais eu d'accident a tors ! bonus au plus haut! pour un sinistre non responsable la croix et la banniere pour le garagiste qui repare!l'auto c sur tarif conccurentiel mais c tout! au telephone ils se prennent pour des cadors parce qu'ils enregistrent ,c une honte,dans ces cas la ils ont tout bon!!!!!!alors reflechissez a deux fois avant de prendre cette assurance!!!!!</t>
  </si>
  <si>
    <t>25/04/2018</t>
  </si>
  <si>
    <t>laureine34-63527</t>
  </si>
  <si>
    <t>Ils jouent sur les mots pour pouvoir mieux voler les gens c'est lamentable... Ils ne vous donnent pas les bonnes informations pour pouvoir résilier votre contrat et garder l'accompte. Au téléphone le service est pitoyable et les différents services se contredisent entre eux en attendant le temps "imparti" passe et plus d'assurance par contre "l'accompte est perdu" oui mais pas pour tout le monde ...</t>
  </si>
  <si>
    <t>24/04/2018</t>
  </si>
  <si>
    <t>deljero-63476</t>
  </si>
  <si>
    <t>Résilié par l'assurance après deux accidents non responsables, c'est honteux</t>
  </si>
  <si>
    <t>22/04/2018</t>
  </si>
  <si>
    <t>mtpal-63182</t>
  </si>
  <si>
    <t xml:space="preserve">Je ne voudrais pas porter un jugement ni subjectif ni haineux, un cas réel, cette assurance, en l’occurrence me couvre en quoi ?
Cas d’étude :
Ne pas avoir un accident sur un parking d’une « grande surface » (si les gens de voyages vous dégradent votre voiture). Remboursement à vos vrais.
Ne surtout pas sortir de votre département (pourtant il n’assurent « remorquage qu’à partir de 27 ou 50 km selon département).
Malheureux, si vous avez un accident en dehors de la France ; catastrophe, votre véhicule, ni rapatrié, ni réparé, ni prit en charge …. Allo …. Allo…. Silence…
Pourtant, à la date du prélèvement, « EUROFIL EST LA »… bizarre  pour encaisser très prompt et réactif présent ?
</t>
  </si>
  <si>
    <t>12/04/2018</t>
  </si>
  <si>
    <t>kate-63152</t>
  </si>
  <si>
    <t>Personnel agressif au téléphone les différents services se contredisent entre eux. Ils résilient des contrats d'assurance en falsifiant les dates d'envoi! Le facteur à mis trois semaines pour me présenter un recommandé! Résiliation faite après plus de 15 années d'assurance sans aucun sinistre déclaré!</t>
  </si>
  <si>
    <t>11/04/2018</t>
  </si>
  <si>
    <t>lo75-62781</t>
  </si>
  <si>
    <t xml:space="preserve">Je suis cliente pour mon assurance voiture et maison depuis plusieurs années avec un bonus 0.5 pour ma voiture et je viens de recevoir une lettre recommandée de résiliation pour "augmentation du risque". J'ai eu 3 sinistres depuis le début de mon contrat dont 2 non responsable et je me retrouve à devoir trouver une assurance pour assurés résiliés (et donc beaucoup plus chère) alors que les 2 derniers sinistres ne sont pas de mon fait (par ex le dernier est un bris de glace suite à une pierre reçue sur la route). Cette assurance n'a pas hésité à me résilier mais elle n'est pas vu de problème à augmenter mes cotisations assurance chaque année : ma prime a pris 80% en 5 ans ... </t>
  </si>
  <si>
    <t>kitou-62409</t>
  </si>
  <si>
    <t>Je suis assurée chez eurofil depuis plus de 8 ans pour deux vehicules. Ma fille est en conduite supervisée et lorsque j'ai voulu connaitre les couts de son assurance après son permis on m'a annoncé qu'ils n'assuraient pas les jeunes conducteurs. Conséquence je cherche une nouvelle compagnie pour mes voitures</t>
  </si>
  <si>
    <t>16/03/2018</t>
  </si>
  <si>
    <t>frangui-61821</t>
  </si>
  <si>
    <t>Cette assurance a résilié mon contrat car je ne pouvais pas fournir la carte grise que je n'ai pas encore reçu à cause d'une demande tardive de mon vendeur à l'ANTS. Compagnie à éviter absolument.</t>
  </si>
  <si>
    <t>27/02/2018</t>
  </si>
  <si>
    <t>alpego-60764</t>
  </si>
  <si>
    <t xml:space="preserve">Mon épouse et moi sommes assurés depuis 2 ans chez Eurofil pour nos 2 voitures, avec un coefficient de réduction de 0.50 depuis plus de 3 ans. A notre grande surprise Eurofil vient de résilier nos 2 contrats sans, malgré notre demande, nous donner la raison de cette résiliation. Je précise que nous avons déclaré en 2017 un sinistre matériel mineur (accrochage rétroviseur) avec responsabilité partielle, sur un de nos 2 contrats et aucun sinistre sur le 2ème contrat. </t>
  </si>
  <si>
    <t>24/01/2018</t>
  </si>
  <si>
    <t>laurine-brg-60518</t>
  </si>
  <si>
    <t xml:space="preserve">UNE HONTE !!
Je m’assure chez eux, ils me demandent les papiers un par un une fois que je leurs envoie (cela a pris du temps puisque chaque fois ils me demandent quelques chose de nouveau, non pas me demander tous d’un coup), ils me résilient mon assurance pour faute de temps alors que c’est eux qui n’ont pas traité les papiers attend.
Et pour couronner le tout ils ne peuvent plus m’assurer puisque, je cite, « une fois résilier c’est résilier »
JE DÉCONSEILLE COMPLÈTEMENT CETTE ASSURANCE ! Je n’ai jamais vu ça  </t>
  </si>
  <si>
    <t>15/01/2018</t>
  </si>
  <si>
    <t>duvige-60471</t>
  </si>
  <si>
    <t>Je pensait que vous etiez une assurance responsable et  humaine mais je commence a me rendre compte qu en faite je me trompe, apres des années passé chez vous sans aucun soucy,aucun retard de paiement, je viens de recevoir mon nouvelle échéancié et je prend plus de 200e pour 1 tout petit sinistre malheresement presque indépendant de ma volonté, certe je suis reconnu reponsable mais la situation fait que la premiere voiture a fauté et c est moi qui a pris, et pourtant ce n etais que des petits dégats materiel !! , il y a quelque mois j ai appelé un de vos conseiller qui m a assurer que la cotisation ne serai pas tres haute et qu il fallait que je prenne une assurance habitation chez vous pour refaire descendre le prix et que cela pencherai dans la balance lors de l avis de nouvel échéance !!!! quenini  il n en ai rien j appel une dame me disant que cela n ai pas possible du tout !!! bizard le discours a  bien changer en quelque mois
je suis totalement décu de vos promesses non tenue et pourtant j appréciait d etre chez vous et je vais aller surement voir la concurance sachant que j ai déja recu des offres a option egal ou proche pour presque 300e moin cher 
Ah oui j oubliai on me reproche aussi un bris de glace completement independant de ma volonté ( j ai acheté le vehicule comme ca) j ai pourtant l option bris de glace avec la franchise a 0 et on me dit que je doit payer en plus car j ai fait appel a vos service pour ca !!! et pourtant je paie pour ca tout les mois pourquoi m augmenté a cause de cela aussi ??? donc je paie double je commence a me sentir comme un  pigeon !!</t>
  </si>
  <si>
    <t>14/01/2018</t>
  </si>
  <si>
    <t>guyonnet-60150</t>
  </si>
  <si>
    <t>Demande de devis pour un vehicule que je compte me servir en secour de mon vehicule principale qui est assuré allieur donc il me fait le devis et mz dit que durant les 3 premier moi j aurai une une pénalité de 3000 euro en plus de ma franchise en cas de sinistre lol car c est un vehicule qu on ma deposer en depaneuse en panne que je vais repare et qui n est actuelement pas assure ha aussi chez eux si vous pretez votre vehicule assure vous que la personne a plus de 5 an de permis sinon vous l avez dans le .. Et oui c est pas 3 an le permis probatoire chez eux lol fin breff je n est qun conseil changer vite d assurance!!
Desolé pour l'hortographe..</t>
  </si>
  <si>
    <t>allois5522-60100</t>
  </si>
  <si>
    <t>Je viens d avoir un accident sevice assistance au top et rapide des personnes a votre ecoute vraiment tres contant d eurofil  je conseil cette assurance a rien a envier avec une assurance classique en plus j ai une assurance tous risque maxi donc pret de voiture pouf 21j</t>
  </si>
  <si>
    <t>02/01/2018</t>
  </si>
  <si>
    <t>mohautomatisme-59624</t>
  </si>
  <si>
    <t xml:space="preserve">Très satisfait 
Conseillers à l'écoute, compétents
Bien informé et assisté le long de la procédure indemnisation suite au sinistre que j'ai déclaré le mois de novembre 2017 (accident de voiture) 
Indemnisé rapidement conformément aux clauses de contrat malgré que la somme remboursée est élevés (véhicule accidenté presque neuf).
  </t>
  </si>
  <si>
    <t>kergi-57818</t>
  </si>
  <si>
    <t xml:space="preserve"> Presque tous les conseillers son agressifs au moment des renseignements, alors imaginez quand vous avez un problème !!!
Comment dans mon cas j'ai eu un petit accident et malgré une assurance tout risques maxi ils m ont fait payer une partie des travaux de réparation. J'ai vu 2 avocats tous deux inanimes cest inadmissible. Je suis en cours de procédure avec eux. Affaire à suivre.
</t>
  </si>
  <si>
    <t>toto-58820</t>
  </si>
  <si>
    <t>bonjour a tous apres avoir longuement hesité et avoir lu tout vos commentaires j'en conclu que eurofil est une tres bonne assurance si nous avons zero sinistre jusqu a la fin de nos jour!!!!!je pense donc rester a mon assurance initial qui me coute certe 35 euros de plus par mois que cette assurance en ligne mais au moins j ai un bureau dans ma ville pour les voirs et surtout en cas de souci il me trouveront une solution car avec 2 voitures et 2 maisons assurés chez eux je ne pense pas etre viré au premier pepin</t>
  </si>
  <si>
    <t>oceane0501-58794</t>
  </si>
  <si>
    <t xml:space="preserve">Nous avions moi et mon conjoint contacter cette assurances pour notre voiture. Il nous ont assuré temporairement jusqu’a recevoir les papiers demandés. 
Dernier jours où nous sommes assuré ils nous appellent pour nous dire qu’ils ne peuvent pas nous assuré. 
Je suis très en colère contre cette assurance. Je déconseille. </t>
  </si>
  <si>
    <t>13/11/2017</t>
  </si>
  <si>
    <t>giralau-58697</t>
  </si>
  <si>
    <t xml:space="preserve">Bonjour,
je viens de recevoir ma nouvelle cotisation auto  : elle a augmenté de 8% et aucune explication dans le courrier !
J’appelle donc le service client : là non plus l’assistante ne peut pas me donner de raison. Je lui rappelle que l’augmentation moyenne des compagnies est de  2 à 3 %. “Je ne peut rien faire pour vous monsieur” me dit elle (dur métier) . Je lui demande de faire remonter mon incompréhension, ma colère et mon souhait de résilier.
</t>
  </si>
  <si>
    <t>10/11/2017</t>
  </si>
  <si>
    <t>michou33-58663</t>
  </si>
  <si>
    <t xml:space="preserve">Cela fait 17 ans que je suis cliente pour mon assurance voiture et habitation. Je déménage et là on m’annonce que l’on ne reconduira pas mon contrat et que j’ai deux mois avant que n’intervienne la résiliation. Un bris de glace en 17 ans et jeter comme une malpropre. Le comble est que je n’arrive pas à obtenir un courrier disant que je suis résiliée à l’amiable. Courrier que me reclame un futur assureur suspicieux de me voir arriver comme client. 
De plus j’ai été  agressee au telephone alors que je cherche simplement à obtenir cette attestation. 
Finalement je me demande Si je ne suis pas victime de discrimination liée à mon âge. 
Je ne manquerai pas de vous adresser un courrier recommandé afin d’obtenir ce courrier. </t>
  </si>
  <si>
    <t>07/11/2017</t>
  </si>
  <si>
    <t>ricky-58509</t>
  </si>
  <si>
    <t>Eurofil, un assureur qui lâche ses clients</t>
  </si>
  <si>
    <t>31/10/2017</t>
  </si>
  <si>
    <t>gaetan69120-58369</t>
  </si>
  <si>
    <t>Depuis deux j’etais a 0,64 de bonus passé l.annee dernière  à 0,84 suite accrochage superficiel ou j.etais a tort certes mais mon véhicule n.avait pas eu de dommage (la personne que j.ai percuté etait en leasing). Puis on m.a accroché en se rabattant sur moi, cette année avec une voiture neuve, le conducteur a pris la fuite j.ai eu le temps de prendre des photos pour avoir la plaque et j.ai pas arrêté de témoin ds la panique. On m.avait averti sur le faite que cela pouvait être 100% a tort si elle se déclarait pas, niait les faits , et il s.est passé 50/50 car déclaration inverse de la personne suite démarche de relance demandé par moi via eurofil.. Résultat on m.envoi une lettre de résiliation sachant que mon véhicule n.est pas encore réparé à cause du barème fixe à 150€ Par l.expert sur une jante ( pu neuf 350€). La solution de réparation est d.envoye cette jante au Portugal avec une loc d.un véhicule de prêt pour 2 jours via prestataire agréé ... donc dans cette histoire on m.a sanctionné plusieurs fois, un j.etais pas en tort, le code assurantiel le voit différemment certes.mais la personne se barre et ne présente pas ces papiers, et c’est peut être même une fausse déclaration si pas bon conducteur déclaré en face ( impossible à verifier), et à la fin vous avez rien demandé on vous raddi avec les hausses tarifaires que cela engendre à la concurrence.. ou est l.humain dans ton cela ? Ou la relation clientèle ?</t>
  </si>
  <si>
    <t>marianne-58333</t>
  </si>
  <si>
    <t>je viens d'être résiliée pour mon assurance auto et caravane après 4 ans. Le motif : "suite à un récent examen de votre dossier, l'inadéquation du risque au regard de la politique d'acceptation de la compagnie ne permet pas sa reconduction pour la période à venir". Je leur demande de me communiquer les raisons de ce choix, sachant que je n'ai pas eu de retrait de permis, de conduite en état d'ivresse, de points retirés, factures honorées, qu'un accrochage en 2014. Je souhaite un contact avec le médiateur eurofil. Merci. Je leur envoie un courrier recommandé ce jour pour comprendre quelque chose.</t>
  </si>
  <si>
    <t>24/10/2017</t>
  </si>
  <si>
    <t>martinp-58307</t>
  </si>
  <si>
    <t>Je ne suis toujours pas remboursé après plus de 8 mois suite à un accrochage non responsable avec un véhicule étranger! Le dossier passe en contentieux. Je regrette que l'assurance n'ait pas avancé les frais pour la réparation de mon véhicule.</t>
  </si>
  <si>
    <t>lyma-58304</t>
  </si>
  <si>
    <t>Un accident et on se retrouve avec une résiliation  d'assurance  par lassureur car on correspond plus a leur politique d'assurance. ( en gros on paye tout est bien et le jour ou on a un soucis on se fait radier). Vraiment lamentable.</t>
  </si>
  <si>
    <t>brett-58073</t>
  </si>
  <si>
    <t>assurance chère pour un véhicule ancien (plus de 20ans)au maximum de bonus,avec des garanties très précaires(341 euros pour vieux diesel de 7 chevaux)</t>
  </si>
  <si>
    <t>14/10/2017</t>
  </si>
  <si>
    <t>eddy-57916</t>
  </si>
  <si>
    <t xml:space="preserve">Bravo à vous Eurofil !
Sinistre il y a + de 6 mois ! Après de nombreux coups de téléphones et menace ce jour même de partir, Eurofil comme par enchantement vient de faire le nécessaire : Mr, l'expert à fait partir le dossier ce jour même vous êtes chanceux ! ouaah quel efficacité (Ils ont perdu la photo d’expertise puis l'on retrouvé et j'en passe).. Comme c'est un transporteur européen on m'annonce encore 1 an d'attente... 6 mois perdu à vous recontacter sans cesse... Vous êtes des incapables ! 
Attention aux petites lignes, leurs prix sont agressifs mais nombre de "limitations" sont à déplorer tel que le kilométrage précisé à aucun moment ! </t>
  </si>
  <si>
    <t>09/10/2017</t>
  </si>
  <si>
    <t>melmel-57874</t>
  </si>
  <si>
    <t>Service client catastrophique. 
Achat d'une voiture supplémentaire en attendant la vente de l'ancienne et 3 jours sans pouvoir souscrire car ce n'est jamais le bon service concerné etc etc 
Au bout de 3 jours enfin quelqu'un téléphone et comme par magie 10 euros plus chère que le précédent devis fais par téléphone ( ne faite pas vos devis sur internet il y a toujours quelque chose qui iras pas le contrat et qui vous coûtera sûrement chère ) .
Le conseiller n'a pas accepté cette remarque et c'est mis à mal me parler , m'accuser de tout et n'importe quoi et c'est permis de critiquer mon choix de peu être aller voir ailleurs vu que le prix avais augmenté .
Je n'avais jamais eu a faire au service client en 1 ans vu que je n'ai jamais rien eu à déclaré et le plus tard a été le mieux je vais donc me rediriger vers une autre assurance même plus cher mais au moins d'avoir un service client digne de ce nom et surtout qui respecte ses clients .</t>
  </si>
  <si>
    <t>06/10/2017</t>
  </si>
  <si>
    <t>vinijo-57866</t>
  </si>
  <si>
    <t>10 ans et viré Après 2 sinistres (tout petits accrochages sans corporel)responsables en 2 ans</t>
  </si>
  <si>
    <t>thibault83-57629</t>
  </si>
  <si>
    <t>Fuyez!!!!!! Ils vous virent à la moindre occasions et après c'est l'enfer pour trouver une autre assurance!!!</t>
  </si>
  <si>
    <t>26/09/2017</t>
  </si>
  <si>
    <t>meric42-57064</t>
  </si>
  <si>
    <t>personnel très désagréable ( MADAME LEROY) , crie au téléphone quand on lui demande de répéter bref tres énervent surtout le matin !!! , sinon leurs pub sur le fait de partir comme on veux ... c'est du blabla car on vous demande les mèmes justificatifs que les autres comme par exemple un certificat de cession en cas de rupture de contrat pour vente donc rien de nouveau , niveau prix comme les  autres</t>
  </si>
  <si>
    <t>21/09/2017</t>
  </si>
  <si>
    <t>bosko-57484</t>
  </si>
  <si>
    <t>Bonsoir 
J'ai souscrit chez Eurofil fin juillet en passant par le comparateur Lesfurets.com en croyant avoir fait la bonne affaire seulement depuis je n'ai reçu ni contrat et encore moins la carte verte. J'ai essayé de les contacter mais jamais de réponses. Récemment je reçois un courrier de résiliation unilatéral, donc j'appelle pour avoir plus d'informations on me dit tout simplement que le contrat etait résilié et que j'ai perdu l'acompte qui est de 290 euros. La conseillere  me dit qu'on vous a envoyé le contrat mais le courrier nous a été retourné et qu'on vous a laissé un message sur votre répondeur ... enfin du n'importe quoi quoi.
Il faut signaler que la conseillère était très désagréable,  je demande une reconduction du contrat (chose logique) et ainsi clore ce malentendu elle me répond expressement par un négatif et elle va jusqu'à me narguer en me suggérant d'aller devant la justice et que de toute manière j'avais plus à y perdre. Alors qu'à aucun moment je n'ai abordé ce volet la. Incroyable venant d'une professionnelle, j'étais vraiment choqué par le ton employé.
J'espère que cette affaire est le fait seulement d'une employée un peu aigrie et non pas une politique à grande échelle d'un assureur, sinon cela fait très peur.</t>
  </si>
  <si>
    <t>20/09/2017</t>
  </si>
  <si>
    <t>or3ly74-57312</t>
  </si>
  <si>
    <t xml:space="preserve">Après être passée par Allianz et Direct Assurance, je peux garantir que Euro fil est largement mieux! </t>
  </si>
  <si>
    <t>13/09/2017</t>
  </si>
  <si>
    <t>liberte91-55595</t>
  </si>
  <si>
    <t>Bonjour, je vous déconseille fortement cette compagnie Eurofil.
J'ai appelé il y a quelques semaines pour étudier la possibilité d'apporter une modification à mon contrat en ajoutant d'autres garanties.
au retour et dans l'immédiat, on m'informe que mon contrat sera résilié alors que moi je n'ai à aucun moment demander une résiliation j'ai juste demandé une information...demander une information cela m'a couté une résiliation chez Eurofil...je vous laisse vous même juger !
Attention attention attention à fuir au plus vite avant de vous faire avoir comme moi ...j'ai été résilié pour aucun mais vraiment aucun motif valable.</t>
  </si>
  <si>
    <t>signoret-54211</t>
  </si>
  <si>
    <t xml:space="preserve">Depuis bientôt dix ans chez eux , deux accidents non responsable ,  le premier véhicule épave,mais  indemniser à sa juste valeur, le deuxième  véhicule épave aussi, mais très mal expertiser du coup contre expertise de ma part et là, ils n'aiment pas, du coup ils cherchent des complications à n’en plus finir, depuis février 2017 mon dossier traîne et toujours non indemniser. </t>
  </si>
  <si>
    <t>26/08/2017</t>
  </si>
  <si>
    <t>coco29-56828</t>
  </si>
  <si>
    <t xml:space="preserve">En cas d'accident grave , même si vous n'êtes pas en tort , il faut batailler et on vous éjecte </t>
  </si>
  <si>
    <t>23/08/2017</t>
  </si>
  <si>
    <t>cmag-56539</t>
  </si>
  <si>
    <t>Service client très désagréable, il fut attendre la fin des congés pour pouvoir recevoir une prise en charge alors que le véhicule est immobilisé, pour bris de glace.</t>
  </si>
  <si>
    <t>08/08/2017</t>
  </si>
  <si>
    <t>3vallees-56372</t>
  </si>
  <si>
    <t xml:space="preserve">Eurofil a tout simplement résilier mon contrat car je n'ai renvoyé mon relevé d'information des derniers 24 mois, alors qu'il avait reçu celui des 12 dernier mois. Alors que j'allais leur envoyer, c'était juste un document à récupérer auprès de mon ancien assureur. De plus cela faisait 10 jours que je roulais sans assurance sans le savoir. Je suis partie en vacances sans assurance et sans être au courant. C'est seulement à mon retour de vacances que j'ai découvert un courrier postal me disant que mon contrat avait été résilié depuis 10 jours. Ils sont inconscients.  À fuir.. </t>
  </si>
  <si>
    <t>30/07/2017</t>
  </si>
  <si>
    <t>ericl-56294</t>
  </si>
  <si>
    <t xml:space="preserve">Je suis extrêmement insatisfait des services de Eurofil. Pour faire court, j'ai déclaré 3 sinistres dans l'année :
- 2 bris de glace, (le 1er un gravillon et le 2ème un oiseau qui vient taper mon pare-brise)
- 1 vandalisme : une personne civilisée c'est amusée à rayer tout le côté gauche de la voiture avec une clé.
3 sinistres pour lesquels je ne comprends pas bien où est ma responsabilité.
Aujourd'hui, j'ai changé de région et Eurofil se sert de l'article L.113.16 du code des assurances pour me jeter comme un mal propre.
Ce qui me rends encore plus furieux, c'est que lorsque je fais des demandes de devis sur les comparateurs en indiquant les sinistres et ma nouvelle adresse postale, Eurofil se permet de me contacter pour me faire une proposition.
Ces gens-là se payent ma tête, ils ne m'ont pas résilier à cause de mon déménagement mais à cause de 3 sinistres pour lesquels je n'y suis absolument pour rien et pour lesquels je leur ai demandé de faire le travail pour lequel je les paye : m’indemniser en cas de sinistre.
Tu sers à quoi Eurofil ? A empocher le fric des gens et les jeter si tu dois en sortir de ta poche !!!
Je n’appelle pas ça une assurance, juste une pompe à fric.
Je vous déconseille vivement de signer un contrat d’assurance avec Eurofil.
</t>
  </si>
  <si>
    <t>26/07/2017</t>
  </si>
  <si>
    <t>patmol73-56012</t>
  </si>
  <si>
    <t>trop peu d'assurance telle que eurofil était à notre porter alors que jusqu'à l'année 2015 nous avons souhaiter faire un comparatif d'assurance et de ce fait nous avions consulter eurofil pour basculer tout les contrats auto que nous pocédions à la banque populaire des alpes...</t>
  </si>
  <si>
    <t>13/07/2017</t>
  </si>
  <si>
    <t>coco83-55761</t>
  </si>
  <si>
    <t xml:space="preserve">Depuis des années j'étais à Euforil, j'étais satisfaite. Hier je reçois un courrier recommandé comme quoi je ne suis plus assurée. Ils ne me donnent aucune raison. je dois chercher une assurance avant fin août et  on est le 2/07 !  je n'ai jamais eu d'accident à mon tort. je suis écœurée. Fuyez cette assurance . Ils n'ont aucun respect de leurs clients.   </t>
  </si>
  <si>
    <t>02/07/2017</t>
  </si>
  <si>
    <t>catherine-55041</t>
  </si>
  <si>
    <t>ATTENTION! je souscris en ligne en notant tout les renseignements nécessaires, Je note mon bonus actuel et je constate qu'ils enregistrent un bonus "recalculé"légèrement plus faible. Je ne me pose pas plus de questions... ils envoient la résiliation a mon assureur, encaisse mon règlement puis me téléphone pour vérifier les données et s'apercevoir que le bonus indiqué par mes soins est celui de l'année en cours et donc...ils ne peuvent pas m'assurer!! mais ils ont résilié mon assurance et ne peuvent plus rien faire. Juste scandaleux et incompétents...</t>
  </si>
  <si>
    <t>31/05/2017</t>
  </si>
  <si>
    <t>buriti-54822</t>
  </si>
  <si>
    <t>A la suite d'une demande de contrat d'assurance auto pour une voiture de collection, il m'a été adressé un devis qui m'a paru très intéressant. J'ai donc fourni mes coordonnées bancaires pour finaliser l'opération et ai été débité d'un premier montant de 50€ qui, en attente de la finalisation du contrat, me permettait de circuler avec une attestation provisoire d'un mois. Après avoir fourni les pièces demandées, à savoir un scan de la carte grise et du bulletin de situation de mon ancienne assurance, il m'a été signifié que Eurofil ne pouvait pas m'assurer à ces conditions. Au delà du temps perdu, j'ai payé pour un mois d'assurance 50€, non négociable,ce qui rapporté à un an de cotisations équivaut à 600€. Bien trop cher pour moi!</t>
  </si>
  <si>
    <t>20/05/2017</t>
  </si>
  <si>
    <t>pastop74-54697</t>
  </si>
  <si>
    <t>10 ans d'assurée auto chez eurofil. Zéro dommages, habitations et 2 véhicules. Extension d'assurance pour la conduite accompagnée de notre fille sur 1 an. Je les appelle aujourd'hui pour demander s'ils assurent les jeunes permis car elle l'a obtenu. On me répond qu'ils n'assurent pas les jeunes conducteurs et qu'ils vont résilier de suite mon assurance auto du véhicule concerné. On est le 15 mai 2017, je serai sans assurance le 26 mai 2017, ils résilient immédiatement. Je me retrouve sans assurance du jour au lendemain pour un simple renseignement téléphonique. Titulaire du permis depuis 1984, sans accidents ni dommages, 12 points. Voilà le super service client !</t>
  </si>
  <si>
    <t>15/05/2017</t>
  </si>
  <si>
    <t>dada92-53449</t>
  </si>
  <si>
    <t>J'étais assurée auprès de Direct Assurance et lors d'un changement de véhicule, j'ai voulu faire un comparatif tarifaire, ce qui m'a amené à souscrire à une assurance Eurofil, GROSSE ERREURRRRRRRR.
Le service client est très désagréable (pourtant j'ai eu plusieurs conseillers en ligne), j'ai l'impression que la communication ne doit pas durer plus d'une minute...
J'ai demandé un échancier, je reçois à la place une facture annuel, lorsque j'appel, on me répond "vous vous fourvoyez", je répond que non, je suis sûre d'avoir demandé un échéancier, je dispose d'ailleurs du montant mensuel... On me répond, de façon très désagréable que je ne dois pas comprendre le sens du mot fourvoyer et que c'est un terme français (sans blague, je suis prof de français...). Le service client ne veut rien entendre, il n'y a strictement aucune démarche  de satisfaction client, je regrette fortement mon choix!!!!!!</t>
  </si>
  <si>
    <t>21/03/2017</t>
  </si>
  <si>
    <t>ciagar26-50650</t>
  </si>
  <si>
    <t>J'ai été assuré à EUROFIL pour mon véhicule et mon habitation pendant 12 ans1/2. A l'échance de mars 2017, j'ai reçu une lettre de résiliation de mon contrat auto uniquement, (curieusement le contrat habitation n'était pas concerné), sans aucune raison déclarée. (aucun sinistre responsable)
J'ai compris que le seul motif était mon âge mais personne à EUROFIL n' voulu me l'avouer. Eh oui, EUROFIL a une politique discriminatoire, elle fait du racisme "anti-vieux".
Je suis revenu à mon ancien assureur, la GMF, qui m'a accueilli avec plaisir. Résultat je vais payer 50 € de moins pour mon véhicule et l'habitation (j'ai pris la décision de dénoncer le contrat habitation)...pour une meilleure garantie (a la GMF, il n'y a pas de limite de kilométrage annuel)
Alors ne vous fiez pas aux publicités. EUROFIL n'est pas le moins cher !!...et de plus si vous avez plus de 70 ans, vous serez bientôt résilié.</t>
  </si>
  <si>
    <t>07/03/2017</t>
  </si>
  <si>
    <t>barcelonne45-52766</t>
  </si>
  <si>
    <t xml:space="preserve">Trois ans de contrat jamais eu de problème.assurance pas chère payable fin janvier après les fêtes.augmentation minime à chaque année.
Vraiment rien à redire et je la recommande
</t>
  </si>
  <si>
    <t>25/02/2017</t>
  </si>
  <si>
    <t>marco39-51794</t>
  </si>
  <si>
    <t xml:space="preserve">à fuir vite vite vite!!!!!!!!!!!!!!!! ils sont désagréable et j'ai assuré 1 voiture neuve , je n'avais l'immatriculation de la voiture qu'ils m'ont dit que ma carte était déjà envoyée depuis 3 jours : n'importe quoi!!!! </t>
  </si>
  <si>
    <t>28/01/2017</t>
  </si>
  <si>
    <t>totor94380-51684</t>
  </si>
  <si>
    <t>Gestion du dossier exécrable puisque malgré toutes les informations données pour résoudre la décision de mon assureur à mon grée injuste et malgré mes diverses relances (courriers, appels téléphoniques...) . J'ai mis fin à mon contrat, à cause des plusieurs anomalies constatées !!! Et par ailleurs à titre d'information à ce-jour en souffrance.</t>
  </si>
  <si>
    <t>26/01/2017</t>
  </si>
  <si>
    <t>nono44-51596</t>
  </si>
  <si>
    <t xml:space="preserve">Fin décembre, je fais un devis sur Eurofil. La question précisément est "êtes vous assuré depuis plus de 24 mois?" Etant assuré depuis 2009, je répond oui. On m'appelle le 18 après avoir fourni toutes les pièces justificatives pour me dire que mon contrat est interrompu car je suis certes assurée depuis 2009 mais pas en conducteur principal alors pour eux ils ne veulent même pas m'assurer en jeune conducteur.  Après cela Eurofil refuse de me rembourser mon acompte de 165e après seulement 18 jours d'assurance. 
Et j'ai vu que ce n'était pas la première fois... J'attends au moins de leur part un remboursement au prorata de mon contrat. On m'a rappelé le jour même (18 janvier) en me précisant qu'un nouveau contrat m'était proposé et aujourd'hui le 24 janvier, je m'entends dire par le service client qu'en réalité non je ne recevrai même pas de nouveau contrat avec un bonus de 5% et non de 15%. 
</t>
  </si>
  <si>
    <t>24/01/2017</t>
  </si>
  <si>
    <t>frederic-verrier-50606</t>
  </si>
  <si>
    <t>Nul, n'assure pas pour un assureur c'est grave ! Mon profil 50% de bonus depuis plus de vingt ans, assure chez eux pour un véhicule de sport de marque alemande (p.....sche) et aujourd'hui ne veulent pas assurer en plus une Fiat 500x....trop de vols sur ce type de véhicule. ...ce sont des rigolos</t>
  </si>
  <si>
    <t>jean-50465</t>
  </si>
  <si>
    <t>cette assurance ne vous defend pas des qu il y a litige et applique le malus meme si vous avez raison . augmentation exponentiel de ass d ann ee en annee.vite a changer ...zero............je ne conseil pas cEtte assURANCE . idem GMF ET DIRECT ASS NUL...................</t>
  </si>
  <si>
    <t>19/12/2016</t>
  </si>
  <si>
    <t>martineo-49335</t>
  </si>
  <si>
    <t>Je suis assurée depuis l'acquisition de mon véhicule VOLVO chez EUROFIL, soit en aout 2012; je reçois en septembre 2016, une lettre de résiliation avec les mêmes formules (comme lus sur les autres messages) "un examen de votre dossier, l'inadéquation du risque au regard de la politique d'acceptation de la compagnie ne permet pas sa reconduction pour la période à venir." ???!!!
Je crois faire un cauchemar, je demande des explications à une hotesse très pressée de raccrocher... elle finit par me dire "je vous envoie un relevé d'information" et là surprise ! : la compagnie prend en compte des "sinistres" non responsables !!!! super assurance : on est pénalisé même lorsque l'assurance ne rembourse rien puisque non responsable !!!!
on se demande pourquoi on est résilié et là on vous répond que les sinistres même non responsables sont comptés ?!!!!
bref, suite à tout ça et à la politique commerciale de cette assurance, je me retrouve exclue sans motif et en plus je ne peux pas me réassurer ailleurs car ils ont eu la méchante idée de noter sur le relevé d'information la mention "résiliation de la compagnie" à cause de cette formule assassine je ne trouve aucune autre compagnie !
j'attends des nouvelles de la compagnie EUROFIL</t>
  </si>
  <si>
    <t>18/11/2016</t>
  </si>
  <si>
    <t>erwan-139206</t>
  </si>
  <si>
    <t>Ma voiture ne fonctionnant plus, j'ai voulu résilier mon contrat, on me sort " non vous ne pouvez pas vous êtes engagés pendant 1 an" alors que non, de plus on me dit " même si votre véhicule n'est plus en état de rouler vous en êtes le propriétaire et êtes donc obligé de l'assurer" enfin bref je déconseille fortement, surtout que les prix ne sont pas avantageux, et ils rajoutent des options inutiles qu'ils me disaient obligatoire alors que finalement elle ne le sont pas, je me suis retrouver a payer 15euros par mois en plus pour rien.</t>
  </si>
  <si>
    <t>MACIF</t>
  </si>
  <si>
    <t>08/11/2021</t>
  </si>
  <si>
    <t>inoxy-138834</t>
  </si>
  <si>
    <t>Fuyez cette assurance.  50 ans chez eux pour un contrat habitation. 1er dégâts des eaux. On demande un devis chez l'artisan que nous à conseillé la Macif. Devis 1.400€ TTC. On doit rappeler IMH MACIF car le devis est trop cher et l'artisan doit detailler chaque poste main d'oeuvre et fourniture. Exemple dépose plâtre au plafond détail des 250€... il est clair que cette entreprise IMH est payée pour réduire coûte que coûte les factures.  Dommage pour l à MACIF car ils viennent de perdre 3 ass voitures, 1 ass moto et 1 ass habitation (habitation plus de 400€)</t>
  </si>
  <si>
    <t>03/11/2021</t>
  </si>
  <si>
    <t>yoyo17799-138728</t>
  </si>
  <si>
    <t>J'ai pris l assistance 0 km en option avec un contrat au tiers + l'option véhicule de prêt et hier j'ai eu un accident le service assistance à été extrêmement rapide j'ai eu le véhicule de remorquage et le taxi pour rentré et aujourd'hui je vais aller récupérer mon véhicule de prêt en taxi. Tout ça au frais de l'assurance. 
Je recommande à 100% cette assurance qui est très efficace avec un service assistance qui regroupe des personnes très polies patientes et efficaces</t>
  </si>
  <si>
    <t>02/11/2021</t>
  </si>
  <si>
    <t>ma90-138418</t>
  </si>
  <si>
    <t>Aucune écoute active, j’ai eu un accident, donc la personne a fait exprès, je leurs ai expliqué la situation il n’on rien voulu savoir. Très mauvaise assurance !</t>
  </si>
  <si>
    <t>27/10/2021</t>
  </si>
  <si>
    <t>jl-137964</t>
  </si>
  <si>
    <t xml:space="preserve">Depuis 42 ans, assuré Macif, habitation, auto et pro,...
Dans l'ensemble, les interventions se deroulent bien.
Il manque toutefois les bons conseils quant aux assurances adaptees aux besoins et en RC cela fait 2 mois que j'attends le reglement de mon dossier pour un sinistre dont j'ai été victime. 
L
</t>
  </si>
  <si>
    <t>21/10/2021</t>
  </si>
  <si>
    <t>zouzou-137808</t>
  </si>
  <si>
    <t>Assurance non serieuse malgre un service juridique. Malfaçon et la Macif me dit d'aller une troisième fois chez le même garage suite à un accident non responsable</t>
  </si>
  <si>
    <t>19/10/2021</t>
  </si>
  <si>
    <t>cocojoubert-135731</t>
  </si>
  <si>
    <t>Suite au vol de ma caravane le 10 mars 2021 cela mis plus de trois mois avant d'être indemnisée avec l'envoi de documents à remplir tous les 10 -12 jours.Continuellement des renseignements à fournir par étapes pour allonger le delai!!Alors que l'expert avait très bien fait son travail et m'avait donné le montant de l'expertise au bout d'une semaine et  m'avait  également prévenu de la carence d'un mois en cas de vol.Nouveau sinistre le 1er juillet 2021 mon jardinier a projeté un caillou dans la vitre de ma baie vitrée qui s'est cassée.J'ai envoyé le devis de mon menuisier  à la MACIF le 17 juillet.J'ai reçu un accusé de réception de leur part le même jour et ils me disent qu'ils ne l'ont pas reçu. le devis.Nouvel envoi donc et là ils me disent que le devis est trop élevé??Encore du temps perdu!AFFAIRE A SUIVRE et je vais changer d'assurance.</t>
  </si>
  <si>
    <t>03/10/2021</t>
  </si>
  <si>
    <t>erb-135498</t>
  </si>
  <si>
    <t>Suite à un dommage sur mon véhicule en stationnement en mon absence,  J'ai déposé une plainte à la gendarmerie et prévenu mon assurance. Démarches effectuées dans les délais. Ma voiture a été expertisée dans un garage susceptible de la réparer. L'expert a contesté ma déclaration. La macif s'en référant,  refuse de réparer mon véhicule. L'incompréhension est totale quelle est la définition du " Tous risques" à la Macif</t>
  </si>
  <si>
    <t>phil-133378</t>
  </si>
  <si>
    <t xml:space="preserve">suite à un petit dégât sur gouttière (arrachement ) après une très forte pluie la compagnie ne donne pas signe de vie elle ne confirme pas et n'infirme pas elle demeure muette. Le sinistre à eu lieu en 2020 et pas de réponse écrite. Depuis sinistre et passage de l'expert.
Qu'en penser pour des évènements plus graves problèmes de santé par exemple.
</t>
  </si>
  <si>
    <t>18/09/2021</t>
  </si>
  <si>
    <t>samy-128745</t>
  </si>
  <si>
    <t>Je déconseille fortement ils ne sont pas clair pour ne pas dire pas honnêtes. 2 problèmes que j’ai eu avec eux: il m ont mis un malus pour un accident que je n ai jamais eu. De plus ne l’es croyez surtout pas quand ils vous parlent d assistance 0 km a 1000 km en cas de panne c est faux. Au delà de 50 km de chez vous ils vous pose le véhicule dans un garage que vous n  de pouvez pas choisir dans les 15 km autour de la panne et vous dépose chez vous via un taxi. Cela change tout pour quelqu’un qui ne veux pas faire réparer sa voiture par n importe qui ou qui a un  e voiture garantie. Voilà 2 exemples pour vous dire qu ils ne sont pas clairs</t>
  </si>
  <si>
    <t>20/08/2021</t>
  </si>
  <si>
    <t>virginie79-122321</t>
  </si>
  <si>
    <t xml:space="preserve">HONTE A ELLE. A EVITER ABSOLUMENT !!!!! Déplorable et à fuir. J'arrête car la liste est longue. Demande résiliation d'un contrat depuis 2 mois et laisse trainer. Montants devis (signé) et facture différents. Changement de contrat sans explication et information avant. ET LE PIRE : DEPUIS UNE SEMAINE, J'APPRENDS QUE TOUS NOS CONTRATS SONT RESILIES (auto et maison) ET NOUS ROULANTS SANS ETRE ASSURES ALORS QUE TOUTES NOS FACTURES SONT PAYEES de 2019 -2020 et 2021 ( relevés bancaires faisant fois) : je reçois une lettre de mise en demeure par AR le 21/05/21 (la poste fait foi), mais l'intitulé et les cotisations à devoir de la lettre sont datées du 14/05/19 (soit 2 ans d'écart). Quand je les interroge, personne ne sait rien, ils ne comprennent même pas le montant réclamé de 1434,18 €. Après mes recherches perso, le montant réclamé correspond à la fact de 2019 pourtant payée en temps voulu. Aujourd'hui, JE CIRCULE QUAND MEME SANS ASSURANCE, C'EST GRAVE. Si accident ???? 
Niveau de Compétence et d'intelligence, Zéro !!! mais là c'est trop gravissime, demain, je porte plainte à la gendarmerie après mon passage à l'agence (pour voir leur degré de compétence professionnelle). Et ne me demandez pas d'écrire à la relation gestion. J'ai perdu assez de temps, vous causez des problèmes, vous réparez. On se demande si on a affaire à des enfants de 12 ans en face de nous. </t>
  </si>
  <si>
    <t>chana--117824</t>
  </si>
  <si>
    <t xml:space="preserve">LA MACIF a fuir ! je suis en train de changer de véhicule je ne resterai sûrement pas chez eux .j ai déjà résilié mon assurance habitation leur incompétence m'a démontré qu'on ne pouvait pas compter sur eux et je vais prochainement résilier ma mutuelle .
Je suis assurée à la macif pour mon véhicule depuis 2017 je n'ai jamais rien réclamé ,aucun sinistre ,jamais d'accident...en Novembre 2020 on me vole ma voiture quelques  jours après mon véhicule est retrouvé par la police .la macif m'envoie une dépanneuse pour l'emmener au garage pas de garage de dispo le dépanneur me prévient qui l'emmène au dépôt finalement ils en trouvent un a Paris ils m'appellent pour me dire que ma voiture est dans un garage dans le 15 eme.
Une semaine après sans nouvelles de leur part je reçois un appel du garage pour les relancer...
la Macif m envoie un mail “suite à la visite de l expert il n y'a pas eu d'effraction donc pas de remboursement ! Ils me disent d'aller chercher ma voiture avant que les frais de gardiennage s appliquent !  
Le garage m'informe que les frais de gardiennage s appliquent du premier jour du dépôt et il me demande 700 euros de gardiennage ou de la faire réparer chez lui pour 3000 euros (juste le devant pour que je puisse rouler avec).J'étais au pied du mur ! Je n'ai jamais été informé de ces frais de gardiennage la macif me réponds que c est affiché à l'entrée du garage mais je n'ai jamais été dans ce garage  puisque ils l ont emmené eux meme directement de la fourrière !!!. 
Mais pourquoi laisser la voiture une semaine si ils savaient que je devais payer 100 euros par jour ???
Donc 3000 euros pour le phare et le pare-choc avant , leur expert décide qu il n  y'a pas eu d effraction et en plus 700 euros de gardiennage . Je suis assurée tous risques si cette voiture avait été cassé dans la rue ou vandalisée j'aurais été remboursée mais pas en cas de vol !!!!! aucune logique 
la personne que j ai eu par mail et au téléphone était à la limite de la politesse elle haussait le ton j'avais l'impression de quémander!
Ils sont supposés t assister en cas de sinistre ,tu es non seulement livré à toi même et eux ils t'enfoncent encore plus 
Je n ai jamais eu d accident , je n ai jamais réclamé d'indemnisations a qui que ce soit  et j ai été traitée par la Macif comme une voleuse comme si j'avais cassé mon véhicule  et simulé mon vol alors que je suis assurée  pour vandalisme! Quel est le but ? 
J ai été traumatisée par le vol de ma voiture et eux ils m ont enfoncé  .j ai réparé le pare choc et le phare pour 3000 euros je n ai pas pu réparer l’arrière il fallait 3000 de plus .Je ne conseille a personne cette assurance </t>
  </si>
  <si>
    <t>hourii76-100592</t>
  </si>
  <si>
    <t>La plus grosse erreur de ma vie, du coup je ai pris tous mes contrats et je suis partie ailleurs
Suite a un litige avec mon garagiste , je me suis rendue compte que je n'avais pas pris la bonne protection juridique pour moi, je suis retournée la ou j'étais bien</t>
  </si>
  <si>
    <t>16/06/2021</t>
  </si>
  <si>
    <t>bin-116706</t>
  </si>
  <si>
    <t xml:space="preserve">Ma femme  enceinte  7 mois a eu un accident non responsable une personne la percuté par l arrière. Après l accident nous avons passé la matinée au urgences pour être rassuré. Nous déposons le véhicule au garage pour l expert. Et 15 jours après la visite de l expert il nous annonce qu'il a des doutes sur l accident et l assurance refuse de nous réparer le véhicule sachant que nous sommes assuré tout risques. Je trouve cela inadmissible de la part de la MACIF sachant que j ai tous mes contrats chez eu(5 contrats) je n imagine même pas si j ai un dégât à la maison ou plus grâve du corporel. Maintenant je doit faire une contre expertise du véhicule à mes frais. J ai contacté plusieurs associations de consommateurs pour m aider dans mes démarches. Apparemment problème récurent chez la MACIF. En résumé avec la MACIF tant que vous payez et que vous n avez pas de problème tout va bien mais en cas de problème plus personne débrouillez vous !!!!!!!!!!! </t>
  </si>
  <si>
    <t>11/06/2021</t>
  </si>
  <si>
    <t>oli44-116386</t>
  </si>
  <si>
    <t>Je suis déçu de la macif ausi, mes parents sont depuis 1977 assuré à la macif et j'ai prix la même assurance dès l'obtenion du permis. Mes parents ont pris l'assurance Nomade et lors du vol du portable, remboursement  nada.
De plus je suis déçu de leur prestation  banque, a chaque fois qu'il faut relever le plafond de la  carte visa il faut payer.
Je pense quitter leur assurance et banque 'compte dépot , livret et assurance vie)</t>
  </si>
  <si>
    <t>08/06/2021</t>
  </si>
  <si>
    <t>is-115424</t>
  </si>
  <si>
    <t xml:space="preserve">Très mauvaise assurance très déçu ne Concorde pas entre interlocuteur donne des versions différentes prenne les gens pour des cons 1 mois que l’on me balade en me sortant différentes excuse plus jamais je la déconseille à tout le monde cette assurance et on ne pas rembourser alors que y’a 2 semaine on m’a ma dit en tout cas assurance en carton </t>
  </si>
  <si>
    <t>31/05/2021</t>
  </si>
  <si>
    <t>chipounette--113611</t>
  </si>
  <si>
    <t>Niveau relationnel RAS
Niveau étude du dossier, ce précipite lors d'une souscription d'un contrat, il n'approfondir pas sérieusement. Bien à vous bon .</t>
  </si>
  <si>
    <t>macifjetequitte-111563</t>
  </si>
  <si>
    <t>La Macif n'hésite pas à envoyer des copies de courriers (par mail et pas par voie postale...) par contre elle ne répond jamais à mes lettres!
J'ai un véhicule qui n'est plus en ma possession depuis le 27/02/2020 suite à un sinistre mais je continue de recevoir des factures ainsi que des relances par mail!!
Même après plusieurs RDV en agence ce n'est toujours pas réglé, j'envisage sérieusement de porter plainte. Une fois que vous avez payé et que l'argent est chez eux, même si vous êtes dans votre droit, le récupérer c'est une autre histoire...</t>
  </si>
  <si>
    <t>24/04/2021</t>
  </si>
  <si>
    <t>denhu-110222</t>
  </si>
  <si>
    <t xml:space="preserve">J'ai contacté la Macif pour revoir le montant de la prime, pas très compétitive, particulièrement du fait des confinements. J'ai roulé encore moins que d'habitude (6.000 km par an). Conducteur avec bonus 50% depuis plus de 20 ans. Conseillière Macitel immédiatement agressive sans raison, malgré mes efforts pour rester courtois, mauvais arguments pour justifier de ne faire aucun geste, dénigrant les concurrents, les clients qui postent des avis négatifs, etc, et même insultante, genre "vous ne comprenez pas". Résultat, bye bye Macif. </t>
  </si>
  <si>
    <t>13/04/2021</t>
  </si>
  <si>
    <t>bdn-109612</t>
  </si>
  <si>
    <t>Bonjour,  Je vais quitter cette assurance  parce qu'il refuse de m'assurer un nouveau véhicule parce que certains véhicules que j'ai eu , je les vends dans les deux  mois qui suivent.   Incroyable  .</t>
  </si>
  <si>
    <t>08/04/2021</t>
  </si>
  <si>
    <t>ggn-105523</t>
  </si>
  <si>
    <t>A fuir , j'ai fait une modification de contrat tout ce passe bien et dans le même temps je demande à mon conseiller de résilier un contrat d'un autre assureur rien de compliqué en apparence sauf qu'il marque pas le bon numéro de sociétaire donc je le relance, j'ai eu le droit à mille excuses et ce trompe encore et bien-sûr la date anniversaire est dépassé. Au téléphone impossible de l'avoir et me recontacter pas . J'ai envoyé un recommandé de réclamation et depuis un mois aucune réponses.
Je suis très déçu un manque de confiance et de respect.honteux!!</t>
  </si>
  <si>
    <t>04/03/2021</t>
  </si>
  <si>
    <t>sam-105343</t>
  </si>
  <si>
    <t>Assurée à la Macif depuis 2009 pour mon habitation et mon véhicule, tout s'est très bien passé. Je pouvais même dire que j'étais très satisfaite de mon assureur et le recommander. Avec un bonus de 50% depuis 10 ans au moins et sans aucun sinistre, j'ai rajouté mon fils jeune conducteur en 2018 à mon contrat. Par malchance et concours de  circonstances nous avons eu depuis 3 ans 3 sinistres à tous les 2, pas de chance et responsables. Cependant même après ces 3 sinistres dont un est celui de mon fils, je reste à 38% de bonus. La Macif a décidé de ne pas renouveler mon contrat au delà de l'échéance en raison de ces sinistres; Il me semble qu'une assurance est payée pour couvrir justement lorsqu'il y a accident et quand il y a accident, on vous résilie. Je trouve cela époustouflant, les bras m'en tombent! Pour cette raison et surtout parce que j'avais une opinion (un peu naïve) que la Macif était une assurance plus éthique que les autres, je peux confirmer qu'il n'en ai rien et je ne la recommanderai plus. Aujourd'hui je ne peux m'assurer avec 38% de bonus avec mon fils conducteur occasionnel, pour 380 euros par mois soit + de 4 000 euros par an, en raison de cette résiliation parfaitement abusive!</t>
  </si>
  <si>
    <t>sylvie24-105164</t>
  </si>
  <si>
    <t>Honte dans la prise en charge du dossier accident et dans la politique : la victime est déclarée coupable avec malus et augmentation des cotisations en attendant la décision juridique.
Et non l inverse.
Honte à la salariée qui ose répondre: « ne vous inquiétez pas, vous serez rembourser en fonction de la décision « </t>
  </si>
  <si>
    <t>02/03/2021</t>
  </si>
  <si>
    <t>seb-104936</t>
  </si>
  <si>
    <t xml:space="preserve">Tres déçu cette assurance il vous promet des remboursement ???
Assurance auto de ma fille après un sinistre la voiture ne rouler depuis un an,que  j ai payé , 
Et l agence de molsheim 67 000,
Mon promis le remboursement.
A ce jour, ne remboursement plus rien.
Attention à cette assurance...
Pas cher </t>
  </si>
  <si>
    <t>aek-104929</t>
  </si>
  <si>
    <t>Les prix sont inabordables. J'étais à la MACIF depuis 42 ans. Au début, c'était très bien mais aujourd'hui la MACIF se dégrade à tous les niveaux et c'est pour cela que je les quitte. Je payais 242€ pour une Peugeot 306 6cv de 2001 et on me propose 268€ pour une Clio 4cv de l'année 2001 !!! J'ai heurté (à 35 km/h) un trottoir par temps très sombre et pluvieux et j'ai éviter un chauffard qui me doublait dans un rond point. La Macif ne m'a rien remboursé. Pour mon habitation, je payais 450€ alors que maintenant je paie 237€ pour les mêmes garanties.
 Après la tempête Bella, ma barrière a été détruite. La Macif m'a remboursé 228€ pour un coût de 645€ !!! .  Je conseille de fuir cette Cie d'assurance.</t>
  </si>
  <si>
    <t>betbett--104287</t>
  </si>
  <si>
    <t xml:space="preserve">Si vous avez besoin d’une assurance, ne prenez surtout pas la MACIF car si vous avez un soucis de voiture (ex : crevaison) vous pouvez toujours attendre pour un dépannage express. 
Merci de m’avoir fait patienter 30 min au téléphone pour me dire d’attendre 1h la dépanneuse. 
Vraiment pour prendre l’argent ils sont MÉGA FORT mais pour venir en aide il n’y a plus personnes. </t>
  </si>
  <si>
    <t>16/02/2021</t>
  </si>
  <si>
    <t>eric--104135</t>
  </si>
  <si>
    <t xml:space="preserve">Après une demande de rdv avec mon conseiller, celui ci n à pas réussi à répondre à mes attentes. Il devait me téléphoner le soir même pour me donner une réponse après avoir consulté sa hiérarchie mais après une semaine aucune réponse.... </t>
  </si>
  <si>
    <t>gildo1961-104128</t>
  </si>
  <si>
    <t xml:space="preserve">Assurance assez chère pour une mutuelle malgré une très longue fidélité. Remboursement de sinistre jamais satisfaisant et mensualité payante. Ce n'est plus une mutuelle mais une machine à fric. 
Je vais changer cette année. </t>
  </si>
  <si>
    <t>chatoune-104125</t>
  </si>
  <si>
    <t>Globalement, le coût de mes assurances a sensiblement augmenté, ces dernières années,  je cherche donc une compagnie d'assurance moins chère. C'est bien dommage que l'on ne prenne pas suffisamment en compte le assurés qui n'ont jamais de sinistres et qui ne coûtent rien à la compagnie d'assurance.</t>
  </si>
  <si>
    <t>sab-103901</t>
  </si>
  <si>
    <t>Je ne conseille pas, 
Aucun geste commercial malgré le nombre d'années que j'y suis, 3 véhicules assurés, 2 mois de confinement, pathétique tout simplement</t>
  </si>
  <si>
    <t>linda-103753</t>
  </si>
  <si>
    <t>Aucune considération 32 ans de cotisations 50% de bonus et pas de chance 2 sinistres la même année et en retour résiliation de mon contrat. UNE HONTE!!</t>
  </si>
  <si>
    <t>05/02/2021</t>
  </si>
  <si>
    <t>stefan-103447</t>
  </si>
  <si>
    <t>Assuré depuis 1997 sans accident super bonus depuis plus de 12 ans , je paye mes cotisations , respectueux , depuis 1 an je suis retraité , il ya 2 semaines j'ai reçu une résiliation de cette MACIF motif " ALTÉRATION DE NOTRE RELATION COMMERCIALE" inhumain et inadmissible. Jamais d'accident c'est le monde a l'envers. Docteur D.Stephane</t>
  </si>
  <si>
    <t>amandine-71663</t>
  </si>
  <si>
    <t>Assureurs à FUIR !! Ils sont de mauvaise foi et inventeront des excuses pour vous radier! Nous avons eu un accident cet été sur l'autoroute. Il pleuvait très fort, nous roulions doucement mais en passant sur une grosse flaque nous avons fait de l'aquaplaning et avons perdu le contrôle de la voiture. À la suite de cet accident la Macif nous a radié sous de faux prétextes inventés. Dans leur courrier de radiation ils ont prétendu que nous avions déjà plusieurs sinistres, ce qui est faux, c'était le premier que nous avions. Et d'autre part, dans les circonstances de l'accident, ils ont prétendu que nous sortions d'un parking. Quand nous leur avons fait remarquer leurs erreurs, ils ont modifié les circonstances de l'accident tout en maintenant leur radiation et pour ce qui est de la multitude de sinistre, ils nous ont simplement dit que c'était un courrier type. Vous l'aurez compris, ce sont des gens qui ne pensent qu'à l'argent. nous payons une assurance tous les mois pour être couvert en cas de problème, je pense qu'ils n'ont pas bien compris le principe d'assurance. La Macif n'est qu'une machine à fric.</t>
  </si>
  <si>
    <t>27/01/2021</t>
  </si>
  <si>
    <t>deunia-48357</t>
  </si>
  <si>
    <t>Très déçu de la macif je ne recommande pas, je souhaite ne pas poursuivre avec eux pourtant cliente depuis 17 ans en assurance automobile, habitation.</t>
  </si>
  <si>
    <t>26/01/2021</t>
  </si>
  <si>
    <t>cordou62-102729</t>
  </si>
  <si>
    <t xml:space="preserve">après plus de 40 années sociétaire  de cette assurance on nous indique que le 31 mars 2021 nos contrats seront résiliés  ... 2018 accrochage véhicule  50/50 % en 2019 suite à une tempête  arrachage d'une partie de la belle voisine   j'ai dut faire le travail d l'expert  et envoyer photos et devis  mais après plus de 3 mois d'attente aucunes nouvelles de celui ci ,j ai dut recontacte cette assurance car des dégâts plus importants pourraient se produit donc augmentation des frais et rebelote pour l'expert qui c'est produit aussi pour le véhicule  
quittez cette assurance et voyez ailleurs plus intéressant sur sites comparateurs     </t>
  </si>
  <si>
    <t>15/01/2021</t>
  </si>
  <si>
    <t>jnp-102162</t>
  </si>
  <si>
    <t>Une honte... depuis 3 ans assuré à la MACIF j'ai besoin d'eux pour une affaire de lunettes cassées au collège (lunette de ma fille en 3ème). 3h00 au téléphone sans aucun résultat. A chaque fois pas le bon service... Quand ça ne coupe pas.... De l'incompétence à tous les niveaux.  N'y allez pas, et pour ceux qui y sont encore, bon courage</t>
  </si>
  <si>
    <t>cyril--101493</t>
  </si>
  <si>
    <t>Assurance qui va bien tant qu’on a pas de problème, aucun suivi individualisé, compagnie qui applique une législation généralisée qui ne tient malheureusement pas compte du cas par cas,  service clientèle (conseillers) qui sauve les meubles et qui essaye de faire son possible dans une politique managériale qui vise que rentabilité et profit. On se demande qui la Macif cherche à assurer entre elle-même et ses clients
Très décevant surtout après 15 années en tant que sociétaire, je m’apprête à les quitter sans regret</t>
  </si>
  <si>
    <t>fredosylvie-101389</t>
  </si>
  <si>
    <t xml:space="preserve">Bonjour,
J'ai bien pris connaissance de votre courrier pour la 2ème fois ! je vous confirme que mes pneus sont 1 millimètre au dessus du témoin à l'avant et au témoin à l'arrière donc à remplacer et non dangereux.
Je vous rappel qu'en trente ans de permis et des millions de kilomètre, je n'ai jamais déclaré le moindre sinistre.
Après avoir roulé sur pneu de poids-lourd en pleine nuit sur la voie de gauche de l'autoroute A20, j'ai déclaré un sinistre dont je vous refais l'historique :
-	Expertise de la BMW 530D Luxury dans un garage PEUGEOT ?????? le 10/11/20 par le cabinet Lang et associés : expertise bâclée par votre expert n'ayant déterminé d'où venait le bruit sous la voiture, a tout simplement décidé de ne pas le réparer ! sans oublier par contre de noter l'état des pneus qui sont à remplacer à l'arrière, mais en aucun cas dangereux.
-	Suite à notre appel pour vous demander si toutefois vous ne nous preniez pas pour des imbéciles ! Vous avez dû diligenter un deuxième expert le mardi 17/11/20 qui a constaté le bruit à l'arrière sans pouvoir en déterminer la cause. Néanmoins celui-ci a eu l'intelligence de la mettre chez BMW ! qui résolu le problème sans aucune difficulté. 
-	Retour chez Peugeot le jeudi 3/12/20 pour les travaux de carrosserie.
-	J'ai pu récupérer mon véhicule le mercredi 09/12/20 soit 1 mois après la première expertise ! je vous rappel qu'il s'agit de mon véhicule professionnel, je n'ai donc pas pu honorer mes rendez-vous pendant 1mois !
Je vous remercie de résilier mon contrat pour la seule et unique raison que mes pneux arrière étaient à remplacer, mais rassurez-vous je suis allé plus vite que vous car j'ai demandé la résiliation de tous mes contrats MACIF en raison de votre incompétance !!!
Je vous demande d'ailleurs de me faire parvenir dans la journée un releve d'information.
Une copie de ce mail sera envoyé à mon avocat et déposé sur tous les avis clients, ainci que sur les quelque forum auquel je suis adhérant…. J'entend bien parvenir un maximum d'assurés de vos méthodes.
A bon entendeur……
</t>
  </si>
  <si>
    <t>14/12/2020</t>
  </si>
  <si>
    <t>robin-101070</t>
  </si>
  <si>
    <t xml:space="preserve">Je n'ai jamais eu de sinistre, je ne peux donc pas les juger sur ce point. 
Ce que je peux dire est qu'ils ont un facheuse tendance a dire tout et son contraire au telephone : remboursement d'un cote en me disant que je pourrai regler le solde a la prochaine fois mais harcelement telephonique ensuite en recouvrement, alors que je leur rappelais leur engagement telephonique, dont ils n'avaient pas trace dans mon historique...
D'autant que vue la situation, les temps sont durs et je leur indiquais que je pouvais les regler en plusieurs fois, et comme reponse, on me balance une societe de recouvrement... sympa la Macif ! </t>
  </si>
  <si>
    <t>chamalow-101044</t>
  </si>
  <si>
    <t>Prix non négociables car "c'est une assurance qui appartient à ses clients et qui propose les meileurs prix" alors que je paye 46€ par mois pour une voiture de 2011 et avec laquelle je roule quasiment pas et que chez leur concurrent on me propose 22€ par mois. 
Et n'ayez pas le malheur de leur dire qu'un contrat vous intéresse car ca y est le contrat est souscrit sans signature, RIB, aucun papier (mais j'avais déjà d'autres contrats donc le rib ils l'avaient). Et bien sûr, ils m'ont envoyé les cartes tiers payants donc obligé de les renvoyer ou de se rendre sur place pour pouvoir résilier le contrat. Ca devient n'importe quoi. Il y a eu un temps ou la MACIF était bien. Aujourd'hui, à fuir !</t>
  </si>
  <si>
    <t>jacky-0259-75397</t>
  </si>
  <si>
    <t xml:space="preserve">Très mauvaise indemnisation suite à un sinistre automobile.
Mon fils a eu un accident avec un de nos véhicules, et celui ci a été déclaré économiquement irréparable. Ce véhicule était en parfait état avant l'accident ( 1 an et quatre mois avec 21000 km ). L'assurance nous a versé 1250 euros de moins que la valeur de marché ( Franchise de 250 € incluse ). Autant dire qu'il a été impossible de remplacer ce véhicule par le même en occasion !!! Sociétaire Macif depuis plus de trente années, j'envisage clairement de changer de crémerie, et je vous conseille vivement d'en faire autant.  </t>
  </si>
  <si>
    <t>franc-100938</t>
  </si>
  <si>
    <t>Je ne suis plus à la Macif car j'ai vendu mon véhicule et c'est là que les choses se compliquent.On vous demande de payer votre cotisation et on vous affiche verbalement que l'on vous déduira sur un prochain contrat la somme  de trop perçu. Je ne suis pas d'accord et pour cause, j'ai envoyé un certificat de cession du véhicule et après ils ne sont plus là .Je ne rentre pas dans les suites de cette affaire car je suis déçu ?Dernièrement,je me suis présenté a l'accueil  pour réclamer un relevé de situation et  pour cause....je suis en deuxième conducteur sur le véhicule de ma concubine et ceci depuis plus de 20 ans .Bien sur à la Macif elle aussi.Et là on me répond.....que c'est ma concubine qui doit demander le relevé.</t>
  </si>
  <si>
    <t>dyru-100685</t>
  </si>
  <si>
    <t xml:space="preserve">je souhaite faire part de mon mécontentement ,en gros si vous avez besoin de rien appelé la Macif et ses conseillers, pas de réponse aux questions (malgré une demande d'aide : je ne peux rien pour vous voila la réponse) merci au service juridique...., plusieurs erreurs et mauvais conseille j'ai envoyé des recommandés a leur demande pour rien , puisque c'était a la Macif de faire le nécessaire mais les conseillers joints au telephone on tous botté en touche , a ça c'est jamais de leur faute ou ils ne peuvent rien pour nous, courrier a refaire car mal écrit ou mal tourné 
franchement je pense allez voir ailleurs malgré les fresques 25 ans assuré chez eux , y a des gens bien mais franchement les mauvais conseillers leurs font de l'ombre
</t>
  </si>
  <si>
    <t>27/11/2020</t>
  </si>
  <si>
    <t>erwan56130-38628</t>
  </si>
  <si>
    <t xml:space="preserve"> Fidèle sociétaire de cette mutuelle depuis plus de 30 ans . je constate une dégradation progressive  des services. un temps d'attente téléphonique excessivement long... et des remboursements de sinistres très compliqués voire inexistants. on se demande même pourquoi on règle des cotisations d'assurance pour être si mal considéré. dommage et regrettable</t>
  </si>
  <si>
    <t>bilou-100463</t>
  </si>
  <si>
    <t>Suite a un sinistre ( vol de véhicule ) la première surprise est de constater que le vol n est pris en compte que si effraction visible ( genre serrure fracturées ou neman cassé , etc ) aujourd hui il y a des moyens pour ouvrir et démarrer une voiture sans effraction, faudrait vivre avec son temps et mettre a jour les experts  !! Donc sinistre il y a 6 mois, communication pratiquement inexistante, sinistre non reconnu, nomination de 4 experts et un huissier ( il y en a pour plus cher que le prix de la voiture ), j oubliai je suis sociétaire sans sinistre depuis 30 ans. la Macif a bien changée en abandonnant l esprit mutualiste ( sauf dans la pub, la derniere est magnifique ). Aucun respect pour l'assurer, si vous voulez de la considération et de l écoute, allez voir ailleurs</t>
  </si>
  <si>
    <t>24/11/2020</t>
  </si>
  <si>
    <t>moustache-100130</t>
  </si>
  <si>
    <t>tarif interessant il y a quelques années aujourd'hui la conccurence est forte je revois les tarifs pour avril en ce qui concerne le covid 19 aucun effort de votre part alors que certain conccurent font soit remboursement ou réduction des cotisations chez une n'y a pas d'avantage clients voir campings car cette année voir 4 à 5 mois sans sortir du garage cherchez l'erreur
francis courgeon</t>
  </si>
  <si>
    <t>zlo-100068</t>
  </si>
  <si>
    <t>Excellent service client, efficace et accueillant, temps d'attente raisonnable. L'interface de gestion est simple à utiliser. Un autre point important est la flexibilité de Macif par rapport aux cas particuliers comme c'était le mien avec une assurance étrangère d'Europe qui a été prise en compte pour le calcul du bonus/malus qui était tout à fait logique vu mon expérience passé et le manque de sinistres. Le seul bémol est le prix pour les véhicules au dessus de la gamme moyenne, le différence peut être très importante, dans mon cas près de 30e par mois.</t>
  </si>
  <si>
    <t>aary-99603</t>
  </si>
  <si>
    <t>Très déçus de l'assurance car ne veulent pas m'indemniser mon véhicule d'occasion incendier. Car je n'est pas de justificatif de paiement a fournir. Dommage</t>
  </si>
  <si>
    <t>03/11/2020</t>
  </si>
  <si>
    <t>troarn-99250</t>
  </si>
  <si>
    <t>Pas du tout réactif,
Tarif supérieur de au moins 20% sur Direct Assurance,
Partenaires ( expert ) réparations peu fiables et fluctuants.
Comme tout bon assureur, serait prêt a vous proposer un parapluie en pleine canicule.
Bref, si on a besoin de rien, ils sont là.
En clair, pas du tout rassurant, ni présent.</t>
  </si>
  <si>
    <t>bruno-99210</t>
  </si>
  <si>
    <t>Excellente assurance qui correspond à mes attentes. Les prix sont parfois un peu élevés, mais cela reste dans des limites correctes. J'espère simplement que les prix n'augmenteront pas car je n'en saisirais pas les raisons. En ce qui me concerne, c'est surtout l'extérieur qui est bien assuré. Je suis donc satisfait. Les remboursements sont satisfaisants. Les interventions sont satisfaisantes. Les rapports téléphoniques sont bons.</t>
  </si>
  <si>
    <t>pr-98892</t>
  </si>
  <si>
    <t xml:space="preserve">au sujet d'une dette de mon fils je me suis rendu dans l'agence macif on ma dit qu'il fallait voir avec le siege social ce que j'ai fait on ma dit on vous rappelle dans la journée j'attend toujours plusieurs jours après je les ai de nouveau appelé oui oui on vous rappelle dans la journée mais jamais eu un coup de fil de leurs part cela fait plus de 6 mois et la dette est a l'huissier je suis assuré moi depuis très longtemps chez eux mais je vais allé voir ailleurs </t>
  </si>
  <si>
    <t>jmc38400-98712</t>
  </si>
  <si>
    <t>et bien cela va etre assez rapide , j'ai rendez vous à 10 heures 
je me presente à 9H55 on me dit que MME FANNY va arriver . 
10H27 toujours personne ??? j'ai donc eu un monsieur pour lui signaler que je ne pouvais pas attendre plus longtemps et que le rdv etait à 10H !! je suis parti on devait me rappeler aujourd'hui et j'attend toujours !!!!</t>
  </si>
  <si>
    <t>13/10/2020</t>
  </si>
  <si>
    <t>gab-98625</t>
  </si>
  <si>
    <t>Parmi les moins chers du marché, mais contrats à tiroirs avec franchises difficiles à comparer, et aucun suivi du client, traité comme un "sociétaire" et non comme un client.</t>
  </si>
  <si>
    <t>jeremy54-98450</t>
  </si>
  <si>
    <t>Conseillers irrespectueux. Expertise douteuse (même quand vous n'êtes pas en tord et que les dégâts sont minimes). Je comprends mieux pourquoi cette assurance est parmi les meilleurs en terme de chiffre d'affaire. Mais dès que vous aurez besoin d'eux, n'y comptez pas. A leurs yeux nous sommes des tous des fraudeurs à l'assurance.
Je suis tellement écœuré par cette assurance que j'ai décidé de réparer ma voiture de ma poche et changer d'assurance. ça faisait pourtant plus de 15ans que j'étais à la macif. Mais évidemment quand vous payer pendant 15ans sans avoir besoin d'utiliser l'assurance, vous êtes un super client (pigeon)</t>
  </si>
  <si>
    <t>ixo-98368</t>
  </si>
  <si>
    <t>il ne faut jamais avoir de problèmes avec eux et je peut dire que ce sont des gens de mauvaise fois !!
je suis assuré chez eux depuis plus de 30ans ,je suis parti 3 ans,mais quelle connerie lorsque j'y suis revenue !
ne venez pas ici,il y a bien mieux ailleurs,je vais partir car j'en ai marre des incompétents etc .....</t>
  </si>
  <si>
    <t>nn212-98269</t>
  </si>
  <si>
    <t xml:space="preserve">A fuire à banir un camion ma rentré dedans et il m’indique que je suis fautif car je viens d’une voie d’insertion hors que j’étais déjà placer devant le camion quand il m’a percuté par l’arrière </t>
  </si>
  <si>
    <t>02/10/2020</t>
  </si>
  <si>
    <t>bea44-98218</t>
  </si>
  <si>
    <t xml:space="preserve">Véhicule bloqué dans un garage agréé depuis 4 jours, suite à une dégradation, rien n'avance, je suis bloquée dans une ville qui n'est pas la mienne. Au 0800774774 on me dit qu'ils ne peuvent agir sur le garage agréé par vos soins et qu'en raison du covid, les garages ont pris du Retard!!!!!! INADMISSIBLE </t>
  </si>
  <si>
    <t>didine-98091</t>
  </si>
  <si>
    <t>Suite au sinistre de mon père la macif à été incompétente,de nombreuses malfaçons ont été réalisées sur le véhicule de mon père dans un garage agréé par la macif au bout de deux ans  certaines malfaçons sont encore présentes !et ce malgré de nombreux déplacements et réparations dans un autre garage honteux!Après de nombreux appels sans réponses c'est usant!Moi même et mon père songeons à changer d'assureur.Je déconseille fortement la macif.</t>
  </si>
  <si>
    <t>obodesvignes-20579</t>
  </si>
  <si>
    <t>Je suis assuré MACIF depuis près de 20 ans. Les conseillers sont assez vite disponbles et vous posent les bonnes questions. Heureusement j'ai eu peu de sinistres mais ceux-ci ont été reglés normalement après le passage de l'expert de compagnie. Les primes annuelles en fonction des garanties et du bonus sont à un bon niveau.</t>
  </si>
  <si>
    <t>28/09/2020</t>
  </si>
  <si>
    <t>quentin-97862</t>
  </si>
  <si>
    <t>A 50 ans, aucun sinistre auto.. Je ne peux pas assurer 2 voitures ou plus à mon nom.
De plus, impossible d’assurer une voiture de plus de 100cv pour mon fils qui a plus de 4 ans de permis sans sinistres ..</t>
  </si>
  <si>
    <t>25/09/2020</t>
  </si>
  <si>
    <t>merylo-57976</t>
  </si>
  <si>
    <t>Cela fait plus de 10 ans que je suis à la Macif. J’ai d’abord eu un sinistre auto (non responsable). J’etais jeune conducteur, j’avais 19 ans. Ils ont profité de mon ignorance et de ma jeunesse pour faire trainer la procédure jusqu’à la prescription... ensuite j’ai eu un sinistre habitation (non responsable). Ils ont refusé de payer les dégats disant que c’etait à l’assurance du propriétaire de payer. Encore une fois, très déçu. J’ai fait une demande de résiliation de mon contrat suite à la cession de celui-ci. La demande a été faite le 22 juillet 2020. Nous sommes le 15 septembre et je continue à être prélevé de ma cotisation tous les mois. Je les ai relancé au moins trois fois et j’ai appelé directement le service client qui m’a dit qu’il ne pouvait rien faire. Je suis extremement mécontente de la Macif. Ils viennent de gagner un client perdu à vie. Ils font des prix bas, je pense les plus bas du marché mais quand je vois qu’aucun de mes sinistres n’a éte pris en charge, j’ai payé presque 15 and d’assurances pour rien. Ce qui fait en réalité très cher!</t>
  </si>
  <si>
    <t>15/09/2020</t>
  </si>
  <si>
    <t>michelb-97189</t>
  </si>
  <si>
    <t>Assuré depuis de très nombreuses années, j'ai subi un acte de vandalisme sur mon véhicule auto avec constat de police. Depuis 1er trimestre 2019, aucune avancée de mon dossier. Je suis en tout risque et toujours aucune indemnisation depuis un an et demi.
Un autre assureur m'a informé qu'au bout de 2 ans il y aurait prescription, et c'est manifestement ce que vise la Macif avec son total manque de diligence.
Une seule conclusion : ils prennent le fric et ne remboursent jamais.</t>
  </si>
  <si>
    <t>09/09/2020</t>
  </si>
  <si>
    <t>sergio-97056</t>
  </si>
  <si>
    <t xml:space="preserve">Assuré Macif depuis plusieurs années sans aucun accident, j'ai eu en juin dernier un accident en moto avec un type qui roule avec une camionnette et sans assurance qui m'a coupé la route et devinez la Macif cherche qui est responsable !!! Une blague le pire comme je n'avais ni témoins et pas de Webcam embarquée il m'ont mis 50/50 une honte sachez que si vous obtez pour cette assureur il vous laisse tomber à la première occasion et fera tout pour ne rien vous verser quant à moi je change illico de boutique... </t>
  </si>
  <si>
    <t>herve-16322</t>
  </si>
  <si>
    <t>Bonjour. Je suis par conviction syndicale partisan de la mutualité pour la couverture des risques des personnes.
Je suis donc un vieux mutualiste MACIF ( mon organisation syndicale étant dans les membres fondateurs )
Je dois constater que les services rendus par l'agence de proximité dont je dépends ne sont plus ce qu'ils étaient par le passé... Les employés ne prennent plus d'initiatives pour soutenir les adhérents pouvant avoir des problèmes particuliers. Ce sont des gestionnaires de dossier du siège qui traitent les problèmes sans contact particulier avec l'adhérent qui n'est plus qu'un simple client... Voilà une raison pour que les agences de proximité disparaissent et que la relation soit assurée par un robot sur internet c'est désolant.</t>
  </si>
  <si>
    <t>27/08/2020</t>
  </si>
  <si>
    <t>ahankale-96573</t>
  </si>
  <si>
    <t xml:space="preserve">Suite à une longue maladie et en incapacité de conduire pendant + de 12 mois (ma voiture jamais sortie de mon garage durant toute cette période, j'ai demandé à la Macif de bien vouloir faire un geste commercial sur le montant de ma cotisation d'assurance compte tenue de ma situation personnelle et surtout financière (perte de 40% de salaire). De même, j'ai voulu résilier l'assurance prévoyance accident que j'ai souscrite... Niet !... Tout m'a été refusé. 
De plus, il ne m'a pas été non plus accordé (ni proposé) le remboursement ou l'exonération de la prime d'assurance suite au confinement, comme la plupart des assurances se sont engagées à faire publiquement. Alors que je sais que la Macif fait partie de celles-ci... Déçue qu'ils n'aient pas plus le souci de leurs sociétaires. Une histoire de fric uniquement, dommage ! 
Mon opinion est claire. 
Je suis assurée Macif pour le logement, la voiture et la prévoyance accident ... Prime annuelle de 615, 48€. Je suis entrain de prospecter pour m'assurer ailleurs. Et suis surprise des tarifs beaucoup plus avantageux qui me sont proposés... Du simple au double. 
Logique ! </t>
  </si>
  <si>
    <t>adixo-96475</t>
  </si>
  <si>
    <t xml:space="preserve">Bonjour,
Je vais également partager mon expérience. Quand je vois certains avis je suis vraiment surpris.
Dans mon cas jamais eu de problèmes. Les conseillers que j'ai eu au téléphone, vraiment sympathiques et compréhensifs.
Il y a juste un "mais". Récemment je voulais assurer une nouvelle voiture en remplacement de l'actuelle. Une voiture plus puissante. Je passe de 5cv à 11cv. Je fais ma demande, ok pas de soucis. 
Un conseiller m'appels pour avoir plus d'informations, etc. Tout se passe bien. Sauf que ma demande passe en dérogation, car j'ai moins de 5 ans de permis. Ce que je peux comprendre. Je lui demande si c'est possible que ce soit fait rapidement (j'avais besoin d'avoir une attestation 15 jours après). Il me dit aucun problème, "je la fait passer en demande urgente". Donc, de mon côté c'est bon, j'ai plus qu'à attendre.
J'attends une semaine, je ne suis pas un forceur. J'arrive à être patient.
Mais sur la deuxième semaine, je commence à m'inquiéter. J'ai besoin de l'attestation pour la fin de la semaine. J'attends deux jours, mais toujours pas de nouvelles. La j'appels directement car je veux bien être patient, mais il y a des limites. 
Et c'est surtout pour apprendre que je ne peux pas être assuré. Au téléphone pas de problème non plus et le conseiller très gentil. Je n'ai pas de reproches à faire pour le service client au téléphone.
Ne pas pouvoir assurer la voiture, car trop puissante je veux bien l'accepter, mais ce que je n'ai pas apprécié, c'est de ne pas avoir eu de retour. Si je n'avais pas décidé d'appeler, je pense que je n'aurais pas eu de retour et adieu la voiture car l'attestation est trop importante. Je suis donc parti ailleurs. Et pas de problème pour assurer la voiture, ce qui m'a supris.
Bref, si vous voulez assurer une voiture, ne soyez pas trop patient comme moi.
</t>
  </si>
  <si>
    <t>scott-96466</t>
  </si>
  <si>
    <t>J'ai mis la note 1 car on ne peut pas aller en dessous. Si j'avais pu je serais même allé dans le négatif!! 
Suite à un accident de la route provoqué par un autre automobiliste,qui date de plus d'1 an, pas moyen d'avoir la personne en charge du dossier au téléphone... J'ai tous les jours un conseiller différent au téléphone, qui me dit que la personne que j'essaye de joindre est déjà en ligne, ou alors en vacances, ou alors allée pisser!! 
Après avoir lu  le procès verbal de gendarmerie qui incrimine l'autre personne, la macif a quand même décidé que nous étions 100% en tors, et a gentiment remboursé ce brave homme qui nous est rentré dedans est a ruiné notre voiture. Ils ont préféré rembourser ce mec, avec une grosse berline toute neuve d'à peine 5000km, plutôt que la notre expertisée à même pas 2000€...
Même les conseillers que j'ai au téléphone me disent que pour eux aussi c'est le bordel, qu'ils ne sont pas écoutés, et que en gros on leur dit "si t'es pas content tu te casse". 
C'est vraiment une HONTE</t>
  </si>
  <si>
    <t>milka-le-rouge--96347</t>
  </si>
  <si>
    <t xml:space="preserve">Moi cela fait 10 ans que je suis a la MACIF , je n'ai jamais u de problème , bon le 8 aout 2020 mon véhicule à prit feu quasiment en roulant y'a des témoins heureusement l'expert est déjà passer et les conseiller sont au top. On verras bien se que sa donneras je vous tiendrais au courant j’espère ne pas avoir les mésaventures de certain. 
Je vous garantie que je suis pas colistier de la MACIF mais bien un adhérant vu le nombre de mauvais commentaire. </t>
  </si>
  <si>
    <t>16/08/2020</t>
  </si>
  <si>
    <t>deeds-96258</t>
  </si>
  <si>
    <t xml:space="preserve">Je viens de m'inscrire à cette assurance. Un peu par obligation financière, il faut avouer qu'ils sont assez concurrentiel. Cependant, je peux déjà constater que le service est déplorable !! On conviens d'un rdv téléphonique mais ne rappel pas, quand toi tu veux les joindre c'est extrêmement long et fatiguant !!
Tout ce que j'ai a dire pour le moment... Jattends de voir la suite... </t>
  </si>
  <si>
    <t>devethi-95726</t>
  </si>
  <si>
    <t>+20ans  "sociétaire" avec contrat auto tout risques 2 voitures+habitation. A fuir ! 1er problème et l'assureur joue sur les mots pour ne pas indemniser. Le système de communication est verrouillé donc pas de communication. Il y a un gestionnaire de dossier du sinistre dont vous n'avez pas le numéro et donc que vous ne pouvez appeler pour vous expliquer. Obligé de passer par central appel qui transmet au gestionnaire. Si vous allez en agence, ce n'est qu'une façade. Très bon accueil, bonne écoute, compréhension du problème et avis partager pour finalement vous dire "je fais un compte rendu que j'envoie au gestionnaire" donc celà ne sert à rien. Engagement de la MACIF pour un remboursement partiel ( seulement le bris de glace) pour vous dire à la fin que non puisque le dossier a été créer en 1 seul sinistre et qu'il est refusé on ne peut prendre en charge ce pourquoi nous nous étions engagés. En bref, je le répète à fuir et c'est ce que je suis en train de faire ....</t>
  </si>
  <si>
    <t>kevinleroux80-95442</t>
  </si>
  <si>
    <t xml:space="preserve">Ayant eu un accident à 600 km de mon domicile (véhicule roulant juste matériel) le constat a donc été fait sur place, envoyé à la macif par mail, et une fois rentré à mon domicile (soit 1 semaine plus tard) j'avais une date pour l'expertise du véhicule.
Véhicule de prêt pendant les délais de réparation et un chèque de 20€ rendu pour motif 'dédommagement pour véhicule immobilisé' j'étais même très surpris d'avoir ce genre de geste.
Au niveau des tarifs sont chère (très chère) et le bonus ne prend en compte que sur le début de l'année, donc pendant 3 ans jeune permis, et jusqu'à janvier 2021 je vais payé ma cotisation tjr en jeune permis alors que je possède 0,85 de bonus et mes cotisations jusqu'à 2021 à 0,90 + forcément le tarif jeune conducteur. </t>
  </si>
  <si>
    <t>28/07/2020</t>
  </si>
  <si>
    <t>mao29-95039</t>
  </si>
  <si>
    <t>Ce jour, 24/07/2020, contact téléphonique avec une dame pas du tout aimable, à la limite de l'arrogance... J'attends un remboursement depuis plusieurs mois suite à une erreur de la Macif et j'en suis toujours au point de départ... Je ne suis pas du tout satisfait de certains interlocuteurs peu compétents et que l'on a l'impression de déranger lorsque celà sort de leurs compétences...</t>
  </si>
  <si>
    <t>24/07/2020</t>
  </si>
  <si>
    <t>yann31-94075</t>
  </si>
  <si>
    <t>assistance auto par téléphone à fuir ! attention panne automobile.</t>
  </si>
  <si>
    <t>14/07/2020</t>
  </si>
  <si>
    <t>cynthia-92968</t>
  </si>
  <si>
    <t xml:space="preserve">La société fait payer des frais d'échéanciers  pour un mois sur une nouvelle année alors que j'avais demandé un mois avant de résilier refus de leur part 
aucun dernier geste commerciale avec 10 ans d'ancienneté.
leurs details de calcul n'est pas clair </t>
  </si>
  <si>
    <t>marine74-92349</t>
  </si>
  <si>
    <t>Très déçu et en colère ! 
Une assurance auto qui est plus un bouffe à fric qu'autre chose !
6 ans que je suis cliente chez eux, je n'est jamais rien eux.
J'ai un premier sinistre qui viens pas de moi ! Il m'ont dis clairement qui ne feront rien !
Tu paye 60€/mois pour qu'il ne fasse rien même pas un geste commercial !
Je déconseille fortement.</t>
  </si>
  <si>
    <t>mike-90308</t>
  </si>
  <si>
    <t xml:space="preserve">Déjà assuré pour un véhicule je crée un devis sur le site nde la Macif. Malgré ma demande en ligne de souscrire, je dois appeler pour que cela soit fait.Mon interlocutrice tente de me vendre des options dont je n'ai pas besoin et va jusqu'à affirmer que c'est obligatoire. </t>
  </si>
  <si>
    <t>mous94-90225</t>
  </si>
  <si>
    <t>Contrat souscrit (nouveau client) en juin 2019. En 1 an la cotisation augmente déjà (sans aucun sinistre évidement) et j'apprends que mon bonus n'évoluera qu'en 2021. Merci macif, sans aucun sinistre. Je vais changer d'assurance dès maintenant.</t>
  </si>
  <si>
    <t>05/06/2020</t>
  </si>
  <si>
    <t>mm-89979</t>
  </si>
  <si>
    <t xml:space="preserve">Bonjour,
A ma souscription la Macif s'est trompée sur le niveau de garantie protection conducteur,
    également trompé sur mon âge et sur la reprise de mon bonus en m'enlevant une année. L'avis, les témoignages des assurés rejoignent les difficultés avec les chiffres chez Macif et le flou dans la présentation des sommes à payer. 
    Au bout de quelques mois une augmentation non pas à ma date anniversaire de souscription, de 15€ soit à peu près 5.25%! normalement les assurances doivent en parler mais le silence pour la Macif.
    Déjà qu'il y avait eu vraiment des maux pour ouvrir un compte sur le site internet Macif, que j'ai signalé une page qui ne va pas mais qui est restée inchangée, depuis cela se cumule en mauvais points.
    Ceci est la 3ème démarche pour qu'on me rende ma situation dans ma justesse de mon bonus car déjà 5%/ année c'est long à acquérir. 12 ans pour arriver à 50%.
    j'ai attendu longtemps au téléphone par 2 attentes et la 2ème n'en finissait vraiment pas puis a aboutit à une coupure de ligne. Econduite? Sans rappel. 
Les témoignages sur ce cite font part de leur ressenti que les compagnies n'ont plus d'âme, certaines fantômes.
Je viens d'envoyer ce texte au service relation gestion avec l'intitulé Réclamation, Service Qualité.
</t>
  </si>
  <si>
    <t>shoupette52-88519</t>
  </si>
  <si>
    <t xml:space="preserve">Une équipe dans notre Agence toujours à notre écoute , et sont très cordiales et professionnel </t>
  </si>
  <si>
    <t>20/05/2020</t>
  </si>
  <si>
    <t>mire27-89743</t>
  </si>
  <si>
    <t>Contrat souscrit (nouveau client) en octobre 2019. En avril 2020 la cotisation augmente déjà (sans aucun sinistre évidement) et j'apprends que mon bonus n'évoluera qu'en avril 2021 alors qu'il avait évolué en septembre 2019 avec mon précédent assureur.... Merci macif, double peine, sans aucun sinistre. Je vais changer d'assurance dès octobre...</t>
  </si>
  <si>
    <t>gabane-89640</t>
  </si>
  <si>
    <t xml:space="preserve">En attente de ma vignette verte depuis le 20 avril 2020, le service client Macif reste sourd à ma requete, pire, certaines conseilleres se montrent virulentes et infantilisantes envers moi sans pour autant traiter ma demande.
Et pourtant, un simple Clic et ma je reçois ma vignette par mail mais le service client préfère incriminer la poste, qui elle, fait de l'excellent travail car mon courrier je le reçois régulièrement. 
Super déçue de cette assurance qui m'a été conseillée par un membre de ma famille.
Manque de professionnalisme et absence de respect envers les sociétaires, un service client qui ne rappelle jamais et qui se cache derrière une crise sanitaire qui ne les empêche pas d'ailleurs d'effectuer leurs taches puisqu'ils teletravaillent!!!
MAUVAISE EXPÉRIENCE!!!!
</t>
  </si>
  <si>
    <t>14/05/2020</t>
  </si>
  <si>
    <t>romain-89546</t>
  </si>
  <si>
    <t>Suite à un accident matériel de la circulation en septembre 2019 je suis toujours à ce jour en attente d une expertise de mon véhicule ( 8 Mois ) . J ai contacté la MACIF à plusieurs reprises et toujours pas de nouvelles.... 8 mois à continuer de payer une assurance pleins tarif pour un véhicule hors d usage , 8 mois ou je me débrouille seule. Assurance à éviter vraiment . Cordialement</t>
  </si>
  <si>
    <t>12/05/2020</t>
  </si>
  <si>
    <t>toto-88730</t>
  </si>
  <si>
    <t>Je me suis fait arnaqué pendant des années au niveau des prix 660 euros au lieu 350 / an
Juste minable alors que normalement chaque année il devrait y avoir une réduction sur le prix et pourtant je n est jamais été responsable d'un accident.</t>
  </si>
  <si>
    <t>mich13-88496</t>
  </si>
  <si>
    <t xml:space="preserve">Suite à un sinistre non responsable déclaré le 22 février j'attends une décision de la MACIF. 
Celle-ci me demande de contacter l'expert qu'ils ont eux même mandaté le 05 mars.
Ce n'est pas mon job, je paie mes cotisations depuis de nombreuses années et je n'ai jamais eu d'accident.
Devant leur incapacité a réagir je vais devoir prendre une décision des suites à donner, devant remplacer ce véhicule avec reprise, avant le 26 mars.
</t>
  </si>
  <si>
    <t>23/03/2020</t>
  </si>
  <si>
    <t>nino-88488</t>
  </si>
  <si>
    <t>Assuré presque 30 ans pour une société, puis assurance auto personnelle 3 ans, suite a un bris de pare-brise , reçu lettre de résiliation contrat. BRAVO  la macif!!!! toujours du profit.</t>
  </si>
  <si>
    <t>bob-88128</t>
  </si>
  <si>
    <t>Ne correspond pas a son engagement</t>
  </si>
  <si>
    <t>09/03/2020</t>
  </si>
  <si>
    <t>calliopedu33-87670</t>
  </si>
  <si>
    <t>Assurance d'un camping-car très satisfaisante.
A chaque panne, une prise en charge rapide et efficace. En plus des remises sont accordées chez des professionnels affiliés.</t>
  </si>
  <si>
    <t>26/02/2020</t>
  </si>
  <si>
    <t>jph-87484</t>
  </si>
  <si>
    <t>je suis client a la macif de puis 1970 auto habitation multirisque et autres et je n'ai jamais eu aucun problèmes je recommande cette société</t>
  </si>
  <si>
    <t>gilou56-87203</t>
  </si>
  <si>
    <t xml:space="preserve">Je n'ai jamais vu un tel mépris pour ses sociétaires de la part d'une assurance. Tout naturellement, devant le mutisme de la macif à gérer mon dossier de sinistre auto, j'ai joint une conseillère extrêmement familière dans son discours jusqu'à lui demander si je ne la dérangeais pas et c'est là qu'elle m'a.....raccroché au nez!!!!???... .
Je l'avais lu sur ce site d'opinions et maintenant je le vis, incroyable!!!!... .La macif sait-elle qu'elle n'existe que par la contribution financière de ses sociétaires ou du moins ceux qui lui reste parce que en ce qui me concerne je résilie tous mes contrats dès cette semaine.
Cette assurance est une honte!!!! A éviter! </t>
  </si>
  <si>
    <t>16/02/2020</t>
  </si>
  <si>
    <t>beber28-87160</t>
  </si>
  <si>
    <t xml:space="preserve">Ne pas allez dans cette assurance je suis chez eux depuis 39 ans j'ai eu en tout et pour tout 2 accidents responsable et 4 pares brise soit 1 tout les dix ans là ont me vire comme un malpropre alors que j'ai 50% de bonus et aucun accident responsable ses dernières année pour la simple raison que j'ai eu 2 pares brises en 2018 et 1 en 2019 qu'ils regarde l'historique de leurs clients v il me prose de me couvrir sans le bris de glace hors de question du coup il vont perdre tout mes contrats et ceux de mon fils que j'ai fait entrer chez eux vraiment lamentable </t>
  </si>
  <si>
    <t>sevirash-85936</t>
  </si>
  <si>
    <t>Sinistre ou ma responsabilité n'est pas engagée (on me rentre dedans au feu rouge). On me change le parechoc et mes capteurs bip sans arrêt. Refus catégorique de changer les capteurs, ils veulent les recoller. 3 eme rendez vous, ça ne tient meme pas jusque chez moi. Ils ne veulent pas dépenser d'argent ils veulent coller. Il se fichent de savoir que c'est le 3 eme cP que je pose (donc de l'argent de perdu), ils me baladent depuis 3 mois. Quand on fait des mails ils répondent à coté et rien sur le coté financier. Cela m'aurait couté moins cher de changer mes capteurs à mes frais. La MACIF tout va bien tant qu'ils n'ont rien à payer ni à faire d'autre que de prélever la mensualité, mais après... il n'y a plus personne. Assurance que je ne recommande à personne. Très déçus par la qualité de la prestation.</t>
  </si>
  <si>
    <t>missnadou-85870</t>
  </si>
  <si>
    <t>Bonjour oui nombreux deboires avec la macif et tout le temps a cause sinistre et en plus non responsable indemnisaton au rabais et raport mediocre propos deplacer et versions differentes a chaques appels qui se finissent par resiliations a chaques coup pour motif altérations mdrrrrrrrrrrrrrrr</t>
  </si>
  <si>
    <t>14/01/2020</t>
  </si>
  <si>
    <t>thedude-85463</t>
  </si>
  <si>
    <t>La Macif se repose sur l'obligation que nous avons d'assurer notre voiture; elle propose des prix intéressant mais la prestation est nulle; ma prime c'est 100% de marge pour la Macif; un assureur est sensé mutualiser les risques non ? Je peux vous garantir que je chercherai un autre assureur en 2020</t>
  </si>
  <si>
    <t>03/01/2020</t>
  </si>
  <si>
    <t>alysmata-81499</t>
  </si>
  <si>
    <t xml:space="preserve">Très bonne assurance ! Les garanties peuvent être modulées en fonction des besoins. J'ai eut besoin d'être dépanné chez moi. Impeccable avec l'option 0km.
Je recommande donc cette assureur avec des garanties complètes que ce soit pour l'habitation ou autres </t>
  </si>
  <si>
    <t>30/11/2019</t>
  </si>
  <si>
    <t>amelie-81322</t>
  </si>
  <si>
    <t xml:space="preserve">Assuré macif depuis plus de 10 ans avec un sinistre (réparation de pare brise). Je suis en tous risques. Je me suis fais fracturé ma voiture est volé ce qui était à l'intérieur. Et c'est a ma grande surprise que j'ai appris que oui je suis assuré contre le vol mais de mon véhicule pas de son contenu. C'est une option. Ce que je reproche à la macif c'est de ne pas m'en avoir informé lors de la souscription. Il est facile de faire le prélèvement des cotisation mais de ne pas assuré le suivi et de ne pas donner les information nécessaire.   </t>
  </si>
  <si>
    <t>25/11/2019</t>
  </si>
  <si>
    <t>tony62540-81060</t>
  </si>
  <si>
    <t xml:space="preserve">on peux pas savoir pour son propre contrat sur internet,on c pas pour quoi on et assurer ,quand on compare vous être les plus chère, et toujours avec une franchise pourquoi ? </t>
  </si>
  <si>
    <t>16/11/2019</t>
  </si>
  <si>
    <t>xcar-80911</t>
  </si>
  <si>
    <t>Très satisfait</t>
  </si>
  <si>
    <t>12/11/2019</t>
  </si>
  <si>
    <t>jm-80125</t>
  </si>
  <si>
    <t>je suis parti de la Macif pour regagné l'olivier assurance, quelle incroyable erreur de ma part, la Macif a toujours était présente dans les cas de sinistres que j'ai pu avoir. En ce moment je vie un enfer avec l'olivier suite a un sinistre ou je ne suite pas en cause, je regrette amèrement  mon départ de chez la Macif, dans quelques mois je vais enfin être libéré de  l'olivier et je vais revenir chez la Macif.
Les assurances en ligne ne sont pas aussi performante que l'on vous l'aise croire, serte les tarifs sont attractif, mais il  ni a que sa!!!!</t>
  </si>
  <si>
    <t>cdavid-72090</t>
  </si>
  <si>
    <t xml:space="preserve">fuyez la macif et ses prestataires
Suite a un sinistre non responsable (chute d'un mur sur mon camping car stationné chez la société de gardienage ) du mois de decembre 2018,la macif a mis 5 mois pour m'indemniser
Vu les reparations importantes a realiser sur mon vehicule (remplacement du toit+refetion chassis et peinture des cotés et de l'arriere ) je decide de faire reparer mon vehicule directement chez le constructeur en allemagne
je convoi par mes propres moyens et a mes frais le vehicule en allemagne en juin
Le 14/08/2019 je reprend possesion de mon vehicule a l'usine en allemagne apres reparation et redescend en france
Au niveau de stutgart lors d'un brusque ralentissement sur l'autoroute un automobiliste me fait une queu de poisson et je heurte l'arriere de celui ci me  mettant de fait en tort
mon vehicule etant gravement endommagé il est pris en charge par un depanneur mandaté par inter mutuelle assistance prestataire de la macif a l'etranger
je suis rapatrié (en fait on me loue un vehicule) le 15/08/2019
apres de multiples appels a la macif et inter mutuelle assistance on me signale que mon vehicule va etre rappatrié par transport collectif jusqu'a son lieu de reparation
j'ecris a inter mutuelle assistance que mon vehicule etant tres imposant  (8 m de long et 3 metres de haut ) et incapable de se deplacer par ses propres moyen je suis contre le fait que soit utilisé un transport collectif
inter mutuelle assistance m'explique que le cout d'un transport individuel par depanneur est trop important et que par conscéquent il n'y a pas d'autre solution
je leur repond par ecrit que dans le cas ou ils decideraient d'utiliser un transport collectif se serait a leur risques et perils
mon camping car est arrivé chez le reparateur le 3 octobre (soit plus d'un mois et demi apres le siniistre)
a son arrivé le reparateur m'appelle pour me preciser que mon véhicule a des degats suplémentaires sur les cotés et a l'arriere
le reparateur emmet les reserves precises sur la lettre de voiture du transporteur  et j'envoi trois courrier recommandés (un a la macif,un a inter mutuelle assistance et un au transporteur )pour leur signifier ce nouveau sinistre et les mettre en cause 
A ce jour :
la macif me dit que c'est a inter mutuelle assistance de faire le necessaire et que par conscéquent ils ne peuvent rien faire
Inter mutuelle assistance me recontacte ce jour soit le 17/10/2019 (alors que mon recommandé date du 4/10/2019 )pour me dire qu'elle n'a pas eu le temps de regarder le dossier encore et qu'elle s'excuse
lors de la discussion elle me precise toutefois qu'il va falloir attendre de prouver que les degats suplementaire de mon vehicule a bien ete fait par le transporteur sans quoi il ne se passera rien
je lui precise a toute fins utiles que mon véhicule avait été repeint le 14/08/2019 et que dans tout les cas les degat occasioné sur celui ci ne pouvaient avoir été fait que par le transporteur ou le depanneur qui a gardé mon véhicule pendant pres de 2 mois a l'exterieur a proximité d'autres vehicules accidentés et que dans tous les cas c'etait des prestataires de inter mutuelle assistance dont ils étaient responsables
encore une fois je suis victime des agissements falacieux de compagnies d'assurances qui font tout pour se dedouaner de leurs devoirs
</t>
  </si>
  <si>
    <t>chucky-79603</t>
  </si>
  <si>
    <t>Il m'ont enlever la totalité de mon bonus pour un an sans assurance! Et il m'ont traiter de jeune permis alors que j'ai 3 ans et demi de permis de conduire. Les commerciaux n'ont absolument rien à faire que vous soyez client depuis plusieurs années et que vous ayez tous vos contrats chez eux. Je déconseille fortement et je transférerai tous mes contrats ailleurs!</t>
  </si>
  <si>
    <t>30/09/2019</t>
  </si>
  <si>
    <t>nicolas-79585</t>
  </si>
  <si>
    <t xml:space="preserve">Client depuis 2012 pour une assurance auto à la Macif, je décide d'en changer pour une équivalente moins chère fin 2018 (j'avais prévenu la Macif avant de le faire pour qu'ils me rattrapent, ils m'ont dit que c'était impossible de trouver moins cher...). Avec la loi Hamon, la souscription à ma nouvelle assurance résiliait donc automatiquement celle de la Macif... Et bien non : la Macif m'a créé deux contrats pour mon assurance voiture, et n'en a résilié qu'un des 2 . Je me retrouve donc à devoir payer une fin de contrat d'un truc incompréhensible, alors que je suis déjà assuré pour ma voiture ailleurs.
Au téléphone, on me fait comprendre que oui ce n'est pas normal, mais que la Macif joue là-dessus. Par courriel, je leur parle de ma situation et du côté pas très moral de ne pas avoir résilié le 2ème contrat... on me répondra juste qu'il faut payer.
J'ai de la chance ce n'est pas un gros montant, mais extrêmement déçu par cet assureur. </t>
  </si>
  <si>
    <t>leeloos-79460</t>
  </si>
  <si>
    <t>RAS</t>
  </si>
  <si>
    <t>ln76150-79408</t>
  </si>
  <si>
    <t xml:space="preserve">Je résume voiture volée le 27 juin 19 Voiture retrouvée le 30 juillet 19 Bien entendu aucune proposition l indemnisation n a été faite dans les temps Voiture toujours en fourrière depuis 54 jours 2300 euros de frais Les gestionnaires sinistres ne gèrent rien ils ne nous tiennent pas au courant et sont injoignables Un recommandé a été envoyé le 8 aout dernier Aucune réponse Je ne compte plus les appels ni les mails ni les relances </t>
  </si>
  <si>
    <t>23/09/2019</t>
  </si>
  <si>
    <t>dedel-79320</t>
  </si>
  <si>
    <t>nous avons une assurance tout risque pour une voiture que nous avons eu neuve en aout 2018 mais on se les fais vandalisés. on se prends 350euros de franchise rien n'est remboursé sauf que je me suis fâché a du coup le siège auto ok mais toujours en attente de remboursement depuis 3 mois et personne ne réponds bien-sur ou sinon pas au courant et balancé de service en service et ils ne font pas le lien entre l'expert et eux deplus on récupère notre véhicule les plastique sont mangé par le produit balancé dans la voiture lors du vandalisme ... A non pas vandalisme vole car ils ont piqué des truc dedans mais pour volé ils ont vandalisé ...</t>
  </si>
  <si>
    <t>victime-78978</t>
  </si>
  <si>
    <t>Client depuis plus de 20 ans, je suis déçu et ecoeuré  par la macif et je vais résiller mes contrats ainsi que plusieurs membres de ma famille ainsi et des amis. J"ai été victime d'un accident de la route le 10 juillet. Ma voiture est sinistrée totale. Mon dossier est en ordre, mon assurance payée en temps et en heure et depuis, la macif fait la sourde oreille. Impossible de pouvoir communiquer avec eux, pas de réponse par mail et quand je peux les avoir au téléphone,on me ballade un peu partout en France  en me faisant répéter. Mon fils a du renoncer à un emploi par manque de moyen de l'argent pour me racheter une nouvelle voiture, je suis isolé, loin de tous commerce  et je commence à douter de la macif qui est à fuir !!!!!</t>
  </si>
  <si>
    <t>05/09/2019</t>
  </si>
  <si>
    <t>booobom-78865</t>
  </si>
  <si>
    <t>Impossible assuré 2 véhicule même non
Pourquoi pas de reponce net est precise</t>
  </si>
  <si>
    <t>02/09/2019</t>
  </si>
  <si>
    <t>mel-78681</t>
  </si>
  <si>
    <t xml:space="preserve">Très très déçus et énervé contre la Macif assistance
En vacances en Espagne notre voiture tombe en panne impossible de rentrer en France avec
Nous faisons donc appelle à Macif assistance en France afin de trouver une solution
nous sommes renvoyés à la Macif assistance de Madrid 4 jours avant la date de notre départ d'Espagne
La on nous explique qu'il faut attendre le bilan du garagiste à des km et km de notre location concernant notre voiture et qu'on nous rappellera
Évidemment personne n a appelé
Nous avons appelés plusieurs fois par jours pour avoir des nouvelles mais rien
La veille de notre départ on nous annonces que la voiture est foutu on décide de la mettre à la casse
Macif assistance nous propose une voiture de location afin de rentrer en France qu'il faut aller chercher à des km et km de notre lieu de location journée gâché
Par la suite nous apprenons que cette voiture doit être déposé à la frontière espagnol car elle ne doit pas sortir du territoire et qu'un taxi nous sera envoyé pour rentrer à Lyon
Jour de départ comme prévu nous déposons la voiture à la frontière et faisons appel à Macif assistance pour le taxi
Après avoir attendu 1h en plein cagnard avec un bébé de 11 mois nous rappelons la Macif pour avoir des nouvelles du taxi
Ces derniers n'avaient toujours pas contacter de taxi pour nous rapatriers
Après avoir attendu 3h environ un taxi arrive Nous chargeons la voiture direction Lyon
Arrivé vers Perpignan le taxi sort de l'autoroute et roule sur les nationales avant de s'arrêter à Nîmes et de nous dire que nous sommes arrivés Surpris on lui dit que non que nous sommes de Lyon et non de Nîmes 
Le chauffeur nous montre sur son portable l'adresse donné par la Macif assistance et nous dit que non c'est bien Nîmes et que si il aurait vue Lyon il n'aurait jamais accepté la course
Nous essayons de joindre la Macif assistance de Madrid qui nous envoie clairement sur les roses en nous expliquant que Nîmes est notre adresse et que si nous voulons aller à Lyon il s'agit d'un nouveau voyage enfin bref impossible de se faire entendre et comprendre
Nous sommes sur un bord de route il est environ 21h
Au final Macif assistance nous annonce qu'ils ne peuvent plus rien faire pour nous
qu'on doit se débrouiller seul et pas poliment 
Le taxis nous dépose et rentre en Espagne
À nos frais nous avons du trouver un hôtel de quoi se restaurer et de quoi rentrer à Lyon le lendemain
Tout cela est inadmissible manque de gestion incompétence assistants virulents enfin bref il n'y a pas de mot pour d'écrire une assistance qui vous laisse au bord de la route à des kilomètres de votre domicile un bébé au bras. </t>
  </si>
  <si>
    <t>25/08/2019</t>
  </si>
  <si>
    <t>mathieu-77936</t>
  </si>
  <si>
    <t xml:space="preserve">J'ai souscrit une assurance auto par téléphone et quand j'ai reçu l'échéancier par courrier ils avaient rajouté 18 euros de plus par mois par rapport au contrat initial effectué par téléphone et pour eux c'était normal c'est la garantie dommage qui est à part sauf que par téléphone j'avais précisé que je voulais pas cette garantie. Donc j'ai utilisé mon droit de rétractation </t>
  </si>
  <si>
    <t>26/07/2019</t>
  </si>
  <si>
    <t>loulou-77906</t>
  </si>
  <si>
    <t>On paye une cotisation et le service n'est pas à la hauteur. 8 à 12 mois pour dédommager un sinistre.
La macif a baissé en qualité de ces garanties .
FUYEZ  MACIF!!</t>
  </si>
  <si>
    <t>ay2019-77241</t>
  </si>
  <si>
    <t>Seule la logique financiere compte et sont pret a mentir pour ne pas rembourser. ( cas de vol de ma voiture ). Très étonnant de la part d une société qui prétends être une mutuelle.... aucun sens humain.</t>
  </si>
  <si>
    <t>wulfy-76930</t>
  </si>
  <si>
    <t>10 ans chez eux, quasi pas de sinistres (donc je ne pense pas etre un "mauvais client" pour eux.
Par contre dès que le dossier a le moindre problème le service client n'est pas au service de l'assuré.
- ils disent faire le nécessaire et ne font rien 
- ils ne savent pas entendre l'exaspération du client qu'ils dénigrent rapidement avant de l'ignorer.
Exemple:
- je fais intervenir un serrurier qui fai du mauvais travail, il passe 4 fois sans solution en se trompant sur le matériel et la Macif ne réagit pas. Je fais le nécessaire pour moi même aller chercher un autre artisan, la macif dit envoyer un expert pour vérifier le reste à faire: celui ci ne vient jamais.
Enfin, quand je fais part au service qualité que je suis mécontent des 3 mois d'attentes et 4j pris sur mes vacances pour recevoir les divers artisans, mon interlocuteur me dit "et vous voulez qu'on fasse quoi? Vous etes pas le seul monsieur à avoir des problèmes" 
- plus récemment, je demande à faire réparer ma voiture dans un garage non agréé. L'expert fait 2 devis avec des montants différents. La macif dit devoir le contacter pour comprendre : Ils ne m'ont jamais expliqué quoi que se soit. J'ai eu 3 appels qui découvraient à chaque fois le problème et m'ont dit "faire le nécessaire"... Au final j'ai harcelé l'expert pour avoir l'explication.
Sans compter la messagerie de la Macif qui répond à un mail de ma part de 15lignes en une phrase sans bonjour ni merci "L'expert nous informe que vous n'avez pas fait réparé votre véhicule. De ce fait, le rapport reste inchangé."
Honteux alors que ca fait 10ans chez eux ...
Donc si les prix vous intéressent pourquoi pas, sinon laissez tomber vous serez un numéro vite catégorisé en "client chiant" si vous demandez du service et ça se sentira dans les échanges...
L.</t>
  </si>
  <si>
    <t>sanouche-76813</t>
  </si>
  <si>
    <t xml:space="preserve">Bonjour j'ai le même problème que d'autres membres ici...Je résilie mon contrat souscrit le 1 Juin 2018 un an après... oN m'annonce que mon bonus reste à 1!! prquoi parce que la date d'écheance est tous les Avrils alors à 2 mois j'aurais pu bénéficier du 0,95!! Vous pensez que la conseillère en agence m'a prévenu? NON. Je perds un an. Donc je résilie, la pilule ayant du mal à passer. Par recommandé. Quelques jours après on m'annonce que ma Garantie Accident de la Vie n'est pas résiliée et que je dois 157,69 euros et que c'est reparti pour un an!?! A quel moment vous arretez de prendre les gens pour des pigeons, le bouche à oreille est redoutable et vous faites vraiment de moi une GRANDE Décue! </t>
  </si>
  <si>
    <t>15/06/2019</t>
  </si>
  <si>
    <t>alvedan-76606</t>
  </si>
  <si>
    <t xml:space="preserve">
Simple avis d'information pour l'instant. Je cherchais à m'assurer en ligne pour ne pas avoir affaire à une personne physique, j'ai trouvé une accroche avec la Macif intitulée ''Souscrire en ligne'', j'ai rempli le formulaire pour mon véhicule secondaire que j'utilise uniquement sur de courts trajets sans risques, et je m'apprêtais à payer en ligne lorsque le formulaire s'est conclu par : ''Un conseiller vous contactera pour rendez-vous.'' Je trouve ça stupide et trompeur, cela aurait dû être mentionné dès le départ et s'intituler ''préenregistrement en ligne en vue de rendez-vous''. 
En effet, on m'a téléphoné mais juste la veille de mon échéance. J'allais souscrire ailleurs, ils ont eu chaud.L'opérateur au téléphone, très correct, a pris les renseignements manquants et m'a demandé un acompte par carte bleue, chose dont j'ai horreur par téléphone et qu'il faut éviter pour des raisons évidentes, mais je me suis quand même risqué à verser cet acompte. Bon. Confirmation reçue par mail, rien à dire sinon qu'ils auraient pu se passer de ça. Je me suis alors rendu au rendez-vous, là on m'annonce qu'il y a 10 euros de droits d'entrée. Cela non plus, ça n'apparaissait nulle part, et l'opérateur ne me l'avait pas dit quand j'ai versé l'acompte. 
Ce sont des détails, mais lorsque les choses ne sont pas claires dès le départ, ça veut bien dire qu'il ne faudra pas trop se faire d'illusion sur le traitement d'un éventuel sinistre.
</t>
  </si>
  <si>
    <t>08/06/2019</t>
  </si>
  <si>
    <t>marie-75762</t>
  </si>
  <si>
    <t>Assurance qui travaille avec un cabinet d'experts qui refusent systématiquement la prise en charge de la totalité des réparations à effectuer sur les véhicules après sinistres.</t>
  </si>
  <si>
    <t>09/05/2019</t>
  </si>
  <si>
    <t>mahon-75657</t>
  </si>
  <si>
    <t>Je ne jugerai que la partie centre d'appels pour réaliser un devis auto. En effet, j'ai appelé pour avoir un tarif auto, un conseiller m'a dit que je retrouverai ce devis dans mon espace personnel et qu'il,me rappelerai pour faire un  point. Voyant qu'il ne me rappelle pas, je rappelle et personne ne retrouve mon devis, ni trace de ma demande du matin.
On me refait un devis et surprise, le prix a augmenté de 215e, je crois a une blague mais non! la conseillère s'en fiche et me parle désagréablement.
Ayant fait un devis par internet également, je me retrouve au final avec 3 prix différents! 
Je lui dit de laisser tomber et je vais trouver une autre assurance.
 Déplorable service clientèle
A fuir...</t>
  </si>
  <si>
    <t>06/05/2019</t>
  </si>
  <si>
    <t>jeanalin-75338</t>
  </si>
  <si>
    <t>A fuir!!! Service client et gestionnaires de dossier incompétents On est la que pour payer les échéanciers et quand un sinistre survient cette assurance trouve le moyen de trainer votre dossier ou voir refuser l'indemnisation prévu selon les termes du contrat mon avocat est actuellement en cours de saisir le tribunal de grande instance car seul moyen d' obtenir mon indemnisation Ça fait 5ans que je suis client à la avec plus de 5 contrats aucune considération par cette assurance de mauvaise foi qui ne pense qu'a leur intérêt et vous laisse en difficulté.</t>
  </si>
  <si>
    <t>ahmed94-75068</t>
  </si>
  <si>
    <t>le service client de la Macif est tout simplement horrible car j'ai attendu 47 min et je n'ai eu aucune réponse et heureusement que j'ai raccroché sinon la facture téléphonique serait énorme.C'est vraiment un manque de respect envers ses client qui a une grande ancienneté.</t>
  </si>
  <si>
    <t>14/04/2019</t>
  </si>
  <si>
    <t>viny63-72404</t>
  </si>
  <si>
    <t>La honte, assureur qui est efficace quand il ne se passe rien, n'aime pas les anciens, c'est ainsi que mon père de 84 ans vient de se faire virer, 2 accidents certes responsable (pas de chance) en 25 ans. N'ont pas été à l'écoute d'un doute sur le 2ème incident, on pensait qu'il s'était fait rouler par la partie adverse, ils s'en foutent royalement.
Difficile de retrouver ailleurs merci la MACIF. Nous avons retrouvé ailleurs mais à quel prix !</t>
  </si>
  <si>
    <t>22/03/2019</t>
  </si>
  <si>
    <t>16pluie-72190</t>
  </si>
  <si>
    <t>QUELLE DROLE D'ASSURANCE.REFUS DE RENOUVELER le contrat parce que 3 sinistres déclarés en 4 ans, dont un bris de glace (bien sur nous sommes responsables ... des cailloux sur la route et les deux autres sans accident juste des réparations) ils savent bien encaisser la franchise et les mensualités mais vous n'avez aucun droit surtout après 35 ans d'assuré chez eux.</t>
  </si>
  <si>
    <t>15/03/2019</t>
  </si>
  <si>
    <t>alexandre-72056</t>
  </si>
  <si>
    <t xml:space="preserve">Tarifs extrêmement cher (j'ai gagné 180 euros avec les mêmes garanties en passant chez Direct Assurance). La fidélité n'est absolument pas récompensée et si vous pensiez faire des économies en faisant un regroupement de vos assurances ni penser plus. Vous attendrez systématiquement entre 5 et 15 minutes pour avoir un conseiller qui la plus part du temps est d'une incompétence monstrueuse, est désagréable et hautain.  </t>
  </si>
  <si>
    <t>11/03/2019</t>
  </si>
  <si>
    <t>emma-71861</t>
  </si>
  <si>
    <t>Prise d otage</t>
  </si>
  <si>
    <t>04/03/2019</t>
  </si>
  <si>
    <t>yakkar-71116</t>
  </si>
  <si>
    <t xml:space="preserve">A la Macif depuis plus de 19 ans et dieu merci aucun accident mais voici mon avis 
J ai eu également un léger accrochage avec un autre vehicule. J’ai declarer le sinistre par le site de la Macif. Je suis très mécontent du services rendu par la Macif. En particulier là partie expertise : impossible de les’ joindre par téléphone pendant les heures de travail. Comme c’est la première fois que cela m’arrive j’ai été directement au cabinet d’expertise pendant mes heures de travail. J’ai eu beaucoup de difficultés à trouvés et L’expert est  excrément froid. il réalise une estimation quelque jours plus tard et  des frais annoncés par téléphone à deux reprise aux alentour de 400 euros qui correspond au montant de la franchise que je dois payer. Je signale mon problème à la Macif afin qu’il prenne en charge là totalités des frais. En la je viens de recevoir le rapport de l’expert qui passe à 250 euros mais est incomplet puisqu’il manque un feu et le bouclier arrière gauche habimes
je ne comprend plus rien puis je suis assurer tout risque et j’espères prendra en charges les frais.
J’ai fais une réclamation cet après midi sur le site 
Si aucune réponse d’ici lundi je change d’assurance car je nhose même pas imagines les conséquences’ si les dégâts était plus important 
</t>
  </si>
  <si>
    <t>09/02/2019</t>
  </si>
  <si>
    <t>jessica91750-70933</t>
  </si>
  <si>
    <t>Je vous partage mon expérience, on m'a volé ma voiture, aucun suivi des services de la MACIF! J'ai été obligé de les appeler plusieurs fois pour avoir les infos relatives a mon dossier, aucun professionnalisme.
On me mène en bateau depuis le 31/12, malgré une indemnisation de mon véhicule suite au vol, ces derniers continent de me prélever! normal sans aucun soucis pour eux et lorsque je fait savoir que ce prélèvement n'est plus justifié ces derniers me demande un mail, chose faite. 
A ce jour la MACIF reconnait me devoir mes 2 mensualités mais me remboursera cette somme dans 2 mois!!!!!!!! Prenant comme prétexte un délais de prévenance.
Donc la MACIF vous prélève a tort en toute détente et pour couronner le tout on vous demande d'attendre 2 mois afin que vos "trop versés fassent des petits sur leurs comptes" .
FUYEZ!!!!!</t>
  </si>
  <si>
    <t>mamie-70796</t>
  </si>
  <si>
    <t xml:space="preserve">J ai tout chez vous ! Vous venez de virez mon fils car 2 accident en 2 ans dont un pare choc jeune conducteur comme cous vous l avez été ! C est trop facial de garder que ceux Qu on du bonus donc je vais certainement partir de chez vous aussi  pourtant tout est chez vous... </t>
  </si>
  <si>
    <t>31/01/2019</t>
  </si>
  <si>
    <t>charly-70032</t>
  </si>
  <si>
    <t>choc arriere meme sens de ciculation n'ayant pas de formulaire de declaration et le responsable non plus;,je dois payer une franchise bienqu'assuré tout risque et que j'ai fait le necessaire sur internet inadmissible!changement assurance prévu</t>
  </si>
  <si>
    <t>09/01/2019</t>
  </si>
  <si>
    <t>vitesse614-69963</t>
  </si>
  <si>
    <t>Globalement tres satisfait de leurs services</t>
  </si>
  <si>
    <t>frank-69037</t>
  </si>
  <si>
    <t>Bonjour, j'ai eu un accident le 15/08/18,une voiture ma percuté mon véhicule en grillant un feu rouge, il voulait pas signer , la police ne voulait pas de déplacer en disant de voir avec assurance, il y avait un témoins qui a envoyé son rapport à l'assurance. macif me dit irrecevable car le.nom ne correspond pas pourtant le courrier il a reçu chez lui le numéro de téléphone est le bon.
Voiture se trouve toujours chez le dépanneur,macif quand je contacte il me disent d'attendre que gestionnaire me rappel, qui me rappel jamais .quand je me déplace en agence ils me  disent la même chose. Je me sent impuissant a ma situation ne sachant pas quoi faire. aucune aides de leurs parts nous somme le 30.11.2018 macif ma jamais rappelé, pourtant chaque semaine je les rappel..... je sais pas si je dois rapporter affaire vers julien Courbet qui pourras faire quelques choses.</t>
  </si>
  <si>
    <t>30/11/2018</t>
  </si>
  <si>
    <t>fred-68991</t>
  </si>
  <si>
    <t xml:space="preserve">non seulement le temps d'attente au tel est très long mais en plus la personne est très très mal aimable!! 
numéro de client saisi 2 fois sur le clavier et mon interlocutrice me le redemande!! au bout de 15 min d'attente!! </t>
  </si>
  <si>
    <t>28/11/2018</t>
  </si>
  <si>
    <t>sebastien91090-68931</t>
  </si>
  <si>
    <t>bonjour madame monsieur je suis chez vous depuis 10 ans aucun accident j ai un contrat habitation et 2 contrats de voiture en effet le 19/11/18 mon garçon a eu un accident un refus de priorité sur une route a double sens de la partie adverse le constat la personne a cocher la casse 13 et 15 se qui signifie qu il et bien en tort a 100  de notre coter nous avons cocher aucune casse on nous répond a l agence ou j ai déposer le constat que je vais être a 50/50 a cause du croquis mal fais on a meme essayer de proposer un compte en banque a mon garçons a l agence de moissy cramayel je suis vraiment écœurer mon fils a éviter un choque frontal la partie adverse et bien en tort a 100% on me parle de dessin de plus on et le 26/11/18  jai appeler plusieurs fois votre plateformes je tombe sur des gens vraiment désagréable j ai qu une hâte d avoir le résultat pour changer d assurance</t>
  </si>
  <si>
    <t>26/11/2018</t>
  </si>
  <si>
    <t>jose-67218</t>
  </si>
  <si>
    <t xml:space="preserve">Fouillez la MACIF parce que ils feront tout pour ne pas vous  indemnises en cas de sinistre
J ai  moi meme ete cambriole  a  deux heures du matin alors que l on  dormait ils sont montes par les balcons  ils on pris tout ce qui etait de valeur et en plus  la clef de notre voiture
Les cambrioleurs on fait une course poursuite Sur MARSEILLE avec accident à l'arriere de la voiture 
Cout de la réparation 3600 euros que la MACIF ne veut rien savoir.
Ils ne veulent rien savoir et mon même arrete l'assurance le jour du vol du vehicule.
Même les autres assureurs sont étonnés de leurs réactions et je Suis assure depuis quarante ans chez eux
Je mettrais un commentaire toutes les semaines et Sur tous les FORUM </t>
  </si>
  <si>
    <t>30/09/2018</t>
  </si>
  <si>
    <t>gilbert-67039</t>
  </si>
  <si>
    <t>J' ai presque toutes mes assurances chez Macif et Heureusement pour moi je ne peux la juger sur ses remboursements et prestations car il y a bien des années que je n' ai eu affaire avec cette assurance .
En moyenne , les tarifs pratiqués pour ma voiture et ma moto sont relativement corrects par rapport à certaines autres assurances qui ,bien que proposant des tarifs plus alléchants,ne remplissent pas les mêmes conditions .
Le seul inconvénient pour moi  rencontré , est pour l' assurance de mon voilier ! Là , "ils" ne sont pas du tout compétitifs !!! Dommage pour une assurance qui sponsorise des voiliers de course détenteurs de records autour du monde .</t>
  </si>
  <si>
    <t>patrick-66936</t>
  </si>
  <si>
    <t>Client depuis 40 ans, changement de région du nord au sud et en plus en arrivant dans le sud changement de voiture. je peux vous dire que la fidélité ne paie plus. je paie plus cher pour une Peugeot 208 que pour une Peugeot 2008</t>
  </si>
  <si>
    <t>18/09/2018</t>
  </si>
  <si>
    <t>hoggar-66908</t>
  </si>
  <si>
    <t>Pas de commentaire particulier tres bonne assurance à l'écoute de ses clients très disponible client depuis de nombreuses années je suis très satisfait de  leur condition tarifaire et de la rapidité è gérer les sinistres</t>
  </si>
  <si>
    <t>tsacc-66893</t>
  </si>
  <si>
    <t xml:space="preserve">A éviter quand il y a un problème personnes est capable de répondre j'attand un remboursement .en agence pas de réponse au téléphone 30 jour pour être rembourser je rappelle après 30 jours on me dit que c'est 60 jours ils connaissent pas vraiment leurs travaille puisque tout est écrit sur ordinateur du n'importe quoi et je parle même pas de la banque avec qui ils sont associés </t>
  </si>
  <si>
    <t>daniel-66647</t>
  </si>
  <si>
    <t>impossible d'avoir une information fiable, les conseillers
sont incompetent, et on vous resilié votre assurance
, sans motif reelle. a bannir macif à fuir.</t>
  </si>
  <si>
    <t>06/09/2018</t>
  </si>
  <si>
    <t>any380-66607</t>
  </si>
  <si>
    <t>Je suis assuré chez la Macif depuis longtemps. J'ai voulu assuré un nouveau véhicule mais elle veut pas l'assuré car j'ai un malus de 25 %, par contre elle acceptait bien d'assurer mon ancien véhicule. je ne comprends donc rien à leur façon de procéder.</t>
  </si>
  <si>
    <t>luc-66231</t>
  </si>
  <si>
    <t>Ma déclaration n'est ni erronée, ni frauduleuse. Tout s'est passé comme je l'ai dit. Les experts font des erreurs, le système ne fonctionne pas, et vous le savez.
Je n'ai pas le temps ni l'argent pour faire venir un autre expert. Je payerai donc les réparations de ma poche.
Au déplaisir de se faire traiter de menteur une fois prochaine...</t>
  </si>
  <si>
    <t>sylvainc-66202</t>
  </si>
  <si>
    <t>Client depuis une quinzaine d'années à la Macif, j'ai 5 contrats chez eux ( voitures, moto, assurance scolaires, domicile,...)
Jusque là tout se passait bien et je trouvais le service client réactif.
Visiblement depuis quelques mois les choses ont bien changé, lorsque j'appelle pour autre chose que pour souscrire une option je tombe sur des interlocuteurs malaimable ou qui envoient sur les roses.
La Macif il y a un gros problème chez vous et il va falloir se ressaisir
Fin juillet, le volant moteur 
Et embrayage casse sur notre voiture principale et ce sur le lieu de vacance de mon épouse. La Macif est appelée et notre voiture est remorqué au garage Ford agréé le plus près.
Après m'être fait soulagé par le garage de 1900e pour la réparation, la Macif met à la disposition de mon épouse un taxi pour aller au garage.
Manque de chance, il y a un problème sur les réparations effectuées, j'appelle la Macif en leur rappelant que ce garage est agréé par leur soin et que je souhaite donc du soutien de leur part pour trouver une solution amiable avec le garagiste
Première  réaction de mon interlocuteur : bien sûr nous allons vous soutenir et faire pression sur la garage. 
Ledit interlocuteur me mets en attente pour consulter sa hiérarchie et là...nous ne pouvons rien faire car ce n'est pas nous qui avons agréé le garage c'est inter mutuelle assistance donc il faut voir avec eux...(Ah bon? Mais c'est pourtant chez vous que je suis client non??) Inter mutuelle assistance me renvoie évidemment vers la Macif...
Après avoir expliqué à mon interlocuteur que je trouvais que la Macif n'allait pas au bout des choses pour défendre l'intérêt de ses sociétaires, ce dernier me répond que ce n'est pas forcément mieux ailleurs...belle politique qualité!
Au final, je dois me rendre à l'évidence, la Macif n'est pas mieux que les autres (contrairement à ce que je croyais depuis 15ans), vous payez votre cotisation mais au 1er sinistre venu il n'y a plus personne.</t>
  </si>
  <si>
    <t>15/08/2018</t>
  </si>
  <si>
    <t>zaza-65262</t>
  </si>
  <si>
    <t xml:space="preserve">Assurance qui à un service client médiocre,à la suite d'un sinistre j'ai reçu 272 euros pour la réparation de mon véhicule ainsi que le remplacement.
Seul bémol le rétroviseur coute 350 euros. </t>
  </si>
  <si>
    <t>04/07/2018</t>
  </si>
  <si>
    <t>cam-64974</t>
  </si>
  <si>
    <t xml:space="preserve">Decu !
Apres un 1 et demi de contrat avec eux on a notre voiture qui est tombé en panne ( voiture morte ), ils ne veulent pas résilier le contrat tant qu on a pas une autre voiture . on a donc acheter une autre Voiture ( bmw) et ils ne veulent pas nous assurer car ils disent que notre dossier comporte un accident alors que c etait un "accident a l arret" la voiture n a pas meme pas eu de choc.
La bmw doit etre trop chère pour etre prise en charge par la macif ... </t>
  </si>
  <si>
    <t>21/06/2018</t>
  </si>
  <si>
    <t>ginhub-64770</t>
  </si>
  <si>
    <t xml:space="preserve">
Assuré à la Macif depuis plus de 30 ans pour tous mes contrats, plus placement livret vie. Je constate depuis quelques temps le changement de comportement de la MACIF envers ses sociétaires. J’avais un C4 Picasso depuis 2012 assuré à la Macif,  aujourd’hui je change de véhicule, T-ROC  on me refuse une assurance tout risque pour celui-ci. Mon fils à eu un accident responsable début 2012 avec notre voiture qui était à l’époque une Volkswagen. Mon fils n’habite plus chez nous et travaille à l’étranger.  Surpris je me suis rendu à mon agence Macif de Challans, on m’explique que devenant  propriétaire d’une voiture Volkswagen parait-il haut de gamme ? on me refuse l’assurance à cause de cet accident de 2012 que mon fils a eu.   Je suis paraît-il un conducteur à risque ?? Ce n’est pas moi qui conduisait. </t>
  </si>
  <si>
    <t>abed-64306</t>
  </si>
  <si>
    <t>dommage qu il ne soit pas possible d enlever  toutes les etoiles parce que les garanties macif ZERO.on vous appate avec une assurance "tout risque" on ne vous fait signer qu un contrat mentionant le conducteur le vehicule votre bonus et les garantie avec les differentes franchise...je n ai jamais recu d autre contrat.jusqu au jour ou mon vehicule un porsche cayenne a ete vandalise (rayure sur toute la voiture) j ai donc depose plainte declare le sinistre et emmene ma voiture chez l expert et la cimmence la mesaventure.ma voiture est equipe d un covering qui est considere comme un accessoire.tiens donc on ne m a pas parler d accessoires lors de l etablissement de mon contrat d assurance.et pour cause je telephone le lendemain au directeur de la macif de niederbronn les bains qui me dis que les accessoires donc le covrring qui recouvre toute ma voiture est assure a hauteur de 600 euros.je lui demande donc si je vous devoir refaire ma voiture avec 600euros.il me repond non monsieur 600 euros moins 500 euros de franchise.je vous laisse faire le calcul.JE VOUS DECONSEILLE CETTE ASSURANCE qui disent ce qu ils veulent bien dire au moment de la souscription..</t>
  </si>
  <si>
    <t>30/05/2018</t>
  </si>
  <si>
    <t>josephine-64271</t>
  </si>
  <si>
    <t>C'est inacceptable et très décevant, les soi-disant conseillers de la Macif sont des vendeurs d'assurances, ils ne sont pas compétents ou simplement ignorants, aucune information précise donnée au téléphone lors de mon accord, résultat, quand mon véhicule a été volé, je n'avais pas droit à la prise en charge de location d'un véhicule pendant un mois (je n'avais pas coché cette option, en effet, c'est une option, aller comprendre) Si cette information n'est pas demandée par le client, tans pis pour lui, la Macif fait des économies ! Autre information, votre voiture est volée, vous payer une franchise de 300 € et c'est tout à fait normal ? En prime, une estimation basse de l'expert pour un remboursement minimum. C'est tout simplement lamentable.</t>
  </si>
  <si>
    <t>29/05/2018</t>
  </si>
  <si>
    <t>jonnathan-64032</t>
  </si>
  <si>
    <t>Merci la macif !!</t>
  </si>
  <si>
    <t>tony-63366</t>
  </si>
  <si>
    <t>assuré depuis 40 ans pas de problemes car pas d,accident aujourdhui sa fera 3 fois que je leurs emmene un papier comme quoi j ai vendu mon vehicule il y a 7 mois et ils le perdent a chaque fois l,an prochain je cherche un autre assureur</t>
  </si>
  <si>
    <t>18/04/2018</t>
  </si>
  <si>
    <t>pastemma-63181</t>
  </si>
  <si>
    <t>prelevement abusif de la mutuelle apivia en cours de contrat et pas de remboursement a la hauteur
banque socram qui prend des prelevements sans autorisation
accueil macif non conciliante
deroute financiere totale</t>
  </si>
  <si>
    <t>15/04/2018</t>
  </si>
  <si>
    <t>valerie12-63130</t>
  </si>
  <si>
    <t>La MACIF est à l'origine d'un problème qu'elle ne peut plus résoudre. Elle a augmenté mon assurance de 70 euros en se permettant de modifier, sans mon accord, le montant de ma franchise. Malgré plusieurs messages, appels et déplacement en agence, je fais face à un mutisme complet.</t>
  </si>
  <si>
    <t>10/04/2018</t>
  </si>
  <si>
    <t>alsa-62964</t>
  </si>
  <si>
    <t>Assuré depuis plus de 20 ans à la macif,jamais de sinistre responsable,50 pour cent de bonus moi et mon épouse.J'ai eu un  petit accrochage dans lequel je ne suis pas responsable,je suis assuré tout risque.Un expert est passé mais celui çi à tellement rabotté le prix de la reparation que le garage agrée à jeté l'éponge.Je ne peux pas faire réparer mon véhicule.L'expert me reproche la ou j'ai eu le choc,un dégât antérieur.La macif ne pourrait donc pas prendre en compte la totalité des travaux estimé par le garage à 824€ et l'expert 209€.Le responsable de l'agence me propose 250€ à rajouter à celui de l'expert,le reste à ma charge.Mon véhicule n'a pas eu d'antecedent d'accident.Il y a 10 ans j'ai eu la même histoire similaire chez eux,et ils m'ont raconté le même discours.Je ne suis pas responsable,on m'accuse d'un antécédent d'accident et je ne peux pas faire réparer mon véhicule.Je ne debouurserais pas un centime,j'estime que je ne suis pas responsable.Je n'ai plus confiance.Je vais certainement  résilier tous  mes contrats.</t>
  </si>
  <si>
    <t>indi-62583</t>
  </si>
  <si>
    <t>Bonjour à tous,
Je viens de lire de nombreux commentaires sur la Macif; je remarque que de très nombreux commentaires sont négatifs. Pour faire la part des choses, je me fends de mon avis; assuré depuis de nombreuses années chez cet assureur, ayant eu quelques sinistres responsables et non responsables, la Macif a toujours été à la hauteur de la situation. Il est vrai qu'il appartient à chaque assuré de défendre ses droits s'il juge être victime de "négligence" ou de parti pris par son assureur. Ce qui a été mon cas; j'ai toujours trouvé des personnes à mon écoute et qui parfois ont éclairé ma lanterne sur des aspects que je ne maitrisais pas. Il est peu-être bon de rappeler ici que l'on ne s'assure pas pour gagner de l'argent mais surtout pour limiter la casse en cas ce sinistre! D'ailleurs, nous sommes nous même notre premier assureur! Je conclus mon commentaire ici: en ce qui me concerne, je suis satisfait de mon assureur, la Macif et n'envisage pas d'en changer pour grignoter quelques euros ou même dizaines d'euros! Bien à vous.
Indi</t>
  </si>
  <si>
    <t>22/03/2018</t>
  </si>
  <si>
    <t>bonnepoire-62366</t>
  </si>
  <si>
    <t>Après un sinistre incendie, dossier oublié demande d'expert en urgence, le conseiller ne me rappelle que 3 semaines plus tard.Il est censé me conseiller par rapport a ma plainte incomplète.il me dit juste que c'est illégal, ils reçoivent les clés de voiture pour transmettre a l'expert a plus de 200 km, ils les gardent a leur siège, un mois après retour a la case départ .(formule excellence)</t>
  </si>
  <si>
    <t>15/03/2018</t>
  </si>
  <si>
    <t>man4186-62056</t>
  </si>
  <si>
    <t>Fuyez!!!
Cliente depuis 10 ans pour assurance maison, je prends mon credit voiture chez eux et je passe mes 2 assurances auto en juillet. Pour crédit auto pas de soucis, pour les 2 voitures un calvaire!!
Demande de pièces une 10aines de fois alors que deja envoyé, contrat reçu avec mauvais nom sur les papiers ou mieux avec ilmatriculation qui ne correspond pas!
Cela finit pas se régler pour la voiture de mon mari. Pour la mienne une autra histoirz on me redemande sans arret des pieces manquantes déjà envoyées plusieurs fois! allitée et fatiguée je fini par recevoir mon contrat je ne fait pas attention je signe et renvoi, et puis on me redemande encore et encore des pièces!! Du coup les prélèvements bancaires ne se font que pour la voiture et assurane habitation. Mi décembre un accident dont je suis responsable et là on m’annonce que je siis au tiers , voiture de 2011, 100000km qui cot encore plus de 6000€! Une honte, tout s’est fait par telephone a cause de mon allitement et aucunes conversations d’enregistrées!
Cela me sera reprochée: mais si ça ne marche pas par téléphone Mme il fallait se déplacer, évidemment je suis en arrêt depuis ma 5eme semaine de grossesse avec interdiction de bouger, mais oui je peux me déplacer à 20min en voiture!
Je me déplace à Vendome tres mal reçu par la responsable, avec 1/2h de retard sans escuses ni bonjour, encore la personne que j’ai eu au téléphone qui n’a apparemment pas passer le message pour ce rdv. La responsable m’a limite insultée de menteuse, l’expert passe et annonce 2600€ de réparations!
La Macif refuse de prendre en charge ne serais-ce que la moitié, j’ecrit une lettre de recours auprès du président de la commission de recours le 4/01! J’attends toujours la reponse!!
J’ai appelé la semaine dernière comme par hasard mon dossier devais passé dans la semaine... à ce jour aucunes nouvelles!
Sincérement allez payer 3€ par mois plus cher ailleurs pour être certains d’avoir des gens professionnels et compétents!!</t>
  </si>
  <si>
    <t>tony62-61677</t>
  </si>
  <si>
    <t>Bonjour, client depuis plus de 20 ans a la macif, 30 ans de permis, 50% de bonus, et 3 vehicules assurés chez eux. j ai demandé un devis en ligne pour un vehicule (130cv) offert a mon fils, REFUSE car moins de 25 ans avec du 1,33 de malus , mais deja assuré chez eux... OK, je demande un devis en agence pour mettre le vehicule a mon nom alors. REFUS catégorique du responsable de LENS, impossible d' assurer le vehicule, et sans motif ???  Réponse: je dois chercher ailleurs ! Tres bien , mais si je cherche pour 1 véhicule, je chercherai pour les 3 ... Bravo la relation client, lamentable nous restons des pions !</t>
  </si>
  <si>
    <t>sylvainc-61639</t>
  </si>
  <si>
    <t xml:space="preserve">Je suis assuré à la macif en assurance auto depuis 1999 un sinistre non responsable ils ont été réactif j'ai l'assurance habitation et crédit chez eux depuis peu de temps je pense changé de protection juridique prochainement et allez aussi chez eux  </t>
  </si>
  <si>
    <t>vero-61631</t>
  </si>
  <si>
    <t>On me rappelle parce que j'ai sollicité un relevé d'information par internet pour me faire de belles promesses.. me dire que l'on va me baisser le montant de la franchise et des mensualités puisque je n'ai jamais eu d'accident et que "je paie trop cher"....mais lorsque je reçois mon relevé de banque il en est tout autrement... elles ont augmenté. Sur place je demande des explications... "on ne comprend pas mais en tout cas.... pas de mensualité diminuée ni de franchise diminuée !!! Désolé ils ne peuvent rien faire et ce qu'ils m'ont avancé par téléphone est.... une erreur d'une "collègue"</t>
  </si>
  <si>
    <t>21/02/2018</t>
  </si>
  <si>
    <t>patrice-61437</t>
  </si>
  <si>
    <t>ne font même pas leur travail ne serait-ce que d'envoyer les cartes vertes et opère un dictate au telephone pour finir pas vous faire poireauter jusqu'a ce que vous raccrochiez...lamentable...50% de bonus pour moi 100%malhonnète pour eux</t>
  </si>
  <si>
    <t>14/02/2018</t>
  </si>
  <si>
    <t>bridge-61276</t>
  </si>
  <si>
    <t xml:space="preserve">Victime de home jaking cette assurance par voix se son expert indemnise mon vehicule sur la valeur d un modele  plus ancien n ayant pas la meme motorisation et les memes options.
</t>
  </si>
  <si>
    <t>09/02/2018</t>
  </si>
  <si>
    <t>boki-60815</t>
  </si>
  <si>
    <t>Je me suis rendu à la Macif le 15 janvier 2018 concernant une remise en place d'une mensualisation la personne qui m'a accueillie à fait du troc avec moi elle m'a dit que j'étais obligé d'ouvrir une épargne si je voulais reprendre la mensualisation car on m'avait résilié au préalable ne pouvant pas me prélever au mois de juillet effectivement il y a eu un problème de virement avec l'intérim où je travaillais ceci dit on m'a obligé de payer la totalité de mon assurance que j'ai exécuté et donc je voulais reprendre un prélèvement mensuel j'ai été outré par le fait que je dois obligatoirement prendre une épargne chez eux sinon la mensualisation va être refusée et je devrais payer toute l'année d'un coup je sais pas si c'est pratique sont bien chrétienne</t>
  </si>
  <si>
    <t>stiletto135-60752</t>
  </si>
  <si>
    <t>Au lieu de me faire un ajout de dossier suite à une nouvelle voiture la macif a permuter les contrats en mettant les sinistre de mon premier véhicule sur le nouveau qui fait 15 cv!
Quel est le nouvel assureur qui va vouloir m’assurer un cabriolet de sport de 15cv avec 3 sinistrés responsables,sans m’assassiner!
Et pourtant avec deux LRAR au siège de Niort vers le directeur,on me répond que tout est normal!?
Cela porte un nom:c’est de LA DAUBE CARACTÉRISÉE!!!</t>
  </si>
  <si>
    <t>23/01/2018</t>
  </si>
  <si>
    <t>henri-60740</t>
  </si>
  <si>
    <t xml:space="preserve">La MACIF ne tient pas ses engagements !!!! 
Le prix négocié au téléphone de l'assurance de mon nouveau véhicule n'a pas été tenu, j'ai eu 3 interlocuteurs différents et aucun ne trouve trace des engagements pris ? ...ils changent leur informatique, donc les dossiers se perdent, comme les engagements !
Après 31 ans de fidélité, je vais voir ailleurs !
un conseil : demandez des confirmations écrites pour chaque mot prononcé, sinon l'informatique les égard !  </t>
  </si>
  <si>
    <t>bastien-60715</t>
  </si>
  <si>
    <t>Client mécontent.
Depuis 25 ans chez vous aucun geste commerciale suite à quelque problème.
En avril 2018 nous partirons à la mma.
Nous souhaiterons avoir nos relever d’information.
Cordialement</t>
  </si>
  <si>
    <t>laurrrrrrrrrra-59796</t>
  </si>
  <si>
    <t>Tant qu'il n'y a pas d'accident....Il y a du monde.
Suite à un sinistre non responsable, il n'y a eu aucun suivit du dossier. J'ai du les relancer à chaque étapes. Surtout au moment de l indemnisation !
Seul l'expert indépendant était bien ! 
Suite à ce sinistre non responsable impliquant la destruction du véhicule (économiquement irréparable) c'est devenu la croix et la bannière pour enregistrer un nouveau véhicule ! 
Et attention, si lors d'un devis vous avec eu le malheur de vous tromper de code postal. C'est mort, vous devez vous déplacer en agence pour rectifier si vous voulez assurer le dit véhicule ! 
Bref passez votre chemin, seul la vitrine est alléchante.</t>
  </si>
  <si>
    <t>19/12/2017</t>
  </si>
  <si>
    <t>ln-59722</t>
  </si>
  <si>
    <t>J’ai eu un sinistre non responsable le 22/10/2017, sur l’ensemble de réparation à faire sur la voiture avec l’accord de l’expert, ils m’ont estimé les réparations à 447 euros alors que j’en ai pour 800 euros de réparations, rien pour les pièces il y a pour 460euros. Leurs réponses c’est à moi de prendre en charge la difference !!!!!</t>
  </si>
  <si>
    <t>16/12/2017</t>
  </si>
  <si>
    <t>popo-58856</t>
  </si>
  <si>
    <t>tres bon assureur.disponibilite en bureau et sur internet.prise en charge et paiement direct au garage en cas de sinistre.franchise b glace supprimée si reparations pare brise et non remplacement.</t>
  </si>
  <si>
    <t>02/12/2017</t>
  </si>
  <si>
    <t>chris-58589</t>
  </si>
  <si>
    <t>Les remboursements des sinistres sont trop long 
j'ai eu un accident le mois aout 2017 et depuis j'attend toujours le remboursement de ma voiture !!!!!!</t>
  </si>
  <si>
    <t>robin-47793</t>
  </si>
  <si>
    <t xml:space="preserve">Garantie conducteur quasi nul... le prix est peut être intéressant mais avec des garanties pareils c'est normal. </t>
  </si>
  <si>
    <t>valrie-58186</t>
  </si>
  <si>
    <t>Conseil archi nul,  primes et franchises très élevées par rapport à d'autres assureurs. Pas de défense en cas de sinistre. C'est le constat accablant d'un sociétaire de plus de 15 ans après un accident.</t>
  </si>
  <si>
    <t>18/10/2017</t>
  </si>
  <si>
    <t>serge-58131</t>
  </si>
  <si>
    <t>plus satisfait du tout un nouveau souscripteur paie moin chere que moi je allez voir dans d'autres assurances car beaucoup moin chere ailleurs</t>
  </si>
  <si>
    <t>nadiaaa-58025</t>
  </si>
  <si>
    <t>Catastrophique !
Sinistre du 25 août et à ce jour je n'ai toujours pas récupére mon véhicule.
J'ai heurté und bouche d'égout qui a détruit la façade avant de mon véhicule. Jai appelle ils ont refusé de prendre ma demande en Compte. Soit disant je ne suis assurée qu'aux tiers.pourtant dotée de témoignage et photos, la responsabilité de l'état etait indéniable. D'ailleurs la partie adverse a reconnu sa responsabilité Mais la Macif ne fait absolument pas son travail. Je ne Compte pas en rester en la et envisage de porter plainte contre eux. Jai décide de réclamer une indemnité de perte de jouissance de véhicule comme la loi et la jurisprudence en vigueur le prévoit. Bien sûr ils ont essayé de membobiner Mais étant avocate pas de chance pour eux. Je Compte donc entamer une action en contentieux car le dialogue ne fonctionne absolument pas avec eux. Ils sont incompétents au possible et manque de peofessionnalisme sidérant.
Je dois appeller 50 fois par jour pour leur dire quoi faire tant ils sont incapables.heureusement que je suis juriste de formation et connaît mes droits. Sinon mon sinistre aux oubliettes tout pour ma poche au regard de leurs perpétuels mensonges. Heureusement que j'ai insisté et invoquer du droit positif. Mon dossier n'avance pas et ils refusent d'agir. Réclamation non effectuée par mail ni par recommandé. Vraiment incompétents à souhait. Je ne resterai certainement pas! J'en peux plus d'appeller 50 fois par jour pour qui plus est s'entendre raconter des sornettes</t>
  </si>
  <si>
    <t>chris6901-57712</t>
  </si>
  <si>
    <t xml:space="preserve">A éviter à tout prix délai de remboursement incroyable offre de reprise de véhicule ridicule qui oblige à ce battre pour avoir une somme correcte alors qu'on ne en rien responsable assuré tout risque les prélèvements qui continue alors que le véhicule et déclare épaves et d'après vous ce normal d'assuré une epave en tout risque aucun geste commercial du moment que ce légal le reste on s'en fout vraiment déçu </t>
  </si>
  <si>
    <t>gabby-57434</t>
  </si>
  <si>
    <t xml:space="preserve">Bonsoir
Assuré macif depuis plus de dix ans,je n avais jamais eu besoin d eux jusqu a aujourdhui..
J ai acqueri un vehicule dont le pare brise etait fissuré,le controle technique etait a refaire.Je fais remplacé mon pare brise puis je fais une declaration de sinistre a la macif.
J ai eu la desagreable surprise que le remplacement ne serait pas pris en charge!!!Avec pour motif que je n aurais pas du acheter la voiture et que c etait a l assurance de l ancien proprietaire de faire le necessaire.
Je suis donc allé voir cette assurance qui m a bien sur repondu qu ils ne pouvaient rien faire...
Je ne nie pas etre en tort,j ai été honnette en precisant dans la declaration de sinistre que le pare brise etait fissuré avant l achat du vehicule.
Bref,la facture s eleve a pres de 700 euros et me met tres mal financierement...J ai ecris en recommander pour qu ils fassent un geste car j ai quand meme deux vehicules plus ma propriete chez eux mais ils ne veulent rien savoir!!!Je ne les recommanderais a personne
</t>
  </si>
  <si>
    <t>18/09/2017</t>
  </si>
  <si>
    <t>rouxflette-57413</t>
  </si>
  <si>
    <t>A éviter absolument, trop cher avec des garantie pas top top et une franchise qui crève les plafonds (340 euros et 60 euros bris de glace). on vous fait croire que vous payez un droit d'entrer alors que c'est juste un acompte pour les trois premier mois, la surprise quand on vous envoi un courrier pour vous informer que passer de 83 euros à 91 euros par mois ...</t>
  </si>
  <si>
    <t>17/09/2017</t>
  </si>
  <si>
    <t>rayfol-57262</t>
  </si>
  <si>
    <t xml:space="preserve">272672 un numéro de sociétaire qui pèse 53 années de cotisations voitures, maison, appartements ...sans sinistres significatifs mais qui ne me vaut pas pour autant la considération de la MACIF. 
Malchance, ces 5 dernières années, j'ai essuyé un tir groupé de 4 incidents de parking dont un que j'ai contesté: (petit malin qui se fait réparer à bon compte son bouclier préalablement accidenté avec la complicité d'un témoin de complaisance) et un récolté alors que la voiture était conduite par un tiers. 
Résultat, au moment réassurer ma nouvelle voiture, refus de la MACIF malgré un coefficient bonus de 0.64. Aucune discussion ou explication possible. 
Conclusion: après un an de dépannage à prix fort, trouver un assureur à qui confier les 5 contrats toujours en souffrance à la MACIF.
  </t>
  </si>
  <si>
    <t>pat-57238</t>
  </si>
  <si>
    <t xml:space="preserve">j'attends toujours d'etre rembourse suite a un recours depuis janvier;je ne comprends pas la position de mon assurance vis a vis de l'assurance adverse qui fait trainer le dossier en longueur </t>
  </si>
  <si>
    <t>10/09/2017</t>
  </si>
  <si>
    <t>spiritcar-57013</t>
  </si>
  <si>
    <t>Je suis client depuis des années chez la Macif, j'ai plusieurs contrats auto , l'assurance de la maison, et les assurances scolaires de mes 4 enfants. 
Aujourd'hui j'ai appelé 4 fois pour faire un transfert d'assurance d'un de mes véhicules qui est en panne vers un nouveau véhicule que je viens d'acheter. La 1ère conseillère me dit " attendez je regarde votre dossier ", croyant qu'elle m'avait mis en attente j'entends " je ne comprend pas ce qu'il fait avec cette connasse " s'étant aperçu de sa bourde elle me raccroche au nez! Alors que j'avais déjà attendu au moins 7 minutes pour l'avoir, je reprends le téléphone et je tombe sur un conseiller qui me dit " je ne peux pas gérer votre dossier il faut appeler votre ancienne agence pour transférer le dossier " surpris car nous avions déjà fait cette demande il y a plusieurs mois suite à notre changement de département ?! Je m'exécute et j'appelle mon ancienne agence qui me dit " si vous voulez changer par nous les assurances de votre véhicule il va y avoir des frais comptables, pour éviter cela si vous voulez je transfère votre dossier à votre nouvelle agence et je transfère votre appel ?" , surpris des frais que cela peut entraîner j'accepte une nouvelle fois, après encore une attente sur le serveur vocal je tombe sur un conseiller qui me dit "vous avez composé le mauvais numéro vous êtes au service sinistre " , gardant toujours mon calme mais la moutarde commençant à me monter au nez je lui explique que c'est l'autre conseillère qui m'a transféré la, et il me transfert à nouveau et la je tombe sur une autre conseillère qui me dit " je ne peux rien faire, votre dossier n'est pas transféré ! Ne quittez pas je vais me renseigner " et la devinez quoi elle m'a raccroché au nez!!! Alors franchement la j'en ai marre et je vais prendre mes contrats autos, maisons et scolaires et je vais aller voir la concurrence !!</t>
  </si>
  <si>
    <t>audber-56865</t>
  </si>
  <si>
    <t xml:space="preserve">Je viens d'assurer mon véhicule chez eux car toute ma famille y est, j'ai attendu mes 2 ans de conduites pour bénéficiez des 10% promis sauf qu'apparemment les 2 ans ne sont pas validé, je sais pourtant bien quand est ce que j'ai décroché mon permis, ils arrivent même pas a expliqué pourquoi je ne bénéficierai que de 5% et non de 10%. Deuxième problème j'ai 2O ans j'ai passé mes études sur Angers j'ai donc du assuré mon logement là bas, mes études finis je retourne chez mes parents qui ont déjà un régime prévoyance familiale accident pour toute la famille, au moment de l'assurance de mon véhicule on m'a ajouté en plus ce même régime prévoyance familiale que mes parents disposent déjà alors que je suis seule et que je vie chez mes parents donc ce régime me protège déjà une fois et ce pack comprend conjoint enfant tout ça ... inutile de rappeler que j'ai que 20 ans donc pas de famille à charge. Leur réponse quand on leur demande pourquoi j'ai ce régime en plus ? C'est obligatoire et comme j'ai 20 ans on me l'aurait forcément proposé. Bref nous sommes très déçue de la MACIF chez qui nous sommes depuis très longtemps. </t>
  </si>
  <si>
    <t>24/08/2017</t>
  </si>
  <si>
    <t>carilamo-56783</t>
  </si>
  <si>
    <t>Je suis assuré à la Macif depuis plusieurs dizaines d'années et lorsque je suis amené à comparer ses prestations avec celles proposées par les autres compagnies je n'ai absolument pas le désir de quitter la Macif!</t>
  </si>
  <si>
    <t>21/08/2017</t>
  </si>
  <si>
    <t>sam80-56345</t>
  </si>
  <si>
    <t>Bonjour,je suis assuré depuis 18 ans à la Macif et je n'ai jamais eu de sinistre jusqu'au vol de mon véhicule le 5 juillet.le voleur et la voiture ont été retrouvés ,l expert est passé 5000 euros de réparations.l assurance  ne réponds pas car pas d effraction... J'ai renvoyé un courrier et aucune réponse... C'est un prêté pour un rendu on va tous partir de la Macif dans la famille et mes amis proches... Cela ne représente que 8000 euros de cotisation annuelle c'est une goutte d eau pour la Macif mais faut leur faire comprendre... Bonne journée à tous</t>
  </si>
  <si>
    <t>dess16100-56258</t>
  </si>
  <si>
    <t>Voiture vendue, et demande d'arrêt du prélèvement depuis 4 mois. Hors prélèvements toujours pas interrompu, silence radio face aux courriers. Je paye pour une voiture alors que je n'en ai plus. Demande de résiliation du contrat et là encore pas de réponse. Aujourd'hui je vais faire annuler l'autorisation de prélèvements avec un courrier bien garni. Si le nécessaire est pas fait se sera la plainte. Et être un bon payeur sans accident n'a pas l'air de les rendre plus efficace.</t>
  </si>
  <si>
    <t>25/07/2017</t>
  </si>
  <si>
    <t>ange-55893</t>
  </si>
  <si>
    <t>cliente depuis 19 ans j'ai toujours payé mes cotisations , mais malheureusement j'ai eu des difficultés financière à cause de maladie! l'assurance était prélevé sur le compte commun mais à trois reprise il y'a eu rejet de prélévement! la Macif m'envoie une lettre pour payé l'intégralité d'assurance 1800 euros .Je leur renvoie une lettre en précisant que je ne peux pas payé cette somme , mais qu'il préléve sur mon compte personne 100 euros tout les mois Suite à ce courrier je reçois un coup de téléphone pour prendre un rendez-vous avec un conseiller , nous nous rendons à la Macif Douai et là ont nous propose de payer la totalité aucune négociations ou de proposition du conseiller "juste nous pouvons rien faire pour vous" a trois reprise j'ai envoyer des courriers et vu des conseillers. Aucun résultats !!! Maintenant je me retrouve sans assurance alors que j'ai besoin de mon véhicule pour mon travail Auxiliaire parentale , à l'heure d'aujourd'hui j'ai plus d'assurance et je risque de perdre mon travail!!!</t>
  </si>
  <si>
    <t>09/07/2017</t>
  </si>
  <si>
    <t>coulpa-54969</t>
  </si>
  <si>
    <t>Très bonne assurance, pas la moins cher mais un services de qualité et en rapport avec ses prix</t>
  </si>
  <si>
    <t>29/05/2017</t>
  </si>
  <si>
    <t>michel-54900</t>
  </si>
  <si>
    <t xml:space="preserve">Aucun service de la part de la macif ,  le personnel est désagréable , je viens de faire des devis et visiblement leur tarif est bien trop cher , je pense clôturer prochainement ,je  déconseille . </t>
  </si>
  <si>
    <t>24/05/2017</t>
  </si>
  <si>
    <t>pchmartin-54694</t>
  </si>
  <si>
    <t xml:space="preserve">Je suis assuré à la Macif pour mon véhicule depuis bientôt 40 ans. Je l'avais choisie à l'époque pour les prix jeunes conducteurs et la proximité de l'agence. Je n'ai jamais regretté ce choix. Les tarifs sont restés compétitifs, le service client téléphonique est disponible et compétent , le site Web est de mieux en mieux. Et les quelques fois où j'ai eu à solliciter l'assurance, la sollicitation de l'expert a été rapide, et je n'ai eu à payer que la franchise ( mon garage est agréé) . </t>
  </si>
  <si>
    <t>23/05/2017</t>
  </si>
  <si>
    <t>doudou-54451</t>
  </si>
  <si>
    <t>Prés de 45 ans à la Macif (sans sinistre). J'ai demandé une reconnaissance de cette très longue fidélité. J'ai reçue une réponse,  j'en ai honte pour celui qu'il l'a écrite. C'est un véritable chef d’œuvre au niveau de la bêtise. Oui, courez très vite vers la porte, les Anciens de la Macif et profitez des mois d'abonnement offert par les autres Assureurs. A garanties égales, vous serez plus que gagnant!!!!</t>
  </si>
  <si>
    <t>03/05/2017</t>
  </si>
  <si>
    <t>gilbert-54172</t>
  </si>
  <si>
    <t xml:space="preserve">j'étais client pendant 35 ans avec 50 % de bonus et lorsque l'on m'a arraché mon pare choc AR en stationnement l'expert a jugé que la déclaration était fausse ; il aurait donc fallu que je mandate un autre expert a mes frais et ensuite  une 3 ème expert aurait tranché ; bilan j'ai réparé moi même ayant besoin rapidement de ma voiture 
lorsque j'ai voulu assurer mon fils qui a fait la conduite accompagnée  1200 € pour un diesel 4 CV </t>
  </si>
  <si>
    <t>20/04/2017</t>
  </si>
  <si>
    <t>michael-54029</t>
  </si>
  <si>
    <t>Bonjour,
J'ai plusieurs véhicules et la maison assurés à la Macif depuis plus de 20 an. 40 ans sans accident. 
En novembre 2016, premier sinistre non responsable ( j'ai été heurté à l'arrière par un autre véhicule) et là, les problèmes ont commencé. 
Tous les prétextes ont été utilisé pour ne pas me rembourser correctement mon préjudice.</t>
  </si>
  <si>
    <t>12/04/2017</t>
  </si>
  <si>
    <t>lo-53882</t>
  </si>
  <si>
    <t>sociétaire depuis plus de 30 ans, je me suis donc aperçu de "l'efficacité" de cette assurance dernièrement. 
Impossible de défendre sa cause, aucune recherche effectuée par la Macif notamment dans le cas d'un constat amiable non signé entre les parties, fait la sourde oreille et ne veut surtout pas tenter de comprendre...
Expertise laissant à désirer, aucune communication.....
Dommage ... pour elle....</t>
  </si>
  <si>
    <t>06/04/2017</t>
  </si>
  <si>
    <t>fred-53877</t>
  </si>
  <si>
    <t>Très déçu pour un vandalisme sur mon véhicule que la macif ne veu pas prendre en charge, voiture totalement rayé avec dépôt de plainte.  On nous signifie que ce n'est pas pris en charge à cause d autres dégâts enterieur  sur le véhicule qui n avais pas était réparé !!! La blague du siècle. . Des dégâts minimes qui aurait du être réparer avant d être vandaliser pour être pris en charge . Donc si le on déduit la logique de l assurance il faut assuré un véhicule nickel et comme neuf sinon au moindre soucis vous ne serez pas pris en charge ... Merci la MACIF</t>
  </si>
  <si>
    <t>05/04/2017</t>
  </si>
  <si>
    <t>bouchery06140-53782</t>
  </si>
  <si>
    <t>satisfait sans plus
manque de contact</t>
  </si>
  <si>
    <t>02/04/2017</t>
  </si>
  <si>
    <t>titi62-5628</t>
  </si>
  <si>
    <t>bon assureur. j'ai été chez eux 37 ans. devrait faire une réduction quand on prend 3 contrats . auto+ habitation + santé.</t>
  </si>
  <si>
    <t>30/03/2017</t>
  </si>
  <si>
    <t>sophiegcel-53656</t>
  </si>
  <si>
    <t>Nous avons été profondéement choqués d'avoir été "sortis" de l assurance Auto, au motif que nous avions eu 2 accidents (nous étions en tort, sans dommage corporel) en 2014 et 2016. C est à se demander à quoi sert une assurance. Ce procédé est indigne d une assurance comme la MACIF et nous sommes mécontents que nous n'ayons pas pu faire valoir notre position. UNE GRANDE DECEPTION. En conséquence, nous ne recommendons pas l'assurance Auto MACIF.</t>
  </si>
  <si>
    <t>28/03/2017</t>
  </si>
  <si>
    <t>societaire-53494</t>
  </si>
  <si>
    <t xml:space="preserve">J'ai actuellement 25 ans et je dois dire que le service MACIF que ce soit en agence et par téléphone est irréprochable. Même les plateformes téléphonique sont proches de nous. Les prix pour des jeunes conducteurs sont exemplaires et c'est très rapide, toute les explications sont claires. On se sent en confiance dès la première visite. Reste à voir en cas de pépin mais un ami à moi à été indemnisé avec une majoration de 40 % il a pu partir du un véhicule similaire. Conseil la Macif !! </t>
  </si>
  <si>
    <t>22/03/2017</t>
  </si>
  <si>
    <t>georges-53182</t>
  </si>
  <si>
    <t>Suite à un sinistre avec constat amiable et où je n'étais pas en tord, remboursement Zéro et ne répond pas aux courriers. A quoi cela sert-il d'être assuré ?? Il vaut mieux négocier directement avec la partie adverse. A fuire</t>
  </si>
  <si>
    <t>11/03/2017</t>
  </si>
  <si>
    <t>bouchet-52819</t>
  </si>
  <si>
    <t>Sociétaire 5300147. Cela fait 25 ans que je suis assuré à la MACIF et je m'en félicite chaque fois que j'ai un problème. Je n'ai jamais réussi à trouver moins cher pour une qualité du service équivalente</t>
  </si>
  <si>
    <t>27/02/2017</t>
  </si>
  <si>
    <t>popof-52712</t>
  </si>
  <si>
    <t>Je suis client (soit disant sociétaire) à la MACIF depuis 1988, avec le maximum de bonus et ils s'amusent à grignoter un mois d'assurance, mes certificats avaient les dates suivantes 01/04/97 AU 30/04/98 aujourd'hui 15/02/17 au 31/03/18.  MACIF à fuir</t>
  </si>
  <si>
    <t>tom-52697</t>
  </si>
  <si>
    <t>beaucoup beaucoup trop cher aucuns avantage de groupe ma mère paye encore cher après 15 ans sans accidents
1042€ pour un tiers étendue pour un étudiant c'est démesuré</t>
  </si>
  <si>
    <t>23/02/2017</t>
  </si>
  <si>
    <t>patinerie-52668</t>
  </si>
  <si>
    <t>j ai trouver moins cher pour mes  contrats auto.etant clients chez vous depuis de nombreuses années,et sans trop d accidents.je suis aussi assuré habitation et un compte bancaire.</t>
  </si>
  <si>
    <t>anonyme-52500</t>
  </si>
  <si>
    <t>Assurance trop cher, ne veulent pas donner le relevé d'information malgré les recommandés, fuyez cette assurance, ca n'est que de problèmes avec eux!!! Sauf pour payer là ils sont contents... Adieu la macif</t>
  </si>
  <si>
    <t>17/02/2017</t>
  </si>
  <si>
    <t>lolo12121-52172</t>
  </si>
  <si>
    <t>si vous voulez vous faire avoir au niveau des prix, courez-y!
je payais 93€ par mois en étant au tiers (sans être jeune permis) et l'assurance pour laquelle j'ai changé me propose 55€par mois en tout risque!!! il y a comme un problème non? En plus de ça, grosse difficulté à partir de chez eux, il manquait tout le temps quelque chose à la demande de résiliation alors que cette demande a été faite par mon assureur actuel! tout pour retarder la résiliation...</t>
  </si>
  <si>
    <t>07/02/2017</t>
  </si>
  <si>
    <t>herman-52088</t>
  </si>
  <si>
    <t>Nous sommes très bien aider après notre accident.</t>
  </si>
  <si>
    <t>06/02/2017</t>
  </si>
  <si>
    <t>sergio-51817</t>
  </si>
  <si>
    <t>voir les moins..</t>
  </si>
  <si>
    <t>29/01/2017</t>
  </si>
  <si>
    <t>moimeme-51557</t>
  </si>
  <si>
    <t>Aucun</t>
  </si>
  <si>
    <t>23/01/2017</t>
  </si>
  <si>
    <t>chantal-51449</t>
  </si>
  <si>
    <t xml:space="preserve">Honte à l assurance la Macif 
 C est l histoire de mon frere retraité avec de petits moyens a acheté une voiture il y a 6 mois
 Lundi 9 janvier en rentrant chez lui a perdu son trousseau de clé 
 Il a cherché partout mais comme la nuit etait tombé il ne l a pas retrouvé. Il se leve trés tot et va pour revoir sur le parking mais sa voiture avait disparue
 Tres facile avec les cles actuelles de trouver quel est la voiture de la clé
 Il se rend a la olice et raconte son histoire de bonne foi en disant qu il avait perdu ses cles
 Il est assuré tout risque et va directement a l assurance pour signaler son vol de voiture avec son proces verbal
 2 jours apres la police l appelle lui signalant qu ils ont retrouvé sa voiture a Cannes mais elle a été incendié donc plus possible de reparation
 Hier le 17 janvier l assurance lui envoie un courrier en lui disant que la macif ne remboursera pas ce vol , puisque la voiture a été ouverte avec la clé
 Le lendemain il recoit de retour un courrier lui signalant qu il est radié de l assurance
 Sa voiture est gagé pour 5 ans pour le credit et doit rembourser la banque 
 Comment les assurances peuvent agir ainsi sans aucun egard et sans respecter leur engagement
 </t>
  </si>
  <si>
    <t>zizou3084-51330</t>
  </si>
  <si>
    <t>bonne assurance, bon rapport qualité/prix, bon service client, bonnes garanties, je n'ai rien à ajouter de plus</t>
  </si>
  <si>
    <t>15/01/2017</t>
  </si>
  <si>
    <t>grisou58-50987</t>
  </si>
  <si>
    <t>Assures depuis 17 ans sans aucun sinistre avec 50 % de bonus depuis 35 ans ...
Nous traversons une periode tres difficile financierement apres avoir perdu notre societe
Nous sommes en dossier de surrendettement et avons tout  perdu !
Vous nous avez radies le 3o.12.16..
Et nous avons du trouver  des assurances pour nos voitures et logement. . 
Qd on se retrouve de l autre cote de la barriere....il n y a plus de consideration et d empathie... on se sent rejetes !
C est triste et ca fait mal !</t>
  </si>
  <si>
    <t>ulyss67-50895</t>
  </si>
  <si>
    <t xml:space="preserve">J'étais toujours client Macif mais depuis ces dernières années c'est une assurance catastrophique Conseillers incapable Démarché par téléphone pour me reconquérir en temps que client  (7 véhicules à assurer ) Les conseillers vous font des devis qui ne tiennent pas la route vous font croire à des gestes commercial qu'ils ne peuvent pas tenir Font passer des conseillers pour des responsables qui n'est pas le cas J'ai demandé qu'ils ne me contact plus jamais </t>
  </si>
  <si>
    <t>03/01/2017</t>
  </si>
  <si>
    <t>cador75-49700</t>
  </si>
  <si>
    <t xml:space="preserve">40 ans d'assurance Macif , et de façon discrète sans prévenance aucune ma franchise est passée de 350 à 500 € !! alors que je n'ai eu aucun évènement depuis plus de 5 ans et bénéficiant du plus gros bonus. Après question posée, il m' a été répondu que certes l'augmentation était élevée mais c'était pour baisser les cotisations.. et que comme je n'avais pas d'accident, cela n'avait aucune incidence...la cotisation de septembre n'a bien sûr pas baissé ! mais comme par hasard, je reçois une lettre en novembre m'informant "généreusement" de la réduction du montant de ma franchise auto revenant ainsi à 350 € !! de qui se moque t on !! </t>
  </si>
  <si>
    <t>29/11/2016</t>
  </si>
  <si>
    <t>rodolphe-49467</t>
  </si>
  <si>
    <t>je possede une ds5 de 136ch  je paye pour un 150ch
vous avez baissé ma cotisation d assurance par contre vous avez doublé la franchise de  350e je suis passé a700e voila pourquoi apres 40ans chez vous je cherche ailleurs quel interet d'etre assuré tout risque si au moindre petit accroc je dois payer moi meme avant je possédais une laguna coupé monaco en changeant j'ai cru payer moins cher et bien non c'est le contraire</t>
  </si>
  <si>
    <t>23/11/2016</t>
  </si>
  <si>
    <t>karine-49379</t>
  </si>
  <si>
    <t xml:space="preserve">Une assurance au top j ai aussi mon assurance voiture chez eux rien à  redire quand on va a l agence on est toujours bien 7accueilli et renseigné. Je suis chez eux depuis 20 ans et je ne changerais pas ! Je la recommande sans soucis </t>
  </si>
  <si>
    <t>21/11/2016</t>
  </si>
  <si>
    <t>pasmouton-49307</t>
  </si>
  <si>
    <t xml:space="preserve">Assurance à fuir 30 ans de fidélité 1 sinistre = contre expertise , évaluation VADRE à minima , aucun dialogue , des délais de réponse à rallonge,  vous fait prendre en charge des frais de gardiennage non avenus , Bien pour les personnes qui aiment les procès, les pertes de temps suite à l'incompétence et de m'en foutisme de pseudo expert automobile à la solde d'assureur.   </t>
  </si>
  <si>
    <t>17/11/2016</t>
  </si>
  <si>
    <t>allianztesla3-139444</t>
  </si>
  <si>
    <t xml:space="preserve">Client depuis deux ans, sans sinistre depuis la souscription, la prime d’assurance augmente chaque année de 10%. 
Le Service clients de l’agence est à l’écoute et réactif dans les échanges mais sans pouvoir. </t>
  </si>
  <si>
    <t>Allianz</t>
  </si>
  <si>
    <t>11/11/2021</t>
  </si>
  <si>
    <t>patrice--139129</t>
  </si>
  <si>
    <t xml:space="preserve">Nouveau slogan : ALLIANZ avec vous tant que vous n'avez pas besoin de nous. 
Accident avec un tiers qui a pris la fuite. Résultat : payement de la franchise + malus. Vive l'assurance qui sert à rien !!! ?? </t>
  </si>
  <si>
    <t>06/11/2021</t>
  </si>
  <si>
    <t>pat--138577</t>
  </si>
  <si>
    <t xml:space="preserve">suite a des dégradation chez moi l entreprise qui est intrevenue ma donner les cordonnés de leur assurance allianz et depuis février mon assurance perso gmf n a aucune réponse de leur part </t>
  </si>
  <si>
    <t>29/10/2021</t>
  </si>
  <si>
    <t>mgas-137295</t>
  </si>
  <si>
    <t>Suite à un regroupement d'assurance je suis passée de all secur à allianz : tous mes contrats on basculé chez eux , donc nouveau numéro de contrat, nouveau compte etc....
 ca fait des semaines que j'attends mon attestation d'assurance, je roule sans mon papier vert depuis fin aout, toujours pas reçu
Ils devaient également mettre ma fille en conductrice accompagnée sur mon véhicule, j'attends toujours (elle l'était pourtant sur mon ancienne assurance, heureusement que j'ai verifié !! apparemment il ne reprennent pas les données)
j'ai appelé plusieurs (+ de 45 min d'attente et ca raccroche) et quand j'ai enfin quelqu'un le job n'est pas fait
j'ai envoyé plusieurs mails : pas de réponse
j'ai meme sollicité un rdv téléphonique : on ne m'a jamais appelée
NUL NUL NUL j'ai pas d'autres mots 
pour prendre le pognon y'a pas de problème mais le service client nullissime</t>
  </si>
  <si>
    <t>13/10/2021</t>
  </si>
  <si>
    <t>gogote--129345</t>
  </si>
  <si>
    <t>A FUIR j’ai souscrit une assurance auto en avril. J’ai envoyé 4 fois tout les documents demandés. Allianz m’a résilier un mois après pour manque de justificatifs. Incroyable Allianz continue les prélèvements et en 5 mois je n’ai jamais reçu d attestation d assurance. Conseillés injoignables.Attente téléphonique interminable. Au final j’ai dû prendre une assurance dans une autre compagnie.</t>
  </si>
  <si>
    <t>24/08/2021</t>
  </si>
  <si>
    <t>dorine-jsk-125031</t>
  </si>
  <si>
    <t>Je trouve que cet assureur très compétent. J'ai deux contrats en cours chez eux : habitation et auto. Je n'ai jamais eu de problème. Je recommande vivement !</t>
  </si>
  <si>
    <t>27/07/2021</t>
  </si>
  <si>
    <t>ydecharentenay-124803</t>
  </si>
  <si>
    <t>Bonjour, 
Assuré pendant 2 ans au tiers chez Allianz, j'ai eu 2 sinistres non responsables où mon véhicule était stationné sur un parking public et a été enfoncé par un tiers. Dans le premier sinistre, où une aile était enfoncée, Allianz a contacté le tiers qui a refusé d'assumer sa responsabilité alors que j'avais deux témoins de l'accident. Allianz ne s'est pas donné la peine de contacter les deux témoins et a laissé tomber le recours contre le tiers. Dans le 2eme cas, où mon véhicule a été complétement détruit, et la police a constaté l'accident et le délit de fuite du tiers, impossible de joindre au téléphone la chargée du dossier pendants 15 jours qui ne me répondait que par email sans répondre à mes questions, et refusait l'envoi d'un expert. Après de multiples emails j'ai obtenu une expertise et mon statut de non responsable en passant par une nouvelle conseillère mais j'ai passé au moins 15 heures de travail sur 3 semaines sur cette affaire !!</t>
  </si>
  <si>
    <t>26/07/2021</t>
  </si>
  <si>
    <t>mjou-124410</t>
  </si>
  <si>
    <t>Service  médiocre.  Relation client  deplorable  ce qui compte pour eux c'est le prélèvement de fin de mois.  J'ai  cherché à les contacter  en vain.  J'ai envoyé les documents de résiliation comme demandé et le prélèvement ne s'arrête pas  c'est  écœurant.  Fuiyez cette assurance vite</t>
  </si>
  <si>
    <t>23/07/2021</t>
  </si>
  <si>
    <t>ecr-124105</t>
  </si>
  <si>
    <t>Je remercie plus particulièrement le conseiller allianz de lagny sur Marne pour sa réactivité et son professionnalisme . Répondant à ma demande sans faire partie de son secteur . Il a répondu à l attente de tout client 
Tres bonne recrue au sein de votre agence 
Merci a cette personne
Ecr mme ducrot</t>
  </si>
  <si>
    <t>21/07/2021</t>
  </si>
  <si>
    <t>kd38-123939</t>
  </si>
  <si>
    <t>A FUIR ABSULEMENT : Pire assureur de France
5 mois que je n'ai pas reçu l'attestation verte, je me suis pris une amende de 35 euros pour non présentation de ce papier vert, par contre de ce qui est les prélèvements, ils ne se gênent pas
Service client injoignable comme par hasard
Avis aux clients: ne souscrivait jamais chez eux, payé plus cher mais chez un assureur sérieux, vous économiserez de l'espérance de vie 
Avis à Allianz : améliorer votre service client au lieu de sponsorisé des stades et des clubs de foot et arrêter de montrer une belle image sur les réseaux sociaux</t>
  </si>
  <si>
    <t>20/07/2021</t>
  </si>
  <si>
    <t>alfred-123882</t>
  </si>
  <si>
    <t xml:space="preserve">Assureur de mèche avec l'expert pour prendre le moins en charge, vous faire poireauter (jusqu'à 1h30 au standard, 1 mois sans voiture) et vous faire miroiter un service réclamation qui n'a aucun rôle. </t>
  </si>
  <si>
    <t>19/07/2021</t>
  </si>
  <si>
    <t>pascale-123346</t>
  </si>
  <si>
    <t>A FUIR 
DEPUIS QU IL ONT REPRIS LES CONTRAT ALL SECUR 
INFERNALES  !!!
ON NE RECOIT AUCUN DOCUMENT
PAS D ECHEANCIER PAS DE CARTE VERTE
AUCUN CONTACT POSSIBLE
JUSTE DES PRELEVEMENTS !!</t>
  </si>
  <si>
    <t>13/07/2021</t>
  </si>
  <si>
    <t>jr-122421</t>
  </si>
  <si>
    <t xml:space="preserve">a fuir!!!!!!! j'ai du attendre 2 mois pour avoir la carte verte d assurance pour ma voiture  avec un papier provisoire d assurance qui ce terminer au bout de 1 mois je ne savait même pas si j était assurer service client injoignable conseiller aussi, on se demande si c est vraiment une assurance Allianz  et le comble de tout c est que je payer tous les mois 41 euro
et la d  un seul coup on me prélève 171 euro sans aucune raison et toujours pareil aucun service client qui répond ni conseiller ou j ai du envoyer 15 mail bravo Allianz !!!!! </t>
  </si>
  <si>
    <t>05/07/2021</t>
  </si>
  <si>
    <t>g-dubos-121980</t>
  </si>
  <si>
    <t>Le niveau d'incompétence est à son maximum. Petite histoire. J'ai reçu une lettre recommandée de résiliation de mon contrat auto pour sinistralité trop importante. Apres vérification du relevé d'information est faux, un sinistre a été saisie deux fois. La correction est faite mais il faut attendre que l'information remonte dans les systèmes... donc j'attends mais je ne suis plus assuré par Allianz et les autres assureurs ne veulent pas m'assurer ou à des prix ... Alors le plus simple c'est de ne pas aller chez Allianz, site internet du moyen âge, à priori système d'information aussi pourri, délai d'attente au téléphone invraisemblable, j'ai passé au mon 4 heures en deux jours à écouter les messages d'attente. Je vous passe les autres problèmes administratifs. J'ai changé de banque, malheur m'a pris. Nous avons échangé une dizaine de courrier. Après enquête, une partie des services ont été délocalisés en Bulgarie, vous savez le problème des économies, la difficulté c'est que la plupart d'entre eux ne parle pas ni le français ni l'anglais…. et chez Allianz on parle prés peu le bulgare.    J'ai des contrats personnels et professionnels je traite et en direct et avec un agent, et bien c'est pareil tout se passe bien de la signature des contrats à la réception de votre premier paiement, après c'est la débandade. Premier assureur européen et le quatrième au monde, je vous conseille d'aller chez les autres plutôt en tout cas pas chez le premier…</t>
  </si>
  <si>
    <t>aftbst-121518</t>
  </si>
  <si>
    <t xml:space="preserve">l'espace client ne fonctionne pas (gelé suite à la fusion mais ça dure depuis 6 mois) 
Plus d'une heure d'attente au téléphone
il existe des adresses mail de contact, mais au téléphone on vous dit qu'il faut utiliser "h904741@allianz.fr" (allez deviner ça) 
le service client est agressif et vous donne des leçon pour au final vous renvoyer une attestation périmée. 
Bref Allianz c 'est que le nom, le reste est à fuir. 
</t>
  </si>
  <si>
    <t>29/06/2021</t>
  </si>
  <si>
    <t>particulierencolere-117965</t>
  </si>
  <si>
    <t xml:space="preserve">A FUIR !!!! J'ai souhaité assurer mon véhicule dans les règles, j'établis un devis au téléphone en expliquant que c'est mon frère qui va payer les cotisations mais que c'est bien moi qui suit la propriétaire du véhicule et qui l'assure en mon nom. 
Après avoir payé pas moins de 121 euros de cotisation pour 1 mois seulement (cotisation élevée mais "censée me permettre d'être assurée pour 3 mois d'avance" m'avait-on dit), j'ai donc envoyé tous les papier pou finaliser le devis, j'avais 1 mois pour cela sinon il y avait "rupture du contrat". 
N'ayant toujours pas de nouvelle, un peu avant le mois écoulé, j'appelle l'assurance pour être certaine que le dossier a bien été validé. C'est alors que la personne au bout du fil s'aperçoit seulement que ce n'est pas mon nom et prénom qui apparait sur le RIB mais celui d'une autre personne, à savoir mon frère qui à le même nom que moi (je tiens à signaler au passage...). 
J'explique pour la 2ème fois que c'est mon frère qui va payer l'assurance de ma voiture pour moi et là le monsieur m'annonce que c'est impossible car c'est obligatoire que la personne qui assure son véhicule soit le titulaire également du RIB ("où bien le conjoint à la rigueur"). Ce qui ne m'a jamais été indiqué auparavant lors de l'élaboration du devis par téléphone, où alors quand j'ai envoyé tous les justificatifs papiers et que l'assurance qui vérifie les données  n'a même pas pris la peine de décrocher son téléphone pour m'informer que mon frère ne pouvait pas être le payeur. 
Comme le mois est écoulé, je viens de perdre 121 euros pour seulement 1 mois d'assurance ! 
Lorsque j'ai appelé pour me plaindre de cette négligence et de la désinformation dont ils ont fait preuve, je n'ai eu qu'un "je ne peux rien faire pour vous c'est trop tard". 
Ce manque total de professionnalisme, d'incompétence et de négligence devraient être dénoncé et condamnable. 
NB: Après avoir contacté d'autres assurances, constat accablant... c'est bien une des seules assurances qui n'acceptent pas le RIB d'une tiers personne quand vous ne pouvez le faire vous même pour quelques raisons que ce soit (financière ou autre...) et qui ne regardent que vous, et surtout que les assurances ne devraient même pas avoir à en connaitre les raisons, du moment que quelqu'un paie leur fichue assurance ! </t>
  </si>
  <si>
    <t>alexandra-f-105324</t>
  </si>
  <si>
    <t>J’étais chez AllSecur depuis des années. Les problèmes ont commencé lors de la fusion/réorganisation avec Allianz.
Dysfonctionnements en chaîne, impossibilités de joindre le service clients et erreur d’aiguillage dans tous les sens. Ils finissent par me proooser une migration du contrat d’AllSecur Vers Allianz à des conditions avantageuses que j’accepte. Mal m’en a pris… Il y a une erreur dans le contrat que je n’arrive pas à faire rectifier et j’erre depuis des mois de services en services sans solution. Des heures d’attente au téléphone, des agents résignés qui ne savent pas comment résoudre la situation, un espace en ligne où il manque les documents contractuels, des mails depuis l’espace sans jamais de réponse, etc.
Passez votre chemin, c’est un cauchemar. Et je dois attendre encore quelques mois pour résilier.
Plus jamais Allianz.</t>
  </si>
  <si>
    <t>12/06/2021</t>
  </si>
  <si>
    <t>celine13-113914</t>
  </si>
  <si>
    <t xml:space="preserve">Catastrophique 2 mois que jattend la modification de mon relevé d'information suite a une erreur de leur part 
Impossible de les avoir au téléphone 
J'ai résilier il m'ont prélève sans raison je bataille pour les joindre au téléphone 
A BANIR attention c'est une Catastrophique cette assurance 
Ya que le service adhésion qui repond en 2s foutage de geule </t>
  </si>
  <si>
    <t>17/05/2021</t>
  </si>
  <si>
    <t>ceze30-113562</t>
  </si>
  <si>
    <t xml:space="preserve">- Compagnie trop chère par rapport à la concurrence et même nouveau contrats ALLIANZ. J'en était conscient, mais jusqu'à il y a deux trois an, mon Agent était d'excellente qualité (LANGLET à 51100 REIMS).
- A chaque changement de véhicule création d'un nouveau contrat ... Serait-ce pour contourner la loi HAMON  ??? (aujourd'hui c'est mon cas) ... Il me semblait que le contrat était attaché à un souscripteur pour un véhicule dédié qui pouvait changer (cas des possesseurs de véhicules qui ne les conduisent pas eux-mêmes).
- Je suis client fidèle à mon Agent depuis UN DEMI-SIECLE avec à peu près 50 VEHICULES EN TOUS RISQUES.
- Compagnie trop lente au niveau administratif, sauf pour dire non ou faire rentrer l'argent:
j'aI un SANDERO STEEPWAY acquis en 09/2020 ...  IMPOSSIBLE D'OBTENIR LE CONTRAT DEFINITIF, suite à leur erreur de date de permis me concernant ... seule la compagnie peut
rectifier  ... Pourtant deux dates différentes pour un même permis, celà devrait les alerter, sur la CLIO et la SANDERO (heureusement j'ai un mail de l'Agent me confirmant que je suis assuré.
Merci de transmettre
 </t>
  </si>
  <si>
    <t>12/05/2021</t>
  </si>
  <si>
    <t>saufyen-113042</t>
  </si>
  <si>
    <t xml:space="preserve">Assurance non fiable à éviter!!! 
Aucune gestion des sinistres, ayant eut un sinistre ( vol de véhicule) le 03/10/2019 aujourd’hui nous sommes le 06/05/2021, 1 an et demi passé et je ne suis toujours pas indemnisé.
Cela fait plus d’un mois que mon dossier est complet, (entre les pbs de l’expert qui perds les clefs du véhicule  et les demandes de documents  impossibles à obtenir) tout cela pour retarder l’échéance. 
On attend toujours une l’indemnisation par une société fantômes dans le paiement et bien présente lorsqu’il faut encaisser les primes d’assurance....
N’espérer pas que cet assureur soit présent en cas de malheur!!  Éviter le!! </t>
  </si>
  <si>
    <t>07/05/2021</t>
  </si>
  <si>
    <t>michel-111935</t>
  </si>
  <si>
    <t>Bonjour, Allianz uniquement bon pour payer, pour rembourser une autre affaire....
A Fuir je vous déconseille cette assurance....
Je vais enlever tout mes contacts.</t>
  </si>
  <si>
    <t>28/04/2021</t>
  </si>
  <si>
    <t>lolodeuch-111284</t>
  </si>
  <si>
    <t xml:space="preserve">service sinistre ALLIANZ injoignable. ne répondez que très rarement au mail. besoin de faire de très nombreux rappel. aucune identité des personnes qui répondent ..en deux mots NUL. </t>
  </si>
  <si>
    <t>simbab-111235</t>
  </si>
  <si>
    <t xml:space="preserve">Une catastrophe,fuyez fuyez....3 jours pour essayer de les joindre .des attentes interminables avec une musique infernal pour finir 35mn après par raccrocher et  recommencer pour un autre calvaire.ce matin 2h30 au téléphone 7 interlocuteurs différents ballade d'un personne et d'un numéro à un autre.tjrs pas ds solution...on doit me rappeler. Je résilié mon contrat au plus vite encore va t il falloir que je puisse obtenir mes informations de leur part pour les quitter..fuyez fuyez..... </t>
  </si>
  <si>
    <t>christian-109877</t>
  </si>
  <si>
    <t xml:space="preserve">service client a la dérive et ne renseigne en rien.Service incompétent ne répondant pas aux questions.
Apres de multiples questions a propos des protections juridiques ,je n´ai aucune réponse et ai pourtant déclaré 3 litiges sur la meme affaire me concernant avec tout les details apportés.Le premier litige date du 10 Fevrier et aucune REPONSE!!
</t>
  </si>
  <si>
    <t>10/04/2021</t>
  </si>
  <si>
    <t>tebopro-66397</t>
  </si>
  <si>
    <t xml:space="preserve">Mon assurance auto à connu des difficultes de prélèvements. C'était lié à une fusion. Je les ai alerté en remplissant des papiers pour leur rendre service. Pour me remercier, ils m'ont radié avec effet rétroactif. Des seigneurs dans les deux sens de son orthographe. Très étonné de la manière dont ils traitent les honnêtes gens. Que font ils aux autres ? </t>
  </si>
  <si>
    <t>gino4619-105817</t>
  </si>
  <si>
    <t xml:space="preserve">Zero étoile n’existe pas ? Bien dommage 
E-Allianz a fuir ! Aucun contact par téléphone 
Tout les documents ont étaient envoyé sur 2 boîtes mail différentes .. aucune réponse.. à part un retour comme quoi la boîte mail est pleine 
Je me retrouve avec un contrat résilié par cette assurance , donc aujourd’hui sans assurance 
Prélèvement litigieux 
Une honte de voir ça ! Ne pas souscrire ! </t>
  </si>
  <si>
    <t>bertrand60-104087</t>
  </si>
  <si>
    <t xml:space="preserve">j'ai voulut changé pour le prix et je peut dire les banque doives rester des banques et pas des assureur et j'ai donc glissé et que des problèmes a ce jour je n’arrive plus a assurer ma voiture donc je regrette vraiment les trois autres voiture reste chez vous....... la quatrième et voué a dormir au garage pour mon erreur de vouloir changer   </t>
  </si>
  <si>
    <t>lelinuxienfou-104245</t>
  </si>
  <si>
    <t>N'ayant pas eu besoin de leurs services, je ne peut me prononcer que pour leur tarif qui devient prohibitif si l'on reste chez eux. Encore une assurance qui prend le client pour crésus.</t>
  </si>
  <si>
    <t>cyrorh-104239</t>
  </si>
  <si>
    <t>bonjour,
très mauvais assureur, 10ans pour les avoirs au téléphone, délais de réponse par mail inexistant,  a fuir au plus vite ! ne vous engager pas ! toujours pas de réponse a mon LRAR après 2mois</t>
  </si>
  <si>
    <t>jpb3166-104001</t>
  </si>
  <si>
    <t>Assurance non reconduite à cause du tarif trop élevé par rapport à une autre offre ,pour des garanties identiques et même meilleures pour certaines.
tarif rediscuté avec Allianz avant décision.</t>
  </si>
  <si>
    <t>11/02/2021</t>
  </si>
  <si>
    <t>lili999-103548</t>
  </si>
  <si>
    <t>A fuir on a l'impression d'être au service SFR, des incompétents, après un sinistre en novembre nous n'avons toujours pas reçu d'indemnisation...les conseillers au téléphone vous racontent n'importe quoi le suivi de dossier est inexistant nous n'avons reçu aucun écrit pour nous informer du montant de l'indemnisation... le paiement a été soit disant valider le 17 decembre et à ce jour ...toujours rien ... je pensais qu'en payant plus cher nous aurions un service client digne ... zero la tête à toto... ils sont lamentables et depuis le covid pire ...des incompétents pareils ... minables... Ils ne méritent pas d'avoir des clients ....je vais prendre une assurance en ligne au moins je saurai à quoi m'attendre ....pas de service mais moins cher</t>
  </si>
  <si>
    <t>02/02/2021</t>
  </si>
  <si>
    <t>ricnoy37-103156</t>
  </si>
  <si>
    <t xml:space="preserve">Comme tout assureur, Allianz pratique les tarifs dont ils ont envie et ne se base pas sur de vraies statistiques, leurs tarifs sont donc prohibitifs mais dans le même ordre d’idée des autres. De même, s’il vous est arrivé plusieurs sinistres non responsables et démontrés comme tels, vous êtes de toutes façons responsables car ses sinistres vous sont redevables car il n’y a plus de véritable responsabilité entre assureurs, ils s’arrangent entre eux. Du coup, même si vous n’êtes pas responsables, vous l’êtes quand même et lorsque vous demandez une révision de votre contrat car pas de sinistres responsables depuis plus de dix ans, on vous ressort les vieux dossiers non responsables qui font qu’ils ne peuvent rien faire pour vous ou du moins, ne veulent rien faire pour vous. </t>
  </si>
  <si>
    <t>24/01/2021</t>
  </si>
  <si>
    <t>noogle-103109</t>
  </si>
  <si>
    <t>Une assurance à éviter absolument . Ils ne remboursent pas . Une honte totale  , une assurance bidon .à éviter absolument !! Pourquoi la sncf cautionne cette entreprise ?</t>
  </si>
  <si>
    <t>22/01/2021</t>
  </si>
  <si>
    <t>claude-103065</t>
  </si>
  <si>
    <t xml:space="preserve">10 jours pour recevoir un relevé de situation.
8 h pour réunir a joindre le service client à raison de une heure par jour.
150 euros d'augmentation pour une portière qui vient heurter l'aile arrière du véhicule à gare à côté de moi.
Je ne souhaite pas être contacté par cet assureur, je vais le quitter au plus vite.
Plus jamais
</t>
  </si>
  <si>
    <t>idf92-102994</t>
  </si>
  <si>
    <t xml:space="preserve">J’ai eu un accident non responsable avec un des véhicules de la société assurer par Allianz en tous risque, le sinistre a eu lieu le 16 août 2020, l’expert a rendu son rapport d’expertise le 01/09/2020, véhicule réparer en garage le 16/09/2020 avec facture acquittée d’un montant de 2980€, facture envoyer au service indemnisation le 16/09/2020, nous somme le 21 janvier 2021 et je n’ai toujours pas eu de remboursement, j’ai appelé le service indemnisation au moins 20 fois, dernière appel hier, et comme d’habitude toujours la même répons le gestionnaire qui s’occupe de votre dossier n’est pas disponible... je laisse un message pour qu’il vous rappel en urgence...
La moindre des choses serai qu’on me rappel. 
Plus jamais je ne reprendrai une assurance chez Allianz, je vous conseil d’en faire autan... </t>
  </si>
  <si>
    <t>jacmic-102801</t>
  </si>
  <si>
    <t>ALLIANZ est une très bonne compagnie d'assurances. J'ai rencontré mon Agent d'assurances pour une mise au point de mes contrats santé, multirisque habitation, voiture, suite à l'augmentation de ma complémentaire. J'ai été très bien renseigné avec des modifications à tous mes contrats avec des garanties plus étendues et des tarifs très compétitifs. De plus je suis reparti avec un nouveau contrat me garantissant les "accidents de la vie".
En avril 2020, j'ai eu un petit accrochage avec ma voiture, tout s'est très bien passé malgré "la codiv". Gardons le contact humain avec nos assureurs !!!</t>
  </si>
  <si>
    <t>18/01/2021</t>
  </si>
  <si>
    <t>quentinlvstr-102675</t>
  </si>
  <si>
    <t>Minable, tout simplement.
Après souscription, ne vous attendez a rien de leur part, pas meme la reception de votre carte verte (j'attend la mienne depuis fin septembre 2020, nous sommes en mi-janvier 2021)
les commerciaux sont très gentil pour vous faire souscrire a une assurance, mais une fois signé, une question sur votre contrat ? n'attendez aucune réponse, j'ai du envoyer une 20aine de mails et on ne m'a jamais répondu, JAMAIS.</t>
  </si>
  <si>
    <t>fratmo-102266</t>
  </si>
  <si>
    <t xml:space="preserve">Je ne recommande pas du  tout cette assurance. Il faut s'armer de patience pour les avoir au téléphone pour un renseignement sur notre contrat auto (25mn d'attente). Je fini par enfin avoir quelqu'un qui, n'ayant pas la réponse à ma question, me met en attente. Après une nouvelle attente de 15mn, j'ai finalement décidé de raccrocher. Inadmissible !!!
Pas de réponse au mail non plus. 
Peut-être que le service client d'Allianz me rappellera après ce post, mais rien de sûr !
</t>
  </si>
  <si>
    <t>06/01/2021</t>
  </si>
  <si>
    <t>ibra80-101842</t>
  </si>
  <si>
    <t xml:space="preserve">Cette compagnie c'est une vraie catastrophe. Conseillers pas compétents, pas polis, pas accueillants. Au niveau du service client c'est zéro! Les conseillers sont désagréables et te raccrochent au nez. J'ai envoyé une lettre de recommandé avec accusé de reception, pour une résiliation, j'ai jamais reçu de retour de leur part. J'ai appelé et ils ne savent rien du tout, ils m'ont donné un mail. J'ai donc envoyé un mail avec tout les documents, le mail ne marche même pas, un mail de refus automatique m'a été adressé. J'ai donc rappelé, et ils m'ont raccrochez au nez. C'est du jamais vu, tant au niveau des services qu'au niveau de la relation avec le client. Je déconseille fortement cette assurance! </t>
  </si>
  <si>
    <t>cha-101488</t>
  </si>
  <si>
    <t xml:space="preserve">Cette assurance est une grosse blague ! 
Ne réponds jamais ! Impossible d’avoir un conseiller. Attente interminable. Je décide donc de me rendre en agence. On me dit qu’on ne peut pas m’aider (je voulais revoir le coût de mon assurance auto) car j’ai souscrit l’assurance sur internet et non en agence?! A rien y comprendre ! J’insiste. Me demande si je suis frontalière ?! Quel rapport ? Lorsque je dis non, me dit qu’il ne peut pas accéder à mon dossier. (Il en a surtout rien à foutre!)
Je reçois au mois de novembre un document me certifiant n’avoir pas payer mon assurance. J’apprends par la suite que c’est un bug  national de leur part. Sans explication, il retire donc 50 balles à deux reprises. 
Fin c’est une blague. Un sketch. 
Heureusement je n’ai pas eu de soucis durant mon contrat ! Injoignable ! </t>
  </si>
  <si>
    <t>manucat-101155</t>
  </si>
  <si>
    <t xml:space="preserve">Je déconseille fortement. Depuis 6 mois, j'essaie de récupérer des  échéances prélevées après ma résiliation. Les courriels que j'adresse au service client restent sans réponse et les appels téléphoniques (en moyenne 30 mns à chaque fois) n' aboutissent pas. Beaucoup d'énergie pour rien. Un conseil : il vaut mieux parfois payer un peu plus cher et avoir une qualité de service. </t>
  </si>
  <si>
    <t>sben-100572</t>
  </si>
  <si>
    <t>Service complètement débordé. Des augmentations de tarifs sans lien avec le marché. Très mauvais payeurs en cas de sinistre. Cette entreprise ne pense pas aux clients. Il n’y en a que pour l’actionnaire !</t>
  </si>
  <si>
    <t>leacamara-100561</t>
  </si>
  <si>
    <t xml:space="preserve">Tres bon assureur, très aimable et surtout très arrangeant. Malheureusement suite à des impayés mon contrat à dû etre résilié. En esperant bientôt revenir chez allianz. </t>
  </si>
  <si>
    <t>fred-100344</t>
  </si>
  <si>
    <t>Assurance moitie prix de la mienne  mais depuis que j ai signé mon contrat et qu il m on preleve la première échéance plus moyen de les avoirs au téléphone  ne réponde pas au mail que je leurs envoyé je ne sais plus comment faire 
Aidez moi</t>
  </si>
  <si>
    <t>d-gin-100144</t>
  </si>
  <si>
    <t>pour les prelevement pas de soucis LOL .sur le site eallianz  fusion avec calypso assurance tout se complique au telephone on vous annonce 5mn d'attente le plus rapide que j'ai eux est "30mn .pas d'acces a votre espace perso suite a la fusion (leur réponse) 3 appel et j'ai tjr pas ma carte verte total plus de 2 h au telephone .déclaration de bris de glace fait le 2/11 déclaré et confirmé par un email de sinistre calypso.fr  . le 16/11 je vais au nouvelle par telephone (tjr pas d'accés a l'espace perso grrrr) pour voir l'avancement du dossier et la on m'annonce que mon sinistre n'est pas enregistré NUL...NUL NUL</t>
  </si>
  <si>
    <t>mercedes2a-99979</t>
  </si>
  <si>
    <t xml:space="preserve">Bonjour tout le monde,
Mon cas est très simple, j'ai souscrit à une assurance auto début septembre chez Allianz (Mercedes a200).
Bon, toute la procédure de souscription aucun soucis, par contre une fois terminé on me réclame des documents que j'envoie immédiatement.
Le contrat est bien affiché sur mon espace tout les documents son ok, parfait.
Par contre je recevais toujours des mails de relance pour m'indiquer qu'il manquait toujours un document, bon je vérifie, tout me semble ok. J'appel donc un conseiller de chez Allianz, qui me confirme que tout est ok pas de soucis, le bot qui me spam je ne dois pas en tenir compte, ok. 
Sauf que la actuellement, j'ai payé un trimestre soit 280€, et a l'heure d'aujourd'hui le problème n'est toujours pas réglé est j'ai reçu un email m'indiquant la fin de mon contrat début novembre ?? 
Comment est ce possible un temps de traitement d'information aussi long!
Je me retrouve donc sans assurance auto et impossible d'avoir des informations sur mon contrat car c'est un contrat souscrit par téléphone (contrat commençant par AF).
Honteux, je déconseille cette assurance, service client 0 pointé messieurs !!
</t>
  </si>
  <si>
    <t>11/11/2020</t>
  </si>
  <si>
    <t>daniel--99907</t>
  </si>
  <si>
    <t>J’ai eu un accident au mois d Août, voiture à la casse, pas fautif, j’étais assuré tous risques, ils me doivent toujours 10.000€ pour que je puisse m’acheter une voiture,on est au mois de novembre, je  me retrouve à pied en ce moment, j’appelle tous les jours le service sinistrés pour savoir où nous sommes pour le virement, ils disent toujours qui est en cours, ils trouvent des choses comme ma nationalité, je suis portugais, donc voilà pourquoi ça prend du temps pour faire le virement alors que j’ai un contrat français , et j’habite en France avec une banque française, ils sont juste horribles et de mauvaise foi, j’ai reçu un texto en disant que le virement a été fait il y a 1 mois, mais apparemment c’était accidentelle, pire qu Allianz je pense pas que ça existe à fuir !!!!</t>
  </si>
  <si>
    <t>09/11/2020</t>
  </si>
  <si>
    <t>grimaash-99429</t>
  </si>
  <si>
    <t xml:space="preserve">Je suis extrêmement deçu car la conseillère que j'ai eu au téléphone m'a caché la tacite reconduction du contrat !                                      
</t>
  </si>
  <si>
    <t>serge-99154</t>
  </si>
  <si>
    <t xml:space="preserve">Tarifs de plus en plus chers.
Acceuil téléphonique est bon.
Maintenant quand on compare aux autres assurances, on se rends compte que beaucoup d'options différent entre elles. 
Mais bon, un peu chère. </t>
  </si>
  <si>
    <t>claire-98926</t>
  </si>
  <si>
    <t>Un accident survenu le 25/01/2020 et la problématique n'est toujours pas résolu le 19/10/2020. A fuir tout comme Assur People qui est dans l'incapacité de traiter le dossier comme il faut. Incompétences à tous les niveaux. Personne ne rappelle jamais. Impossible d'avoir un cadre au téléphone. Une catastrophe.</t>
  </si>
  <si>
    <t>fd-98846</t>
  </si>
  <si>
    <t>Je n'ai pas eu de sinistres depuis que je suis chez allianz je ne peut donc pas juger de leur efficacité par contre je trouve les prix élevés par rapport à la concurrence. Les conseillers de clientèle sont très disponibles sympathiques et efficaces. J'envisage cependant de changer s'ils ne revoient pas leurs tarifs.</t>
  </si>
  <si>
    <t>yarek-98785</t>
  </si>
  <si>
    <t>30 minutes d'attente à chaque appel.
Société très compétitive tant que la seule relation que vous avez avec elle est de payer la cotisation. 
Petite anecdote: j'essaye de supprimer un sinistre et un malus qui.. n'a jamais eu depuis 2 semaines. L'assurance admet s'être trompé, mais... ne corrige pas son erreur. Des coups de fil en pagaille, des messages et ces attentes insupportables au téléphone. 
JE DECONSEILLE FORTEMENT</t>
  </si>
  <si>
    <t>15/10/2020</t>
  </si>
  <si>
    <t>judel34-98769</t>
  </si>
  <si>
    <t>Prix exorbitant pour jeune conducteur comme moi et faire déclasser ma pauvre petite voiture accidentée seulement pour 2 coups aux pares-choc (mais qui roule encore impeccablement) alors que je suis en total droit sur l'accident, je trouve cela tellement honteux. Les gens qui n'ont pas de grands moyens pour s'acheter une voiture neuve, une seule solution : TRACEZ VOTRE CHEMIN !!!!!!!!!!!</t>
  </si>
  <si>
    <t>lowlow-98667</t>
  </si>
  <si>
    <t>Tarif non attractifs.
Résiliation très compliquée cela fait 7mois que l autre assurance renvoie les papier résiliation mais Allianz fait la sourde oreille.. 
Je déconseille fortement.</t>
  </si>
  <si>
    <t>les-pigeons837-98624</t>
  </si>
  <si>
    <t>Mon ex - agent d’assurance m’a fait savoir suite à mon mécontentement   qu’ils avaient beaucoup de clients et qu’il donnait la préférence aux professionnels d’ailleurs le prix de notre assurance voiture était exagéré et ne tenait pas compte de notre bonus (0,50), J’en conclu qu’Allianz se moque des particuliers et nous  faisait payer le prix fort c’est j’ai pourquoi j’ai mis 1 étoile mais par obligation .Cette compagnie ne pense qu’à faire du business . En Allemagne c’est la même méthode .</t>
  </si>
  <si>
    <t>ameame-98549</t>
  </si>
  <si>
    <t xml:space="preserve">Attention, pour prendre argent chaque moi, augmenter les cotisations sans vous prévenir ce sont les premiers mais par contre, prendre en charge des réparations suite a des dégâts ça .... ils ne savent pas faire !!
Cela fait 5 mois qu'ils m'envoient des gens de chez eux pour constater et constater et puis au bout de 5 mois, alors qu'ils connaissent très bien l'histoire du sinistre, un soit disant expert m'appelle pour me dire qu'il classe le dossier sans suite car au final c'est l'assurance du bailleur de payer ...... 5 mois pour savoir que c'est a l'assurance du bailleur de payer ? 
Non juste qu'il faut changer tout le parquet il faut PAYER oui mince alors IL FAUT SORTIR un peu d'argent pour un assuré ....
Il y a 3 ans, la même, une petite fuite d'eau dans ma cuisine a abimé quelques lattes du parquet, ,alors cette fois ci, comme chez dans ma cuisine, la plomberie c'est donc à ma charge, tranquille quoi ...... c'est pas à eux c'est à moi de payer parce que c'est dans ma cuisine ......
Voila Allianz c'est ça ..... 0/20 </t>
  </si>
  <si>
    <t>lomar--98241</t>
  </si>
  <si>
    <t xml:space="preserve">J'ai été assuré par e. Allianz, une filiale du  groupe Allianz, et j'ai rencontré des problèmes financiers. Impossible de les contacter par téléphone, inadmissible. J'ai été résilié sans pouvoir trouver une solution amiable. Je déconseille fortement... </t>
  </si>
  <si>
    <t>nath-97609</t>
  </si>
  <si>
    <t xml:space="preserve">Je trouve le rapport qualité prix c’est très satisfaisant. Agence réactive et professionnel que je  recommande fortement a tout mon entourage. 
Cordialement. </t>
  </si>
  <si>
    <t>19/09/2020</t>
  </si>
  <si>
    <t>marie030369-97540</t>
  </si>
  <si>
    <t>A eviter a tout prix!!!depuis 1 an j attends d etre indemnisé mais allianz dit qie la resplnsabilote est de la police far in fiyard m a percute ai fei aors qui fuiyait la poloce.sauf qie allianz ne fait rien m invente uq ils relancent mais sont incapable de me donner les lettres de relances pire aicun correspondant à la prefecture de police..donc ils relancent qui??!!et ca dure depuis 1 an!! Minable!! Pour une pub ou ils disent qu ils vousxaccompagnet. Faux!!!</t>
  </si>
  <si>
    <t>waldo67-97435</t>
  </si>
  <si>
    <t xml:space="preserve">UN an que j attend un remboursement  pour vol de materiels, vraiment lamentable en plus ils m on fait comprendre que j étais le voleur. J ai 3 véhicules 4 mutuelles une garantie décennal et qq autres contrat chez eux aujourd’hui hui je regrette ils maltraitent leurs clients. j  ai toujours honoré mes mensualités et la c est pas réciproque </t>
  </si>
  <si>
    <t>francky13-97297</t>
  </si>
  <si>
    <t>Bonjour, allianz mon dieux quel horreur sa fais 6 ans que je suis chez eux j'ai juste vendu ma voiture et assurer une autre voiture enfin c'est se que je pensé sauf qu'au final j'ai appris que mon ancien véhicule que j'ai vendu il y a un mois est toujours assuré et que mon nouveau véhicule n'es toujours pas assurée sa fait un mois que je roule sans assurance et que la personne de Allianz que j'avais eu au téléphone me dit oui c bon vous êtes assuré alors qu une autre viens de me dire que pas du tout bref...oui j' aurais pu m'en rendre compte plus tôt sauf que pour les avoirs aux téléphone il faut paussé une journée de vacances mais merci a eux d'avoir était incompétent car je n'ose même pas imaginé en cas d'accident comment sa se serait passé pour mon cas bref Allianz c'est des incompétent, impossibilité de les avoirs au téléphone et merci et au revoir</t>
  </si>
  <si>
    <t>11/09/2020</t>
  </si>
  <si>
    <t>mae-97147</t>
  </si>
  <si>
    <t xml:space="preserve">Les assureurs ALLIANZ sont des vrais partenaire avec notre entreprise "KANOPII IMMOBILIER" . Ils sont 100% fiable et fier de leurs métiers. Avec de très bons résultats. 
</t>
  </si>
  <si>
    <t>08/09/2020</t>
  </si>
  <si>
    <t>dede-27-96887</t>
  </si>
  <si>
    <t xml:space="preserve">Vous payer pendant 30 ans sans avoir de soucis et 2 incident en 6 mois . 1 phare cassé et 6 mois après 1 pare brise on augmente mon assurance de 10€ par mois et quand je les ai appelé il m’on dit que c’est normal. J’avais plus qu’une assurance chez eux. Normal j’ été obligé de vendre ma maison qui était assuré chez eux car je me suis retrouvé DDF et donc pour eux c’e Normal que je paye 120€ de plus par ans os mon assurance était déjà de 800 € environ part an </t>
  </si>
  <si>
    <t>31/08/2020</t>
  </si>
  <si>
    <t>krayem-96070</t>
  </si>
  <si>
    <t>je ne suis pas satisfait du tout.
beaucoup des problèmes avec mon assureur actuel 
pourtant je suis assuré depuis longtemps.
j'aime bien trouver un autre assureur</t>
  </si>
  <si>
    <t>nolch-66966</t>
  </si>
  <si>
    <t xml:space="preserve">Très déçu.
Il y a 1 an, j'ai pas eu de chance le même mois, j'ai eu un accrochage en me garant donc responsable et une personne qui m'a grillé la priorité donc non responsable et ils me resilie. Parce que soit disant j'ai eu trop d'accident 
Heureusement que des assurances plus humaines existe. Et avec des prix aussi competitif. 
</t>
  </si>
  <si>
    <t>06/08/2020</t>
  </si>
  <si>
    <t>may-95807</t>
  </si>
  <si>
    <t xml:space="preserve">Je suis assurée chez assureo depuis un ans,après deux accrochages avec mon véhicule non responsable ils  décident de mettre fin à mon contrat auto??? accidents non responsable, zéro responsabilité, c'est à dire que je ne pouvais rien faire pour empêcher cela,je reçois une lettre recommandée de résiliation,donc désormais moi je suis fiché AGIRA,J'ai également un contrat habitation avec eux,après un dégât des eaux,même le mobilier abîmé n'est pas indemnisé car le rapport de l'expert mentionne que le sinistre est dû à un mauvais entretien de ma part,sauf que lorsque on prend une assurance on devrait être indemnisés de la perte de nos biens quelques soit la raison je pense que le mobilier endommagé devrait être prise en charge, moi je ne recommande pas Assureo,une mauvaise expérience pour ma part,le seul point positif de cette compagnie est l'accueil des conseillers clientèle le personnel est toujours très agréable et à l écoute, je souhaite tout de même souligner ce point. </t>
  </si>
  <si>
    <t>31/07/2020</t>
  </si>
  <si>
    <t>pascal-94974</t>
  </si>
  <si>
    <t>dommage que l on est obligé de laisser une étoile 
quand on appel on ne retrouve meme pas mon dossier et de plus on se fait rire au nez 
heureusement que vous faite ca par correspondance car devant votre client en face votre attitude serai différente du moins devant moi on verrai qui rira ce jour la</t>
  </si>
  <si>
    <t>djamesdu40-92838</t>
  </si>
  <si>
    <t>Depuis plus d'un an chez eAllianz. j'ai gagné 5% de bonus et mon assurance a augmenter, donc en un an l'assurance a augmentée de plus de 5%. Inadmissible. Service Client déplorable ! appelé 3 fois et se faire raccroché au bout de 20 min d'attente... je ne recommande pas eAllianz ! FUYEZ !</t>
  </si>
  <si>
    <t>30/06/2020</t>
  </si>
  <si>
    <t>mimi-92639</t>
  </si>
  <si>
    <t>J ai souscrit une assurance voiture avec eallianz qu'elle erreur que j ai pas fait !j ai payer jusqu'au mois de septembre ils ont reçus Ts les documents!!et il m envoie des attestations que pour 4jours et 6 fois les mêmes en 1 semaine!leur site est inaccessible!!Donc je ne conseil absolument pas mais alors pas du tout!! N:65040404 et en plus il me menace de garder mon argent alors qu ils ont tout ce qui leurs faut</t>
  </si>
  <si>
    <t>29/06/2020</t>
  </si>
  <si>
    <t>phil74-90305</t>
  </si>
  <si>
    <t>Le service client est au abonné absent. Personne ne réponds.</t>
  </si>
  <si>
    <t>evancs60-90223</t>
  </si>
  <si>
    <t xml:space="preserve">A fuir très sincèrement.
J ai payé 3 mois d assurance  et envoyé aussitôt les pièces justificatives par courrier et par mail au service client qui ne répond jamais. Résultat j ai reçu un courrier menaçant de ne plus être assuré car ils n avaient rien reçu. Ensuite après deux mois et des heures à attendre au téléphone on me dit que je suis bel et bien assuré.
Au final reçu une deuxième lettre me menaçant de nouveau de ne plus être assuré. J ai donc appelé hier un conseiller et au bout de 52 minutes d attente on me dit alors qu on me rappellera aujourd'hui. Et bizarrement pas d appel ce jour. 
Du coup je ne sais pas si je suis assuré ou non. 
ALORS CHER ALLIANZ SI UN PROBLÈME SURVIENT AVEC MON VÉHICULE (ACCIDENT) 
IL FAUDRA RÉPONDRE DE VOTRE INCOMPÉTENCE DEVANT LA JUSTICE CAR J AI GARDÉ TOUT L HISTORIQUE
À bon entendeur. 
</t>
  </si>
  <si>
    <t>isabeller03-88998</t>
  </si>
  <si>
    <t>Je profite d'avoir créé un compte sur ce site pour apporter ma contribution à l'assurance Allianz, voilà pas loin de 20 ans que je suis assurée chez eux pour tous nos risques, et pour rien au monde, je ne changerais d'assurance ! Réactifs, sympathiques, compréhensifs, rapides dans leurs interventions, les mots me manquent pour dire combien je suis contente d'être assurés chez eux !
des assureurs que je conseille vivement !</t>
  </si>
  <si>
    <t>zeuzeu12-88381</t>
  </si>
  <si>
    <t xml:space="preserve">J'ai eut un sinistre depuis 3 mois impossible de me rembourser pourtant le nécessaire à été fait, l'expert a donné son avis, le tier est identifié, depuis plusieurs mois pas de véhicule </t>
  </si>
  <si>
    <t>18/03/2020</t>
  </si>
  <si>
    <t>theking-88259</t>
  </si>
  <si>
    <t>Ça fait 1 semaine que je suis inscrit ,  Je n'ai toujours pas reçu mon contrat d'auto , Au bout de 5 appels au moins 3 heure passer au téléphone toujours riens, C'est inadmissible ,service client est vraiment nul nul mais nul ne savent même pas envoyé un document, !!! Je déconseille fortement !!! Si vous aimez votre votre temps !!!</t>
  </si>
  <si>
    <t>12/03/2020</t>
  </si>
  <si>
    <t>sebbane-88104</t>
  </si>
  <si>
    <t>C'est une très bonnes assurance  , j'ai jamais eu de problèmes avec eux.. je suis très satisfait.  Tous mes contrat sont chez eux et vraiment aucun souci.
Ils sont vraiment au top ALLIANZ  ,.. Mr sebbane Abdelaziz</t>
  </si>
  <si>
    <t>08/03/2020</t>
  </si>
  <si>
    <t>jo831304-87801</t>
  </si>
  <si>
    <t>On ressent un manque de volonté évidente de communication entre les agences " sur le terrain" et le e-allianz dont en compatie le client !</t>
  </si>
  <si>
    <t>harrycover-87008</t>
  </si>
  <si>
    <t>Lamentable de chez lamentable. Site Internet incompréhensible, je n'ai pas réussi à assurer mopn Audi TT. Du coup j'ai appellé un conseiller et je suis resté en carafe 10 minutes sans réponse. C'est d'une stupidité commerciale sans limites: Le client vient, et on le refusse. Un conseil: F.U.Y.E.Z!</t>
  </si>
  <si>
    <t>11/02/2020</t>
  </si>
  <si>
    <t>badboy59-87000</t>
  </si>
  <si>
    <t>Une assurance qui attend qui vous arrive un pépin fuyez car très déçu de cette assurance courtois mais des qu ils vous arrive un pépin il demande pas mieux augmenté votre cotisation même ci ce n est pas votre faute fuyez.fuyez</t>
  </si>
  <si>
    <t>kalia-86294</t>
  </si>
  <si>
    <t xml:space="preserve">Si tout va bien, tout va bien mais priez pour ne pas avoir de problèmes </t>
  </si>
  <si>
    <t>24/01/2020</t>
  </si>
  <si>
    <t>kwanik-82051</t>
  </si>
  <si>
    <t>J'attend l'avancement sur un sinistre depuis 6 mois, c'est un honte de traiter les gens comme ça. Impossible à joindre, malgré mes mails, je fais appel au médiateur des assurances. J'ai déjà résilié en attendant</t>
  </si>
  <si>
    <t>18/12/2019</t>
  </si>
  <si>
    <t>marydu40-80768</t>
  </si>
  <si>
    <t>Je paie trop cher d'assurance Auto pour le peu de garanties que j'ai</t>
  </si>
  <si>
    <t>passeio-79580</t>
  </si>
  <si>
    <t xml:space="preserve">Concerne la Délégation Régionale de Saint-Denis à La Réunion (974) : Lorsque vous leur téléphonez pour dénoncer un litige avec l'une de leur agence (qui applique 2 tarifs différents pour une même formule et qui ne sait pas vous expliquer pourquoi (service à la tête du client), vous êtes accueilli par une standardiste aux réponses imposées "je comprends" "je comprends" et qui répète votre nom à chaque fois qu'elle ouvre la bouche, qui transfère votre appel vers le service demandé (Service Production) qui n'est jamais joignable, et que votre appel revient au standard où l'on vous propose de laisser un message afin d'être rappelé mais que personne ne le fera, et vous rappelez le lendemain puis le surlendemain, et c'est reparti pour le même cirque!... </t>
  </si>
  <si>
    <t>nad-79576</t>
  </si>
  <si>
    <t>Avis plutot mitigé</t>
  </si>
  <si>
    <t>29/09/2019</t>
  </si>
  <si>
    <t>jc-79489</t>
  </si>
  <si>
    <t xml:space="preserve">Assurance qui m'a rajouter un surcout du à un accrochage donc je ne suis même pas sur d'être  réellement en tort. Plus de 20 euros par mois pour un impact de la taille d'une pièce de deux euros </t>
  </si>
  <si>
    <t>26/09/2019</t>
  </si>
  <si>
    <t>jahcyr-78578</t>
  </si>
  <si>
    <t>possesseur d'une chevrolet corvette de 1991, celle-ci a brulée, Allianz a refuser de m'indemniser sans justificatif d'origine des fonds ayant servis a l'achat du véhicule, il y a 27 ans... j'ai du faire appel a mon avocat pour obtenir satisfaction</t>
  </si>
  <si>
    <t>titi70-78329</t>
  </si>
  <si>
    <t xml:space="preserve">Une assurance à évité mensonge sur mensonge je vous l'a déconseille aucun remboursement en cas d accident </t>
  </si>
  <si>
    <t>09/08/2019</t>
  </si>
  <si>
    <t>chriscoup-78077</t>
  </si>
  <si>
    <t xml:space="preserve">Il ne faut pas avoir de sinistres même non responsable avec dommage corporelles car au niveau local pas de réponse c'est une boite à lettre, et au siège pas d'information au téléphone encore moins par courriel.  </t>
  </si>
  <si>
    <t>31/07/2019</t>
  </si>
  <si>
    <t>alaintaluyers-77158</t>
  </si>
  <si>
    <t>seul le tarif est attrayant, pour le reste vous repasserez. Vous attendez 1/2 heure au téléphone qu'on veuille bien vous répondre.Ensuite je me suis retrouvé avec un problème qui aurait pu avoir de graves conséquences; J'avais un véhicule assuré chez eux, puis j'ai donné ce véhicule à mon fils, lorsque mon fils a changé de véhicule il a mis le nouveau à son nom et là c'est le début des ennuis. Je reçois une lettre recommandée me signifiant que puisqu'il y avait un changement de propriétaire sur la carte grise mon contrat se terminerait dans 8 jours. Dificile de se retourner en si peut de temps. Je faisait une demande à la Préfecture pour faire rajouter mon nom comme co-titulaire mais les formalités peuvent durer 1 mois, je fourni à ALLIANZ les documents de ma demande auprès de la Préfecture mais la compagnie ne me répond pas. 8 jours plus tard je reçois un autre recommandé m'informant que la date mentionnée dans le premier recommandé signifiait bien la résiliation de mon contrat. J'appelle ALLIANZ en leur disant que si les termes ''résiliation pour aggravation de risques'' étaient maintenus j'aurai des difficultés à m'assurer rapidement, ALLIANZ n'a rien voulu savoir. Fort heureusement AXA a en portefeuille 12 autres de mes contrats et j'ai pu y rajouter celui-ci sans trop de problème, mais je me mets dans la situation d'une personne qui n'aurait pas ces moyens, comment fait-elle pour trouver un assureur avec ce motif. J'ajoute qu'en 2 ans je n'ai eu aucun sinistre, ni retrait ou annulation de permis. J'ai appelé ALLIANZ pour leur dire que jamais plus je ne prendrai un contrat chez eux et je n'en reprendrai jamais plus.</t>
  </si>
  <si>
    <t>27/06/2019</t>
  </si>
  <si>
    <t>jrdl91-75760</t>
  </si>
  <si>
    <t>Venu pour un tarif interessant pour une Talisman Initiale, avec 50% de bonus et aucun sinistre pendant la période d'assurance. Changement de véhicule (autre Renault Talisman) avec nouvelle motorisation Euro6Dtemp "inconnue" de eALLIANZ qui m'assure que cela sera réglé dans le mois de pré-assurance", et me previent le 29 avril que mon contrat ouvert le 5 était rejeté...</t>
  </si>
  <si>
    <t>miguel-74928</t>
  </si>
  <si>
    <t>Et oui pas meilleur que les autres pas moyens d'avoir la carte verte relance par mail aucune réponses et le top du top impossible de les joindres au téléphone il vous raccroche  à chaque fois après 15min. Quand vous envoyez les Pieces jointes ils prennent même pas le temps de les ouvrir 
De très mauvaise fois et service nul</t>
  </si>
  <si>
    <t>10/04/2019</t>
  </si>
  <si>
    <t>skull1700-72377</t>
  </si>
  <si>
    <t>Très déçu,beaucoup de BLABLA...</t>
  </si>
  <si>
    <t>maxou78-71726</t>
  </si>
  <si>
    <t>Litige cabinet Expertise CREATIV agree par ALLIANZ</t>
  </si>
  <si>
    <t>27/02/2019</t>
  </si>
  <si>
    <t>did-71518</t>
  </si>
  <si>
    <t>A éviter absolument !!! très mal conseillé,  prix exorbitant !!! Allianz est pas à l'écoute de ses clients nous avons été client fidèle pendant au moins plus de 15 années et après avoir eu un accident on sais rendu compte de la réalité de cette assurance. Honteux !!! changé vite !!!</t>
  </si>
  <si>
    <t>21/02/2019</t>
  </si>
  <si>
    <t>brunm-70822</t>
  </si>
  <si>
    <t>Assureur qui résilie mon contrat pour un sinistre sans tiers identifié + un bris de glace dans la même année malgré mon bonus de 36%. Je recommande de fuir cette assurance.</t>
  </si>
  <si>
    <t>guit-62608</t>
  </si>
  <si>
    <t xml:space="preserve">Suite accident non en tort, j'ai envoyé le constat amiable à l'adresse inscrite sur la carte verte, et cela fait un mois !!! On me dit qu'il ne fallait pas l'envoyer à Paris ! C'est inadmissible !! Je déconseille fortement cette société </t>
  </si>
  <si>
    <t>alain-70545</t>
  </si>
  <si>
    <t>Le nouveau système de conduite connectée est NUL. 
Ne tient compte que des accélérations même très faible. Je prends pour aller travailler une route sinueuse. Avec l'ancienne version je voyais clairement mon mode de conduite influencer la note et les virages nombreux ce faisaient clairement ressentir. Je prend toujours la même route et quelque soit la position de mon téléphone c'est toujours l'accélération qui est mal notée avec une note suppérieurs 90 en virage. De plus la pénalité liée au nombre de km est très pénalisante (d'une réduction de 18 pour cent l'an dernier je suis passé à 4 cette année). Très franchement je pense sérieusement à aller chez la concurrence qui offre 10% en plus du bonus max.
Le système est contraignant : Il faut penser à le mettre en marche, l'arrêter. Si vous être arrêté plus de 5mn il se coupe tout seul. Une vraie marche arrière par rapport à l'ancienne version. L'autre devait sans doute permettre de trop belle remise.
A propos quand je parle d'accélération, je ne parle pas de mettre le pieds au planché, bien loin de cela. même sans accélérer il trouve que c'est trop. Par ailleurs, un freinage d'urgence ne ne perturbe pas plus que cela. Je ne pense pas des tests sérieux aient été fait sue cette nouvelle application.</t>
  </si>
  <si>
    <t>24/01/2019</t>
  </si>
  <si>
    <t>koryn42-70179</t>
  </si>
  <si>
    <t>Le prix est compétitif en tous risques pour un véhicule FORD neuf,faites très attention aux garanties en particulier aux franchises!!! elles sont très importantes chez ALLIANZ , j'ai racheté un véhicule Renault et ALLIANZ a refusé de me l'assurer !</t>
  </si>
  <si>
    <t>12/01/2019</t>
  </si>
  <si>
    <t>raben-69620</t>
  </si>
  <si>
    <t xml:space="preserve">Assurée depuis 5 Ans en tout RISQUES et jamais eu de sinistre , je rigole quand je vois la PUB , on S 'OCCUPE DE TOUT DE A à Z  !!!  Que du blabla :Si a une panne sur autoroute j'ai du payer 30 euros pour faire redéplacement pour la transfert a un garagiste (20 kms) pour me permettre de la faire réparer . </t>
  </si>
  <si>
    <t>21/12/2018</t>
  </si>
  <si>
    <t>boubou21-69530</t>
  </si>
  <si>
    <t xml:space="preserve">Le 17 décembre j'ai demandé une remise sur le montant de ma prime d'assurance auto, restée sans réponse à ce jour car la concurrence propose des tarifs d'environ 60 euros annuel plus bas. Que peut me proposer Allianz ????  </t>
  </si>
  <si>
    <t>19/12/2018</t>
  </si>
  <si>
    <t>anibal-69101</t>
  </si>
  <si>
    <t>Suite à un accident avec une bête sauvage et ayant eu la même chose il y a quelque années avec une autre assurance moins cher donc soit disant moins  bonne je me rend compte que c'est la pire des assurance surtout au niveau rapidité la rétro et pour les expert encore pire le rendez vous repousser de presque une semaine il fond au plus vite il mon dit je dois louer une voiture pas grave et payé donc zéro zéro et encore zéro juste bon à vendre des fraises sur le marché</t>
  </si>
  <si>
    <t>03/12/2018</t>
  </si>
  <si>
    <t>dak-68538</t>
  </si>
  <si>
    <t xml:space="preserve">C'est après un sinistre que j'ai vu leur incompétence.accident non responsable et la personne du service client qui a trop insister pour dire que j'ai 600 euro de franchise et malus alors que j'avais plus besoin de conseil.      
De plus tout ce que vous dite est retenue contre vous et marquer dans le dossier sans votre avis .
Bref tout pour ne pas vous indemniser.  </t>
  </si>
  <si>
    <t>12/11/2018</t>
  </si>
  <si>
    <t>hela-67508</t>
  </si>
  <si>
    <t xml:space="preserve">Incompétents, je déclare un vol de voiture qui est mon outils de travail, et on me fait balader à droite à gauche à chaque fois que j’appelle on m’informe qu’il y a un problème informatique. J’ai l’impression qu’on me prends pour un pigeon clairement. Je suis vraiment déçu, je suis du coup sans travail puisqu’on ne retrouve pas ma voiture et on me dit à chaque fois qu’il manque un document ou qu’ils ne l’ont pas reçu et lors que ceux là ont bien été envoyé j’en ai la preuve sur ma boîte mail. Bref assurance a fuir, je ne recommande pas très déçu </t>
  </si>
  <si>
    <t>angel25230-67085</t>
  </si>
  <si>
    <t>assurance a fuir absolument, suite sinistre non responsable avec délit de fuite, le conseiller m'a dit qu'il fallait mieux que je fasse les reparations par moi même au lieu d'utiliser la franchise et qu'on annulerait donc le sinistre, a mon rappel, on me dit que ce n'est pas possible, que le conseiller s'est trompe, de ce fait réparations pour ma pomme, incompétences du service, nous ne sommes bon qu'a payer.</t>
  </si>
  <si>
    <t>25/09/2018</t>
  </si>
  <si>
    <t>dadouetangel-67081</t>
  </si>
  <si>
    <t xml:space="preserve">Un total mécontentement, un personnel incompétent, un sinistre non responsable le 02 aout, mauvaise information, qualité de service déplorable, je ne recommande pas du tout cette assurance </t>
  </si>
  <si>
    <t>lisette34-43985</t>
  </si>
  <si>
    <t xml:space="preserve">Je suis assuré tous risques, chez Allianz
Fin juillet 2018 j'ai trouvé mon véhicule abîmé sur un parking Portière arrière gauche emboutie 
J'ai fait une déclaration de sinistre Je me suis déplacé 2 fois au garage photo puis expert soit 60km Je reçois ce jour une LRAR de l'expert me contestant ma déclaration Pauvre voiture assurée tous risques avec franchise 399 euros  
Refus de me rembourser  Pourquoi être assuré tous risques  si on n'est pas remboursé quand on a un sinistre Et en plus je vais avoir un malus
Réparation a mes frais
La Triple peine chez Allianz
Il me demande de faire agir ma protection juridique Allianz
 Et oui chez Allianz 
Vu ma date de naissance Je suis un vieux retraité et ils essaient de me faire tourner en bourrique 
Honteux et Déplorable 
</t>
  </si>
  <si>
    <t>weiwenyu-66609</t>
  </si>
  <si>
    <t xml:space="preserve">Plus jamais Allianz, plus jamais, je vais partir de chez eux, ma famille et mes amies avec.
Ma femme a un accident, arrêté au feu rouge, on nous rentre dedans par l'arrière, parechoc fissuré, le monsieur ne veux pas faire de constat et s'enfuit.
Au bout de 1 mois, réponse de Allianz : 50% responsabilité car on a fait chacun une déclaration de notre coté. Surtout que le monsieur a indiqué dans sa version : 
- rue en pente (absolument pas, mais bon les experts incompétents d'Allianz ne vérifient rien, on pourrait n'importe quoi ils s'en foutent)
- on était en train de reculé? WTF? Qui recule au feu rouge ? et qui recule assez vite pour cogner et casser le parechoc au feu rouge? Mais apparemment l'expert Allianz oui, car il lui donne raison....
Résultat au téléphone avec Allianz : Monsieur, vous savez à partir du moment ou la déclaration de constat se fait de manière séparé, 99% des cas c'est 50% responsable. Qu'importe ce qui est déclaré et qui est responsable, BRAVO, BRAVO.
Vous savez quoi faire maintenant le jour ou vous avez un accident responsable, ne faite pas de constat, fuyez et indiqué n'importe quoi, dans tous les cas la personne en face sera responsable a 50%.
Purée l'incompétent et le manque de logique m'exaspère ....
</t>
  </si>
  <si>
    <t>hola-66605</t>
  </si>
  <si>
    <t>A FUIR Un assureur hors de prix, un service assistance inexistant, on se fait insulter par le service assistance, mais où vont-ils chercher ces personnes incapables de répondre. On vous raccroche au nez, on vous traite de menteur etc</t>
  </si>
  <si>
    <t>paulrodrig1971-63708</t>
  </si>
  <si>
    <t>J ai acheté un véhicule semi autonome que j ai fait assuré chez Allianz. Le cauchemar a vite démarré. Ils n  assurent qu  après minuit comme les vampires, pour prouver que c  était un véhicule semi autonome je leur ai envoyé la brochure en surlignant l  existence du dispositif en jaune, le bon de commande et la facture. Il a fallu 2 mois pour régler le problème. Suite à un changement de compte bancaire, la banque qui récupère les comptes a omis de renouveler l  autorisation. Le 17 08 un courrier part. Je règle dès réception à savoir le 21 08. Entre-temps le 20 08 un recommandé avec une mise en demeure part avec obligation de régler 6 mois d  avance. Plus mauvais que cela est difficile. Fuyez !</t>
  </si>
  <si>
    <t>27/08/2018</t>
  </si>
  <si>
    <t>hassan-65636</t>
  </si>
  <si>
    <t xml:space="preserve">j'ai vécu la même chose que la plupart d'entre vous, après un sinistre on me dit que j'ai eu un accident avant alors que la vehicule était nickel, jai meme envoyé les photos avant l'accident. plus de reponse depuis.Je vous conseille à tous de ne pas prendre cet assurance. de plus ils veulent faire des inquiète dans notre vie privé alors que ce n'est meme pas justifié... Je ne sais pas si c'est la compétence ou la procédure qui est mal faite.... </t>
  </si>
  <si>
    <t>20/07/2018</t>
  </si>
  <si>
    <t>bseve-65553</t>
  </si>
  <si>
    <t xml:space="preserve">Ne prenez surtout pas d'assurance auto chez eallianz, ils sont injoignables dès lors que le contrat est souscrit, les demandes même effectuées à plusieurs reprises et plusieurs dizaines de minutes passées au telephone ainsi que les mails ne sont pas pris en compte sauf si cela va dans leur intérêt , ils raccrochent également au nez des clients après 20 ou 30 mn d'attente. Vous ne pourrez pas joindre non plus directement tel ou tel service tout est mélangé et vous devrez passer systématiquement par le standard qui vous redirigera avec plus ou moins de bonheur vers celui que vous souhaitez s'ils ne raccrochent pas au nez comme je le précisais plus haut. Vous n'aurez évidemment jamais une personne attitrée à votre dossier, il vous faudra tout ré-expliquer à chaque coupure de ligne ou de raccrochage indépendant de votre volonté. Cette assurance vous fera péter les plombs et vous serez prêts à payer pour rien sauf pour éviter les poursuites judiciaires non justifiées alors que les courriers ne vous seront jamais parvenus, les recommandés non plus, mais vous aurez autre chose à faire de votre vie que de payer un avocat pour prouver votre bonne foi face à eux. Bienvenue dans l'enfer de ces chers assureurs qui font ce qu'ils veulent en étant couverts par des lois qui légitimisent leur outrepassement du respect des con- citoyens obligés de rétribuer leur incompétence et leur cupidité. Inadmissible. </t>
  </si>
  <si>
    <t>welcomeonboard-65420</t>
  </si>
  <si>
    <t>trés cher. quand vous déclarez un sinistre, ils vont dire que c'est plusieurs sinistre alors qu'il y en a qu'un seul. le but vous faire payer plus de prime d'assurance... Si par malheur vous avez un sinistre, faire réparer votre voiture devient un délire complet, et en bout de course cela prend plusieurs mois et des dizaines d'appels téléphoniques. Un service à fuir !</t>
  </si>
  <si>
    <t>11/07/2018</t>
  </si>
  <si>
    <t>cloclodi-64452</t>
  </si>
  <si>
    <t xml:space="preserve">Très mauvaise assurance , et personnel incompétent , ils vous disent nous allons vous rappeler , sans jamais donner suite ! 3 mois d'attente pour se faire règler d'un sinistre auto ! </t>
  </si>
  <si>
    <t>philippe-63758</t>
  </si>
  <si>
    <t>après 3  résiliation infructueuse de leur part vis à vis de mon ex assureur, j'ai demandé à ce que la résiliation soit faite correctement , ils m'ont refait un contrat mais la résiliation n'a pas été faite et quant je les appelle, on me propose un nouveau contrat ... on ne s'excuse pas de ces erreurs , on ne fait pas de geste commercial et on vous raccroche au nez quant on s’énerve...... ce n'est pas sérieux</t>
  </si>
  <si>
    <t>03/05/2018</t>
  </si>
  <si>
    <t>aurelilou-63755</t>
  </si>
  <si>
    <t xml:space="preserve">Assurée depuis plus de 20 ans chez Allianz pour nos véhicules, notre maison et depuis moins longtemps notre entreprise, je ne peux que recommander cette assurance ! Avec une modération toutefois, j'ai un agent extraordinaire, et je pense que c'est bien là la clé d'un bon assureur : une agence, des personnes qui vous connaissent et qui sont disponibles pour trouver avec vous des solutions ! </t>
  </si>
  <si>
    <t>jfbchg2018-63728</t>
  </si>
  <si>
    <t>Lors d'un récent sinistre responsable (le 1er en 20 ans, malheureusement dans la première année avec Allianz, l'assureur a refusé de rembourser une partie des travaux prétextant que certaines partie concernait des accessoires non couverts ! Le pire a été d'avoir au téléphone une personne du service gestion des sinistres me disant que effectivement je devais être indemnisé complètement, personne qu'il m'a été impossible de joindre ensuite, veto étant visiblement mis sur le dossier où aucune discussion n'a été possible ! C'est donc un très mauvais service et un jeu désagréable sur les garanties. Seul le courtier a fait un petit geste. Enfin, sans aucune info préalable, la prime a été augmentée de 11% pour l'année suivante. Je suis en recherche d'un autre assureur, même si le tarif reste intéressant. Je ne recommanderais pas Allianz suite à cette expérience.</t>
  </si>
  <si>
    <t>02/05/2018</t>
  </si>
  <si>
    <t>rangerover777-49041</t>
  </si>
  <si>
    <t>Avec Allianz, vous saurez si vous êtes assuré le jour où vous aurez un accident.
Je pensais être assuré tout risque, mais, ils refusent de prendre en compte mon accident. Après 6 mois à me balader au téléphone, je suis obligé de payer les réparations moi même. Le comble : dans le relevé d'informations, il ont mentionné mon accident, donc ca me coutera plus cher quand je vais changer d'assurance le mois prochain... Une assurance à éviter à tout prix, si vous désirez vivre tranquille !</t>
  </si>
  <si>
    <t>10/03/2018</t>
  </si>
  <si>
    <t>allianznopppp-61826</t>
  </si>
  <si>
    <t>Conseillère vraiment incompétente. 
Pour avoir un simple document il faut attendre 15 jours par contre pour faire un nouveau contrat en 5min c'est régler. Résultat j'ai arrêter mes 2 assurances auto, mon assurance habitation et mon assurance vie. Et j'ai trouver bien mieux ailleurs.</t>
  </si>
  <si>
    <t>28/02/2018</t>
  </si>
  <si>
    <t>benedito42-61692</t>
  </si>
  <si>
    <t>Une véritable catastrophe, à fuir...</t>
  </si>
  <si>
    <t>23/02/2018</t>
  </si>
  <si>
    <t>agacedecetassureur-61224</t>
  </si>
  <si>
    <t xml:space="preserve">Cette Cie ( e allianz) devrait être radiée de la capacité à exercr. Je n'ai jamais vu ça en 40 ans d'assurance. .Une incapacité à tous les étages.  prélèvements arbitraires, communication absente , mails sans réponses, courriers recommandés sans fondement.. c'est hallucinant.. Quand à mon dossier sinistre, ça finira au tribunal. </t>
  </si>
  <si>
    <t>07/02/2018</t>
  </si>
  <si>
    <t>hiii-61067</t>
  </si>
  <si>
    <t>top nul, service clientèle lamentable. Agence qui traite mal ses clienst et j en passe. Directeur de l agence ne répond pas.Sa secrétaire raccroche au nez. J m 'en veux d'avoir choisi cette marque. Service réclamation ne fait rien mais RIEN DIT TT.
Il m ont pris mes sous sans jamais me rembourser j attends  depuis 1 mois et demi. Je vais perdre ma santé avec ces gens. Ils ne veulent pas rembourser le client et ils font ceux qui n ont pas compris. c''est LAMENTABLE.</t>
  </si>
  <si>
    <t>02/02/2018</t>
  </si>
  <si>
    <t>crumpet-60697</t>
  </si>
  <si>
    <t>Ils ont perdu certains de mes documents envoyés ensemble en décembre dernier. J'ai également payé un an pour la totalité de ma voiture. Le seul document qu'ils n'ont pas perdu était mon carte de grise
J'ai renvoyé mon permis de conduire également le mandat original deux fois.
Ils m'ont ensuite envoyé 2 cartes vertes séparées, etc.
Puis demandé le mandat pour une troisième fois. Je ne sais toujours pas ce qui se passe 22/1/2018</t>
  </si>
  <si>
    <t>22/01/2018</t>
  </si>
  <si>
    <t>assurauto59-59879</t>
  </si>
  <si>
    <t>Plus de deux ans et demi d'assurance chez Allianz.
Des garanties qui sautent sans raison, (franchise à 0 sur le bris de glace Allianz qui a disparu après une réparation), suivi des sinistres non responsable avec tiers identifié déplorable, impossibilité d'avoir de contacter les gestionnaires après des heures d'attentes.
A éviter à tout prix</t>
  </si>
  <si>
    <t>21/12/2017</t>
  </si>
  <si>
    <t>gots-59684</t>
  </si>
  <si>
    <t xml:space="preserve">Service client/commercial niveau 0
Quand il s'agit de faire un devis, les commerciaux vous rappellent dans la seconde qui suit pour vous faire des propositions dignes d'un rêve, une fois l'argent pris, commence la galère.
</t>
  </si>
  <si>
    <t>14/12/2017</t>
  </si>
  <si>
    <t>philippe-58530</t>
  </si>
  <si>
    <t>Accident le 9 septembre. Véhicule transporté chez un garagiste agrée Allianz. Refus par Allianz de prendre en charge le rapatriement de la voiture vers le concessionnaire de la marque (50 km). Résultat le 1 novembre, le véhicule n'est toujours pas réparé car le garagiste n'a pas les pièces ou son seul carrossier est en congés. Tout cela dans l'indifférence totale de l'agent Allianz de Brest. Finalement des tarifs haut de gamme pour un service low cost.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</si>
</sst>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IFERROR(__xludf.DUMMYFUNCTION("GOOGLETRANSLATE(C2,""fr"",""en"")"),"This insurance is not expensive this but they are of an ineffectiveness which borders on perfection !!! We have been waiting for a reimbursement for a change of windshield for 10 months! We have bought a car since and we cannot separate from the old becau"&amp;"se of this dispute with the Matmut !!! Scandal. Flee this insurance.")</f>
        <v>This insurance is not expensive this but they are of an ineffectiveness which borders on perfection !!! We have been waiting for a reimbursement for a change of windshield for 10 months! We have bought a car since and we cannot separate from the old because of this dispute with the Matmut !!! Scandal. Flee this insurance.</v>
      </c>
    </row>
    <row r="3">
      <c r="B3" s="2" t="s">
        <v>18</v>
      </c>
      <c r="C3" s="2" t="s">
        <v>19</v>
      </c>
      <c r="D3" s="2" t="s">
        <v>13</v>
      </c>
      <c r="E3" s="2" t="s">
        <v>14</v>
      </c>
      <c r="F3" s="2" t="s">
        <v>15</v>
      </c>
      <c r="G3" s="2" t="s">
        <v>20</v>
      </c>
      <c r="H3" s="2" t="s">
        <v>21</v>
      </c>
      <c r="I3" s="2" t="str">
        <f>IFERROR(__xludf.DUMMYFUNCTION("GOOGLETRANSLATE(C3,""fr"",""en"")"),"Hello, I have been a client (member) of Matmut for over 40 years. I had 65 % bonus including 15 % of the ""matmut"" bonus because without liable liable for more than 20 years.
In January 2020, I had a small hanging (very light and only material) whose re"&amp;"sponsibility was allocated to me (it is already very questionable but it is another debate).
On my January 2021 deadline La Matmut withdraws 8% of Matmut bonuses.
I therefore ask for explanations and on which ""text"" or ""internal regulations"" they re"&amp;"ly by messaging.
For 3 weeks they make me turn in a praise by citing me in particular the regulations concerning the 50 % ""official"" bonus, but in no case are they capable of providing me with a text on which this reduction of the Matmut bonus is based"&amp;" from the 1st disaster ""responsible"".
I have been waiting for another treatment for such a loyal customer for over 40 years.")</f>
        <v>Hello, I have been a client (member) of Matmut for over 40 years. I had 65 % bonus including 15 % of the "matmut" bonus because without liable liable for more than 20 years.
In January 2020, I had a small hanging (very light and only material) whose responsibility was allocated to me (it is already very questionable but it is another debate).
On my January 2021 deadline La Matmut withdraws 8% of Matmut bonuses.
I therefore ask for explanations and on which "text" or "internal regulations" they rely by messaging.
For 3 weeks they make me turn in a praise by citing me in particular the regulations concerning the 50 % "official" bonus, but in no case are they capable of providing me with a text on which this reduction of the Matmut bonus is based from the 1st disaster "responsible".
I have been waiting for another treatment for such a loyal customer for over 40 years.</v>
      </c>
    </row>
    <row r="4">
      <c r="B4" s="2" t="s">
        <v>22</v>
      </c>
      <c r="C4" s="2" t="s">
        <v>23</v>
      </c>
      <c r="D4" s="2" t="s">
        <v>13</v>
      </c>
      <c r="E4" s="2" t="s">
        <v>14</v>
      </c>
      <c r="F4" s="2" t="s">
        <v>15</v>
      </c>
      <c r="G4" s="2" t="s">
        <v>24</v>
      </c>
      <c r="H4" s="2" t="s">
        <v>21</v>
      </c>
      <c r="I4" s="2" t="str">
        <f>IFERROR(__xludf.DUMMYFUNCTION("GOOGLETRANSLATE(C4,""fr"",""en"")"),"very bad insurer their slogan does not deserve its place (the matmut it ensures)
very bad advisor not to latent of his insured
Very bad welcome
This company must disappear")</f>
        <v>very bad insurer their slogan does not deserve its place (the matmut it ensures)
very bad advisor not to latent of his insured
Very bad welcome
This company must disappear</v>
      </c>
    </row>
    <row r="5">
      <c r="B5" s="2" t="s">
        <v>25</v>
      </c>
      <c r="C5" s="2" t="s">
        <v>26</v>
      </c>
      <c r="D5" s="2" t="s">
        <v>13</v>
      </c>
      <c r="E5" s="2" t="s">
        <v>14</v>
      </c>
      <c r="F5" s="2" t="s">
        <v>15</v>
      </c>
      <c r="G5" s="2" t="s">
        <v>27</v>
      </c>
      <c r="H5" s="2" t="s">
        <v>21</v>
      </c>
      <c r="I5" s="2" t="str">
        <f>IFERROR(__xludf.DUMMYFUNCTION("GOOGLETRANSLATE(C5,""fr"",""en"")"),"Listening insurer but far too expensive for the services offered. 100 € for an A2 motorcycle is far too much despite having 2 cars insured in the same place with a maximum bonus ...")</f>
        <v>Listening insurer but far too expensive for the services offered. 100 € for an A2 motorcycle is far too much despite having 2 cars insured in the same place with a maximum bonus ...</v>
      </c>
    </row>
    <row r="6">
      <c r="B6" s="2" t="s">
        <v>28</v>
      </c>
      <c r="C6" s="2" t="s">
        <v>29</v>
      </c>
      <c r="D6" s="2" t="s">
        <v>13</v>
      </c>
      <c r="E6" s="2" t="s">
        <v>14</v>
      </c>
      <c r="F6" s="2" t="s">
        <v>15</v>
      </c>
      <c r="G6" s="2" t="s">
        <v>30</v>
      </c>
      <c r="H6" s="2" t="s">
        <v>31</v>
      </c>
      <c r="I6" s="2" t="str">
        <f>IFERROR(__xludf.DUMMYFUNCTION("GOOGLETRANSLATE(C6,""fr"",""en"")"),"The Matmut, as a great assurance that they are, found nothing better than to terminate my contract after 5 years of contract, for two claims including one of them which cost them 0 €. Price level, each year an unjustified meteoric rise and requires ""apol"&amp;"ogies"" on their part, they just follow the evolution of the state of the planet (pollution, water damage, etc.). To finish at the bottom of the mail I am added ""We are contained in the difficulty that you will encounter to regain insurance, we still hav"&amp;"e a contract suitable to offer you"", frankly nothing goes in your way of doing or in your way of offering a solution. It's either everything or nothing. I'm not going to make them good ad.")</f>
        <v>The Matmut, as a great assurance that they are, found nothing better than to terminate my contract after 5 years of contract, for two claims including one of them which cost them 0 €. Price level, each year an unjustified meteoric rise and requires "apologies" on their part, they just follow the evolution of the state of the planet (pollution, water damage, etc.). To finish at the bottom of the mail I am added "We are contained in the difficulty that you will encounter to regain insurance, we still have a contract suitable to offer you", frankly nothing goes in your way of doing or in your way of offering a solution. It's either everything or nothing. I'm not going to make them good ad.</v>
      </c>
    </row>
    <row r="7">
      <c r="B7" s="2" t="s">
        <v>32</v>
      </c>
      <c r="C7" s="2" t="s">
        <v>33</v>
      </c>
      <c r="D7" s="2" t="s">
        <v>13</v>
      </c>
      <c r="E7" s="2" t="s">
        <v>14</v>
      </c>
      <c r="F7" s="2" t="s">
        <v>15</v>
      </c>
      <c r="G7" s="2" t="s">
        <v>34</v>
      </c>
      <c r="H7" s="2" t="s">
        <v>31</v>
      </c>
      <c r="I7" s="2" t="str">
        <f>IFERROR(__xludf.DUMMYFUNCTION("GOOGLETRANSLATE(C7,""fr"",""en"")"),"I had confirmation today that the prices offered on the net are not applicable to former customers despite the personalized quotes made directly on the Matmut site to these customers who brought the Matmut to life during all these years. These attractive "&amp;"rates are reserved for new customers and by derogation from former customers who move or buy a new vehicle. This means that a customer who bought for example a Mercedes at 40,000 euros still pays the high price for his insurance even if his vehicle at 9 y"&amp;"ears old. On the other hand, the new customer pays a largely lower sum with a new vehicle purchased at a much higher price. The 65 % bonus that was allocated to me many years ago as an exemplary driver is therefore absolutely useless. Matmut thinking head"&amp;"s should ask their subordinates advice on the ground before setting up rules that scare their former customers. I have submitted a complaint to the seat knowing very well that I will have an answer that will not satisfy me and I will change insurer as soo"&amp;"n as possible.")</f>
        <v>I had confirmation today that the prices offered on the net are not applicable to former customers despite the personalized quotes made directly on the Matmut site to these customers who brought the Matmut to life during all these years. These attractive rates are reserved for new customers and by derogation from former customers who move or buy a new vehicle. This means that a customer who bought for example a Mercedes at 40,000 euros still pays the high price for his insurance even if his vehicle at 9 years old. On the other hand, the new customer pays a largely lower sum with a new vehicle purchased at a much higher price. The 65 % bonus that was allocated to me many years ago as an exemplary driver is therefore absolutely useless. Matmut thinking heads should ask their subordinates advice on the ground before setting up rules that scare their former customers. I have submitted a complaint to the seat knowing very well that I will have an answer that will not satisfy me and I will change insurer as soon as possible.</v>
      </c>
    </row>
    <row r="8">
      <c r="B8" s="2" t="s">
        <v>35</v>
      </c>
      <c r="C8" s="2" t="s">
        <v>36</v>
      </c>
      <c r="D8" s="2" t="s">
        <v>13</v>
      </c>
      <c r="E8" s="2" t="s">
        <v>14</v>
      </c>
      <c r="F8" s="2" t="s">
        <v>15</v>
      </c>
      <c r="G8" s="2" t="s">
        <v>37</v>
      </c>
      <c r="H8" s="2" t="s">
        <v>31</v>
      </c>
      <c r="I8" s="2" t="str">
        <f>IFERROR(__xludf.DUMMYFUNCTION("GOOGLETRANSLATE(C8,""fr"",""en"")"),"Member for over 50 years, my Matmut contract has been terminated for 3 accidents over 3 years (2 for parking collision) and 1 for collision (50 % shared, etc.). At the exit of a parking lot
Compliments to reward loyalty.
I went elsewhere. (Mutual 120 eu"&amp;"ros cheaper over a year)
However, no understanding, they are intractable.
I will make them ""my"" advertising")</f>
        <v>Member for over 50 years, my Matmut contract has been terminated for 3 accidents over 3 years (2 for parking collision) and 1 for collision (50 % shared, etc.). At the exit of a parking lot
Compliments to reward loyalty.
I went elsewhere. (Mutual 120 euros cheaper over a year)
However, no understanding, they are intractable.
I will make them "my" advertising</v>
      </c>
    </row>
    <row r="9">
      <c r="B9" s="2" t="s">
        <v>38</v>
      </c>
      <c r="C9" s="2" t="s">
        <v>39</v>
      </c>
      <c r="D9" s="2" t="s">
        <v>13</v>
      </c>
      <c r="E9" s="2" t="s">
        <v>14</v>
      </c>
      <c r="F9" s="2" t="s">
        <v>15</v>
      </c>
      <c r="G9" s="2" t="s">
        <v>40</v>
      </c>
      <c r="H9" s="2" t="s">
        <v>31</v>
      </c>
      <c r="I9" s="2" t="str">
        <f>IFERROR(__xludf.DUMMYFUNCTION("GOOGLETRANSLATE(C9,""fr"",""en"")"),"Paying 144 euros per month for two years, I see myself receiving a letter saying that Matmut terminates my insurance following two claims, one of which is due to vandalism
Thank you Matmut because now I'm struggling to find insurance that wants me to ass"&amp;"ure me")</f>
        <v>Paying 144 euros per month for two years, I see myself receiving a letter saying that Matmut terminates my insurance following two claims, one of which is due to vandalism
Thank you Matmut because now I'm struggling to find insurance that wants me to assure me</v>
      </c>
    </row>
    <row r="10">
      <c r="B10" s="2" t="s">
        <v>41</v>
      </c>
      <c r="C10" s="2" t="s">
        <v>42</v>
      </c>
      <c r="D10" s="2" t="s">
        <v>13</v>
      </c>
      <c r="E10" s="2" t="s">
        <v>14</v>
      </c>
      <c r="F10" s="2" t="s">
        <v>15</v>
      </c>
      <c r="G10" s="2" t="s">
        <v>43</v>
      </c>
      <c r="H10" s="2" t="s">
        <v>31</v>
      </c>
      <c r="I10" s="2" t="str">
        <f>IFERROR(__xludf.DUMMYFUNCTION("GOOGLETRANSLATE(C10,""fr"",""en"")"),"Competitive insurance company question tariff and with competent and listening staff, which allows you to be able to negotiate and compare with other companies.
Very satisfied with the Matmut.")</f>
        <v>Competitive insurance company question tariff and with competent and listening staff, which allows you to be able to negotiate and compare with other companies.
Very satisfied with the Matmut.</v>
      </c>
    </row>
    <row r="11">
      <c r="B11" s="2" t="s">
        <v>44</v>
      </c>
      <c r="C11" s="2" t="s">
        <v>45</v>
      </c>
      <c r="D11" s="2" t="s">
        <v>13</v>
      </c>
      <c r="E11" s="2" t="s">
        <v>14</v>
      </c>
      <c r="F11" s="2" t="s">
        <v>15</v>
      </c>
      <c r="G11" s="2" t="s">
        <v>43</v>
      </c>
      <c r="H11" s="2" t="s">
        <v>31</v>
      </c>
      <c r="I11" s="2" t="str">
        <f>IFERROR(__xludf.DUMMYFUNCTION("GOOGLETRANSLATE(C11,""fr"",""en"")"),"When obtaining my first vehicle, it was towards them that I turned. The whole family is insured at home for vehicles and housing. Unfortunately after a few non -responsible claims, the Matmut gives me a simple mail notifying that my contract will be termi"&amp;"nated. Great to learn it like that ...
It is no longer a simple car contract that leaves the Matmut but indeed 3 auto contracts and 2 dwellings.
It's a shame because we were all very satisfied with the Matmut.")</f>
        <v>When obtaining my first vehicle, it was towards them that I turned. The whole family is insured at home for vehicles and housing. Unfortunately after a few non -responsible claims, the Matmut gives me a simple mail notifying that my contract will be terminated. Great to learn it like that ...
It is no longer a simple car contract that leaves the Matmut but indeed 3 auto contracts and 2 dwellings.
It's a shame because we were all very satisfied with the Matmut.</v>
      </c>
    </row>
    <row r="12">
      <c r="B12" s="2" t="s">
        <v>46</v>
      </c>
      <c r="C12" s="2" t="s">
        <v>47</v>
      </c>
      <c r="D12" s="2" t="s">
        <v>13</v>
      </c>
      <c r="E12" s="2" t="s">
        <v>14</v>
      </c>
      <c r="F12" s="2" t="s">
        <v>15</v>
      </c>
      <c r="G12" s="2" t="s">
        <v>48</v>
      </c>
      <c r="H12" s="2" t="s">
        <v>49</v>
      </c>
      <c r="I12" s="2" t="str">
        <f>IFERROR(__xludf.DUMMYFUNCTION("GOOGLETRANSLATE(C12,""fr"",""en"")"),"The Matmut is not able to manage a file alone, requests information from customers and does not retransmits it to the stakeholders for the holidays. No service level")</f>
        <v>The Matmut is not able to manage a file alone, requests information from customers and does not retransmits it to the stakeholders for the holidays. No service level</v>
      </c>
    </row>
    <row r="13">
      <c r="B13" s="2" t="s">
        <v>50</v>
      </c>
      <c r="C13" s="2" t="s">
        <v>51</v>
      </c>
      <c r="D13" s="2" t="s">
        <v>13</v>
      </c>
      <c r="E13" s="2" t="s">
        <v>14</v>
      </c>
      <c r="F13" s="2" t="s">
        <v>15</v>
      </c>
      <c r="G13" s="2" t="s">
        <v>52</v>
      </c>
      <c r="H13" s="2" t="s">
        <v>49</v>
      </c>
      <c r="I13" s="2" t="str">
        <f>IFERROR(__xludf.DUMMYFUNCTION("GOOGLETRANSLATE(C13,""fr"",""en"")"),"Melun agency: very professional, patient and listening advisor; Home at the top. Particularly appreciated commercial gesture; So assured subscription!")</f>
        <v>Melun agency: very professional, patient and listening advisor; Home at the top. Particularly appreciated commercial gesture; So assured subscription!</v>
      </c>
    </row>
    <row r="14">
      <c r="B14" s="2" t="s">
        <v>53</v>
      </c>
      <c r="C14" s="2" t="s">
        <v>54</v>
      </c>
      <c r="D14" s="2" t="s">
        <v>13</v>
      </c>
      <c r="E14" s="2" t="s">
        <v>14</v>
      </c>
      <c r="F14" s="2" t="s">
        <v>15</v>
      </c>
      <c r="G14" s="2" t="s">
        <v>55</v>
      </c>
      <c r="H14" s="2" t="s">
        <v>56</v>
      </c>
      <c r="I14" s="2" t="str">
        <f>IFERROR(__xludf.DUMMYFUNCTION("GOOGLETRANSLATE(C14,""fr"",""en"")"),"I am assured at home for 5 contracts 3 cars A house and accident of life for 2000 euros per year for 15 years and I am very disappointed with their behavior my wife fell on the stairs and Ile do not want to reimburse anything (a shame) In addition I had a"&amp;" water infiltration they counted me the franchise in addition to my car contracts are more expensive than at Groupama 20/100 the franchise of my BMW over 10 years is 515 euros and at Groupama de Groupama 187 euros in addition to lie advertising when they "&amp;"say the matmut it ensures it is a band of liars and the advisers of the incapable advice go to groupama you pay less and better insured")</f>
        <v>I am assured at home for 5 contracts 3 cars A house and accident of life for 2000 euros per year for 15 years and I am very disappointed with their behavior my wife fell on the stairs and Ile do not want to reimburse anything (a shame) In addition I had a water infiltration they counted me the franchise in addition to my car contracts are more expensive than at Groupama 20/100 the franchise of my BMW over 10 years is 515 euros and at Groupama de Groupama 187 euros in addition to lie advertising when they say the matmut it ensures it is a band of liars and the advisers of the incapable advice go to groupama you pay less and better insured</v>
      </c>
    </row>
    <row r="15">
      <c r="B15" s="2" t="s">
        <v>57</v>
      </c>
      <c r="C15" s="2" t="s">
        <v>58</v>
      </c>
      <c r="D15" s="2" t="s">
        <v>13</v>
      </c>
      <c r="E15" s="2" t="s">
        <v>14</v>
      </c>
      <c r="F15" s="2" t="s">
        <v>15</v>
      </c>
      <c r="G15" s="2" t="s">
        <v>59</v>
      </c>
      <c r="H15" s="2" t="s">
        <v>56</v>
      </c>
      <c r="I15" s="2" t="str">
        <f>IFERROR(__xludf.DUMMYFUNCTION("GOOGLETRANSLATE(C15,""fr"",""en"")"),"Old client. Very disappointed by this company I leave it immediately
Example. Mail to request a commercial gesture for my franchise 415 euros for a simple scratch on my vehicle (act of vandalism)
Not possible except hospital staff cause colid. Really "&amp;"anything
Very sad
JP B")</f>
        <v>Old client. Very disappointed by this company I leave it immediately
Example. Mail to request a commercial gesture for my franchise 415 euros for a simple scratch on my vehicle (act of vandalism)
Not possible except hospital staff cause colid. Really anything
Very sad
JP B</v>
      </c>
    </row>
    <row r="16">
      <c r="B16" s="2" t="s">
        <v>60</v>
      </c>
      <c r="C16" s="2" t="s">
        <v>61</v>
      </c>
      <c r="D16" s="2" t="s">
        <v>13</v>
      </c>
      <c r="E16" s="2" t="s">
        <v>14</v>
      </c>
      <c r="F16" s="2" t="s">
        <v>15</v>
      </c>
      <c r="G16" s="2" t="s">
        <v>62</v>
      </c>
      <c r="H16" s="2" t="s">
        <v>56</v>
      </c>
      <c r="I16" s="2" t="str">
        <f>IFERROR(__xludf.DUMMYFUNCTION("GOOGLETRANSLATE(C16,""fr"",""en"")"),"Victims for more than 2 years following a natural drought disaster; Our house is dilapidated from day to day and no response from the Matmut that drags our file .... while we are waiting for our insurance to unlock the money necessary for the work?")</f>
        <v>Victims for more than 2 years following a natural drought disaster; Our house is dilapidated from day to day and no response from the Matmut that drags our file .... while we are waiting for our insurance to unlock the money necessary for the work?</v>
      </c>
    </row>
    <row r="17">
      <c r="B17" s="2" t="s">
        <v>63</v>
      </c>
      <c r="C17" s="2" t="s">
        <v>64</v>
      </c>
      <c r="D17" s="2" t="s">
        <v>13</v>
      </c>
      <c r="E17" s="2" t="s">
        <v>14</v>
      </c>
      <c r="F17" s="2" t="s">
        <v>15</v>
      </c>
      <c r="G17" s="2" t="s">
        <v>65</v>
      </c>
      <c r="H17" s="2" t="s">
        <v>56</v>
      </c>
      <c r="I17" s="2" t="str">
        <f>IFERROR(__xludf.DUMMYFUNCTION("GOOGLETRANSLATE(C17,""fr"",""en"")"),"Faithful customer for many years, I recommend the Matmut Tinqueux agency.
Quality staff, attentive to their customers, attentive and very available.
Perfect file management.")</f>
        <v>Faithful customer for many years, I recommend the Matmut Tinqueux agency.
Quality staff, attentive to their customers, attentive and very available.
Perfect file management.</v>
      </c>
    </row>
    <row r="18">
      <c r="B18" s="2" t="s">
        <v>66</v>
      </c>
      <c r="C18" s="2" t="s">
        <v>67</v>
      </c>
      <c r="D18" s="2" t="s">
        <v>13</v>
      </c>
      <c r="E18" s="2" t="s">
        <v>14</v>
      </c>
      <c r="F18" s="2" t="s">
        <v>15</v>
      </c>
      <c r="G18" s="2" t="s">
        <v>68</v>
      </c>
      <c r="H18" s="2" t="s">
        <v>56</v>
      </c>
      <c r="I18" s="2" t="str">
        <f>IFERROR(__xludf.DUMMYFUNCTION("GOOGLETRANSLATE(C18,""fr"",""en"")"),"Impossible to subscribe to the price of the quote offered online in modification of an existing contract.
Disappointed with the support in the event of a claim:
Example, ice breaker: automatically directed towards the cheapest with threat of not reimb"&amp;"ursing otherwise, despite the demand sustained to find another solution or to agree on a price for repair excluding low cost circuit approved
Response time to extremely long personal messaging (sometimes lack of response)
Modification of the insuran"&amp;"ce contract by telephone only, in order to better roll the customer: the price varies according to the insistence of the customer by playing on x options that we do not announce to him.
I would like the law, which obliges us to have insurance, obliges "&amp;"insurers to have transparency behavior and a non -commercial attitude, because I suspect that this is not specific to the Matmut.")</f>
        <v>Impossible to subscribe to the price of the quote offered online in modification of an existing contract.
Disappointed with the support in the event of a claim:
Example, ice breaker: automatically directed towards the cheapest with threat of not reimbursing otherwise, despite the demand sustained to find another solution or to agree on a price for repair excluding low cost circuit approved
Response time to extremely long personal messaging (sometimes lack of response)
Modification of the insurance contract by telephone only, in order to better roll the customer: the price varies according to the insistence of the customer by playing on x options that we do not announce to him.
I would like the law, which obliges us to have insurance, obliges insurers to have transparency behavior and a non -commercial attitude, because I suspect that this is not specific to the Matmut.</v>
      </c>
    </row>
    <row r="19">
      <c r="B19" s="2" t="s">
        <v>69</v>
      </c>
      <c r="C19" s="2" t="s">
        <v>70</v>
      </c>
      <c r="D19" s="2" t="s">
        <v>13</v>
      </c>
      <c r="E19" s="2" t="s">
        <v>14</v>
      </c>
      <c r="F19" s="2" t="s">
        <v>15</v>
      </c>
      <c r="G19" s="2" t="s">
        <v>71</v>
      </c>
      <c r="H19" s="2" t="s">
        <v>72</v>
      </c>
      <c r="I19" s="2" t="str">
        <f>IFERROR(__xludf.DUMMYFUNCTION("GOOGLETRANSLATE(C19,""fr"",""en"")"),"Customer at home for many years without disaster, they refused to ensure my new additional vehicle, Protestant that I could not prove the origin of the funds for the purchase of the latter
In the evening the termination documents was posted .. (6 contr"&amp;"acts all the same)
Collaboration insurance and not respectful of the privacy of its customers .... Flee go to competition ...")</f>
        <v>Customer at home for many years without disaster, they refused to ensure my new additional vehicle, Protestant that I could not prove the origin of the funds for the purchase of the latter
In the evening the termination documents was posted .. (6 contracts all the same)
Collaboration insurance and not respectful of the privacy of its customers .... Flee go to competition ...</v>
      </c>
    </row>
    <row r="20">
      <c r="B20" s="2" t="s">
        <v>73</v>
      </c>
      <c r="C20" s="2" t="s">
        <v>74</v>
      </c>
      <c r="D20" s="2" t="s">
        <v>13</v>
      </c>
      <c r="E20" s="2" t="s">
        <v>14</v>
      </c>
      <c r="F20" s="2" t="s">
        <v>15</v>
      </c>
      <c r="G20" s="2" t="s">
        <v>75</v>
      </c>
      <c r="H20" s="2" t="s">
        <v>72</v>
      </c>
      <c r="I20" s="2" t="str">
        <f>IFERROR(__xludf.DUMMYFUNCTION("GOOGLETRANSLATE(C20,""fr"",""en"")"),"I had 3 successive foreign cars of 6cv I was pretended to be an additional case because they were not French, or now I have a French car of only 5hp and I pay the same, even a few euros more, as the insurance are More or less at the same price we are forc"&amp;"ed to go through the they gets to be gave, but I am looking for a good promotion")</f>
        <v>I had 3 successive foreign cars of 6cv I was pretended to be an additional case because they were not French, or now I have a French car of only 5hp and I pay the same, even a few euros more, as the insurance are More or less at the same price we are forced to go through the they gets to be gave, but I am looking for a good promotion</v>
      </c>
    </row>
    <row r="21" ht="15.75" customHeight="1">
      <c r="B21" s="2" t="s">
        <v>76</v>
      </c>
      <c r="C21" s="2" t="s">
        <v>77</v>
      </c>
      <c r="D21" s="2" t="s">
        <v>13</v>
      </c>
      <c r="E21" s="2" t="s">
        <v>14</v>
      </c>
      <c r="F21" s="2" t="s">
        <v>15</v>
      </c>
      <c r="G21" s="2" t="s">
        <v>78</v>
      </c>
      <c r="H21" s="2" t="s">
        <v>72</v>
      </c>
      <c r="I21" s="2" t="str">
        <f>IFERROR(__xludf.DUMMYFUNCTION("GOOGLETRANSLATE(C21,""fr"",""en"")"),"Very well, online quote, the Worivas office reminds me the next day. Car insured all by phone, provisional certificate received immediately by email.")</f>
        <v>Very well, online quote, the Worivas office reminds me the next day. Car insured all by phone, provisional certificate received immediately by email.</v>
      </c>
    </row>
    <row r="22" ht="15.75" customHeight="1">
      <c r="B22" s="2" t="s">
        <v>79</v>
      </c>
      <c r="C22" s="2" t="s">
        <v>80</v>
      </c>
      <c r="D22" s="2" t="s">
        <v>13</v>
      </c>
      <c r="E22" s="2" t="s">
        <v>14</v>
      </c>
      <c r="F22" s="2" t="s">
        <v>15</v>
      </c>
      <c r="G22" s="2" t="s">
        <v>81</v>
      </c>
      <c r="H22" s="2" t="s">
        <v>72</v>
      </c>
      <c r="I22" s="2" t="str">
        <f>IFERROR(__xludf.DUMMYFUNCTION("GOOGLETRANSLATE(C22,""fr"",""en"")"),"I strongly advise against Matmut none, but no professionalism their head office 66 rue de Sotteville
76100 Rouen have a management of catastrophic files, an official who names Annabelle and champion all category, frankly flee this insurance which has a l"&amp;"ot of contempt.")</f>
        <v>I strongly advise against Matmut none, but no professionalism their head office 66 rue de Sotteville
76100 Rouen have a management of catastrophic files, an official who names Annabelle and champion all category, frankly flee this insurance which has a lot of contempt.</v>
      </c>
    </row>
    <row r="23" ht="15.75" customHeight="1">
      <c r="B23" s="2" t="s">
        <v>82</v>
      </c>
      <c r="C23" s="2" t="s">
        <v>83</v>
      </c>
      <c r="D23" s="2" t="s">
        <v>13</v>
      </c>
      <c r="E23" s="2" t="s">
        <v>14</v>
      </c>
      <c r="F23" s="2" t="s">
        <v>15</v>
      </c>
      <c r="G23" s="2" t="s">
        <v>84</v>
      </c>
      <c r="H23" s="2" t="s">
        <v>72</v>
      </c>
      <c r="I23" s="2" t="str">
        <f>IFERROR(__xludf.DUMMYFUNCTION("GOOGLETRANSLATE(C23,""fr"",""en"")"),"Following my call at their telephone control unit, the Matmut advisor hung up on me because it was 5.30 p.m., without having found a solution or even taken into account my disaster. Insurance to avoid absolutely !!!!!")</f>
        <v>Following my call at their telephone control unit, the Matmut advisor hung up on me because it was 5.30 p.m., without having found a solution or even taken into account my disaster. Insurance to avoid absolutely !!!!!</v>
      </c>
    </row>
    <row r="24" ht="15.75" customHeight="1">
      <c r="B24" s="2" t="s">
        <v>85</v>
      </c>
      <c r="C24" s="2" t="s">
        <v>86</v>
      </c>
      <c r="D24" s="2" t="s">
        <v>13</v>
      </c>
      <c r="E24" s="2" t="s">
        <v>14</v>
      </c>
      <c r="F24" s="2" t="s">
        <v>15</v>
      </c>
      <c r="G24" s="2" t="s">
        <v>87</v>
      </c>
      <c r="H24" s="2" t="s">
        <v>72</v>
      </c>
      <c r="I24" s="2" t="str">
        <f>IFERROR(__xludf.DUMMYFUNCTION("GOOGLETRANSLATE(C24,""fr"",""en"")"),"Good insurance when there is no worries because we hear more about it.
On the other hand, the day of an accident, the increase is present which is logical when we are wrong. But that we are not wrong 2 years later, they offer you a matmut and co insuranc"&amp;"e with unimaginable prices when you are a young driver telling yourself to subscribe to them otherwise it is the door.
Therefore, after having fought etc ... They promise you a favorable sequel but all in all no, apologies? You are a young driver so at"&amp;" risk.
Conclusion ? As a young driver, not the right to faults. You have just lost 3 customers.")</f>
        <v>Good insurance when there is no worries because we hear more about it.
On the other hand, the day of an accident, the increase is present which is logical when we are wrong. But that we are not wrong 2 years later, they offer you a matmut and co insurance with unimaginable prices when you are a young driver telling yourself to subscribe to them otherwise it is the door.
Therefore, after having fought etc ... They promise you a favorable sequel but all in all no, apologies? You are a young driver so at risk.
Conclusion ? As a young driver, not the right to faults. You have just lost 3 customers.</v>
      </c>
    </row>
    <row r="25" ht="15.75" customHeight="1">
      <c r="B25" s="2" t="s">
        <v>88</v>
      </c>
      <c r="C25" s="2" t="s">
        <v>89</v>
      </c>
      <c r="D25" s="2" t="s">
        <v>13</v>
      </c>
      <c r="E25" s="2" t="s">
        <v>14</v>
      </c>
      <c r="F25" s="2" t="s">
        <v>15</v>
      </c>
      <c r="G25" s="2" t="s">
        <v>90</v>
      </c>
      <c r="H25" s="2" t="s">
        <v>72</v>
      </c>
      <c r="I25" s="2" t="str">
        <f>IFERROR(__xludf.DUMMYFUNCTION("GOOGLETRANSLATE(C25,""fr"",""en"")"),"No one to be able to terminate your car contract once sold by phone, despite no -recovery I always pay the vehicle already sold.
If I could put 0 star ...
")</f>
        <v>No one to be able to terminate your car contract once sold by phone, despite no -recovery I always pay the vehicle already sold.
If I could put 0 star ...
</v>
      </c>
    </row>
    <row r="26" ht="15.75" customHeight="1">
      <c r="B26" s="2" t="s">
        <v>91</v>
      </c>
      <c r="C26" s="2" t="s">
        <v>92</v>
      </c>
      <c r="D26" s="2" t="s">
        <v>13</v>
      </c>
      <c r="E26" s="2" t="s">
        <v>14</v>
      </c>
      <c r="F26" s="2" t="s">
        <v>15</v>
      </c>
      <c r="G26" s="2" t="s">
        <v>90</v>
      </c>
      <c r="H26" s="2" t="s">
        <v>72</v>
      </c>
      <c r="I26" s="2" t="str">
        <f>IFERROR(__xludf.DUMMYFUNCTION("GOOGLETRANSLATE(C26,""fr"",""en"")"),"Surprisingly, I had no worries until everything was going well with my vehicles. In 15 years never an accident, nor a big breakdown (far from my house). My car broke down the highway to go on vacation, irreparable in the garage where it was it must go to "&amp;"Citroën. La Matmut, asks us to call the other garages ourselves to know the availability elsewhere (obviously we are told of the deadlines at 15 days of repair)! No solution offered to go to the vacation location, no car rental proposal outside the small "&amp;"car and only 10 days (the recessive repair longer than 10 days Debrou!). We decide to return, I announce a very busy car and a child with disabilities and one in the bottom, we are brought us a Skoda Superb taxi! 2.5 places at the rear with 2 cars and an "&amp;"absolutely not suitable trunk. I recalled the assistance who said to me: you know there is worse than you! Leave the water packs in your car, only keep it necessary (Ahhhh thank you it was planned!). So 1:45 am on a head of siege, to cry because we were c"&amp;"learly taken for fools, 2 hours before 4 people broke up (just after us) were repatriated to their vacation place in Taxi Type minivan via visibly better insurance . It is already necessary to digest the fact of not going on vacation so a minimum of compa"&amp;"ssion would be desirable to do this job. Thank you Matmut. Never again.")</f>
        <v>Surprisingly, I had no worries until everything was going well with my vehicles. In 15 years never an accident, nor a big breakdown (far from my house). My car broke down the highway to go on vacation, irreparable in the garage where it was it must go to Citroën. La Matmut, asks us to call the other garages ourselves to know the availability elsewhere (obviously we are told of the deadlines at 15 days of repair)! No solution offered to go to the vacation location, no car rental proposal outside the small car and only 10 days (the recessive repair longer than 10 days Debrou!). We decide to return, I announce a very busy car and a child with disabilities and one in the bottom, we are brought us a Skoda Superb taxi! 2.5 places at the rear with 2 cars and an absolutely not suitable trunk. I recalled the assistance who said to me: you know there is worse than you! Leave the water packs in your car, only keep it necessary (Ahhhh thank you it was planned!). So 1:45 am on a head of siege, to cry because we were clearly taken for fools, 2 hours before 4 people broke up (just after us) were repatriated to their vacation place in Taxi Type minivan via visibly better insurance . It is already necessary to digest the fact of not going on vacation so a minimum of compassion would be desirable to do this job. Thank you Matmut. Never again.</v>
      </c>
    </row>
    <row r="27" ht="15.75" customHeight="1">
      <c r="B27" s="2" t="s">
        <v>93</v>
      </c>
      <c r="C27" s="2" t="s">
        <v>94</v>
      </c>
      <c r="D27" s="2" t="s">
        <v>13</v>
      </c>
      <c r="E27" s="2" t="s">
        <v>14</v>
      </c>
      <c r="F27" s="2" t="s">
        <v>15</v>
      </c>
      <c r="G27" s="2" t="s">
        <v>95</v>
      </c>
      <c r="H27" s="2" t="s">
        <v>72</v>
      </c>
      <c r="I27" s="2" t="str">
        <f>IFERROR(__xludf.DUMMYFUNCTION("GOOGLETRANSLATE(C27,""fr"",""en"")"),"It is when we have a disaster that we see that we cannot count on them. I had a self -loss, I understood my pain. The person I had in such was on the verge of insolence. All I asked for was a loan vehicle from which I was entitled which was included in my"&amp;" insurance. At 70 I was alone with my 3 small children in the mountains. MATMUT MADI")</f>
        <v>It is when we have a disaster that we see that we cannot count on them. I had a self -loss, I understood my pain. The person I had in such was on the verge of insolence. All I asked for was a loan vehicle from which I was entitled which was included in my insurance. At 70 I was alone with my 3 small children in the mountains. MATMUT MADI</v>
      </c>
    </row>
    <row r="28" ht="15.75" customHeight="1">
      <c r="B28" s="2" t="s">
        <v>96</v>
      </c>
      <c r="C28" s="2" t="s">
        <v>97</v>
      </c>
      <c r="D28" s="2" t="s">
        <v>13</v>
      </c>
      <c r="E28" s="2" t="s">
        <v>14</v>
      </c>
      <c r="F28" s="2" t="s">
        <v>15</v>
      </c>
      <c r="G28" s="2" t="s">
        <v>98</v>
      </c>
      <c r="H28" s="2" t="s">
        <v>99</v>
      </c>
      <c r="I28" s="2" t="str">
        <f>IFERROR(__xludf.DUMMYFUNCTION("GOOGLETRANSLATE(C28,""fr"",""en"")"),"Customer for more than 20 years without liable claims, I had the misfortune to have had an accident on 20/05 (50/50).
I did not expect such an obstacle course for compensation for my repairs (€ 4,500).
Vehicle deposited on 08/06 after expertise, rep"&amp;"aired on 06/18.
After sending Rouen's headquarters to the assignment of the claim (sending by registered mail with AR because they do not want a fax or email), they tell me that the file is at the Compta and Processing Service: 1st lie.
On 17/07, no"&amp;"t seeing anything coming, I go to the agency and call them: they have received nothing (while I have a copy of the AR): 2nd lie.
The time passing (we are on 07/23), I go to concession and we call the platform: we have not received the invoice !!!
The "&amp;"concessionaire wants to fax it but send by imperative mail (which he will not obviously receive).
In fact, we understood that the concession not being approved by them, they drag the file.
I therefore go to the agency which transmits the invoice by em"&amp;"ail.
So I would go back next week and I am sure that something will still be missing.
I asked if they made a commercial gesture given my seniority, I was answered negatively (by offering me a funeral provident contract): truthful, they are not asham"&amp;"ed of anything.
In short, I am always without vehicle, being taken every month.
As the advertising would say, ""the matmut, it assures"" (not at all)
")</f>
        <v>Customer for more than 20 years without liable claims, I had the misfortune to have had an accident on 20/05 (50/50).
I did not expect such an obstacle course for compensation for my repairs (€ 4,500).
Vehicle deposited on 08/06 after expertise, repaired on 06/18.
After sending Rouen's headquarters to the assignment of the claim (sending by registered mail with AR because they do not want a fax or email), they tell me that the file is at the Compta and Processing Service: 1st lie.
On 17/07, not seeing anything coming, I go to the agency and call them: they have received nothing (while I have a copy of the AR): 2nd lie.
The time passing (we are on 07/23), I go to concession and we call the platform: we have not received the invoice !!!
The concessionaire wants to fax it but send by imperative mail (which he will not obviously receive).
In fact, we understood that the concession not being approved by them, they drag the file.
I therefore go to the agency which transmits the invoice by email.
So I would go back next week and I am sure that something will still be missing.
I asked if they made a commercial gesture given my seniority, I was answered negatively (by offering me a funeral provident contract): truthful, they are not ashamed of anything.
In short, I am always without vehicle, being taken every month.
As the advertising would say, "the matmut, it assures" (not at all)
</v>
      </c>
    </row>
    <row r="29" ht="15.75" customHeight="1">
      <c r="B29" s="2" t="s">
        <v>100</v>
      </c>
      <c r="C29" s="2" t="s">
        <v>101</v>
      </c>
      <c r="D29" s="2" t="s">
        <v>13</v>
      </c>
      <c r="E29" s="2" t="s">
        <v>14</v>
      </c>
      <c r="F29" s="2" t="s">
        <v>15</v>
      </c>
      <c r="G29" s="2" t="s">
        <v>102</v>
      </c>
      <c r="H29" s="2" t="s">
        <v>99</v>
      </c>
      <c r="I29" s="2" t="str">
        <f>IFERROR(__xludf.DUMMYFUNCTION("GOOGLETRANSLATE(C29,""fr"",""en"")"),"Flee la Matmut I declared a claim in December 2019 and today 0 answers because overwhelmed, 0 person on the end of the sinister service (if you manage to have someone he can do nothing for you because he does not manage Not this service, that is another) "&amp;"really a disaster!
Ensures any risk, with an expertise that concludes the repairs (which also awaits a return on their side from their part) and a complaint filed with the police is not enough.
On the other hand to send letters to ask to settle there th"&amp;"ey are present.
To believe that they are on purpose to make you give up.
To flee urgently!")</f>
        <v>Flee la Matmut I declared a claim in December 2019 and today 0 answers because overwhelmed, 0 person on the end of the sinister service (if you manage to have someone he can do nothing for you because he does not manage Not this service, that is another) really a disaster!
Ensures any risk, with an expertise that concludes the repairs (which also awaits a return on their side from their part) and a complaint filed with the police is not enough.
On the other hand to send letters to ask to settle there they are present.
To believe that they are on purpose to make you give up.
To flee urgently!</v>
      </c>
    </row>
    <row r="30" ht="15.75" customHeight="1">
      <c r="B30" s="2" t="s">
        <v>103</v>
      </c>
      <c r="C30" s="2" t="s">
        <v>104</v>
      </c>
      <c r="D30" s="2" t="s">
        <v>13</v>
      </c>
      <c r="E30" s="2" t="s">
        <v>14</v>
      </c>
      <c r="F30" s="2" t="s">
        <v>15</v>
      </c>
      <c r="G30" s="2" t="s">
        <v>105</v>
      </c>
      <c r="H30" s="2" t="s">
        <v>99</v>
      </c>
      <c r="I30" s="2" t="str">
        <f>IFERROR(__xludf.DUMMYFUNCTION("GOOGLETRANSLATE(C30,""fr"",""en"")"),"Very bad assurance, everything is done to extract money from no advantage in all risks, you will be taxed as much as possible even if your responsibility is not fully engaged, bonus impacted and franchise as much as possible. The only goal pay as little a"&amp;"s possible. Not worthy of insurance.")</f>
        <v>Very bad assurance, everything is done to extract money from no advantage in all risks, you will be taxed as much as possible even if your responsibility is not fully engaged, bonus impacted and franchise as much as possible. The only goal pay as little as possible. Not worthy of insurance.</v>
      </c>
    </row>
    <row r="31" ht="15.75" customHeight="1">
      <c r="B31" s="2" t="s">
        <v>106</v>
      </c>
      <c r="C31" s="2" t="s">
        <v>107</v>
      </c>
      <c r="D31" s="2" t="s">
        <v>13</v>
      </c>
      <c r="E31" s="2" t="s">
        <v>14</v>
      </c>
      <c r="F31" s="2" t="s">
        <v>15</v>
      </c>
      <c r="G31" s="2" t="s">
        <v>108</v>
      </c>
      <c r="H31" s="2" t="s">
        <v>99</v>
      </c>
      <c r="I31" s="2" t="str">
        <f>IFERROR(__xludf.DUMMYFUNCTION("GOOGLETRANSLATE(C31,""fr"",""en"")"),"In Toulouse we appreciated the welcome from Ms. Martine Frayssinet to meet our needs. She answered all our questions with clarity.")</f>
        <v>In Toulouse we appreciated the welcome from Ms. Martine Frayssinet to meet our needs. She answered all our questions with clarity.</v>
      </c>
    </row>
    <row r="32" ht="15.75" customHeight="1">
      <c r="B32" s="2" t="s">
        <v>109</v>
      </c>
      <c r="C32" s="2" t="s">
        <v>110</v>
      </c>
      <c r="D32" s="2" t="s">
        <v>13</v>
      </c>
      <c r="E32" s="2" t="s">
        <v>14</v>
      </c>
      <c r="F32" s="2" t="s">
        <v>15</v>
      </c>
      <c r="G32" s="2" t="s">
        <v>111</v>
      </c>
      <c r="H32" s="2" t="s">
        <v>112</v>
      </c>
      <c r="I32" s="2" t="str">
        <f>IFERROR(__xludf.DUMMYFUNCTION("GOOGLETRANSLATE(C32,""fr"",""en"")"),"I have been affiliated for several years at the Matmut in Grasse and so far their team has always given me satisfaction.")</f>
        <v>I have been affiliated for several years at the Matmut in Grasse and so far their team has always given me satisfaction.</v>
      </c>
    </row>
    <row r="33" ht="15.75" customHeight="1">
      <c r="B33" s="2" t="s">
        <v>113</v>
      </c>
      <c r="C33" s="2" t="s">
        <v>114</v>
      </c>
      <c r="D33" s="2" t="s">
        <v>13</v>
      </c>
      <c r="E33" s="2" t="s">
        <v>14</v>
      </c>
      <c r="F33" s="2" t="s">
        <v>15</v>
      </c>
      <c r="G33" s="2" t="s">
        <v>115</v>
      </c>
      <c r="H33" s="2" t="s">
        <v>112</v>
      </c>
      <c r="I33" s="2" t="str">
        <f>IFERROR(__xludf.DUMMYFUNCTION("GOOGLETRANSLATE(C33,""fr"",""en"")"),"Very poor quality of claims management.")</f>
        <v>Very poor quality of claims management.</v>
      </c>
    </row>
    <row r="34" ht="15.75" customHeight="1">
      <c r="B34" s="2" t="s">
        <v>116</v>
      </c>
      <c r="C34" s="2" t="s">
        <v>117</v>
      </c>
      <c r="D34" s="2" t="s">
        <v>13</v>
      </c>
      <c r="E34" s="2" t="s">
        <v>14</v>
      </c>
      <c r="F34" s="2" t="s">
        <v>15</v>
      </c>
      <c r="G34" s="2" t="s">
        <v>118</v>
      </c>
      <c r="H34" s="2" t="s">
        <v>119</v>
      </c>
      <c r="I34" s="2" t="str">
        <f>IFERROR(__xludf.DUMMYFUNCTION("GOOGLETRANSLATE(C34,""fr"",""en"")"),"They are very responsive, offer high -end services (reinforced compensation, mechanical breakdown, reinforced driver warranty ...)
In addition, when you call assistance they are very fast and take care of what to be taken without trying to find fails to "&amp;"last.")</f>
        <v>They are very responsive, offer high -end services (reinforced compensation, mechanical breakdown, reinforced driver warranty ...)
In addition, when you call assistance they are very fast and take care of what to be taken without trying to find fails to last.</v>
      </c>
    </row>
    <row r="35" ht="15.75" customHeight="1">
      <c r="B35" s="2" t="s">
        <v>120</v>
      </c>
      <c r="C35" s="2" t="s">
        <v>121</v>
      </c>
      <c r="D35" s="2" t="s">
        <v>13</v>
      </c>
      <c r="E35" s="2" t="s">
        <v>14</v>
      </c>
      <c r="F35" s="2" t="s">
        <v>15</v>
      </c>
      <c r="G35" s="2" t="s">
        <v>122</v>
      </c>
      <c r="H35" s="2" t="s">
        <v>123</v>
      </c>
      <c r="I35" s="2" t="str">
        <f>IFERROR(__xludf.DUMMYFUNCTION("GOOGLETRANSLATE(C35,""fr"",""en"")"),"I am the advice of one of the Matmut members who declared the theft of his vehicle on January 6, 2020, since then nothing has been done.
No expertise mission and no compensation proposal.
Worse still, the Matmut was informed that the vehicle was found o"&amp;"n April 1, 2020 abroad and still no diligence on its part.
Insurance company which has nothing to do with its professional obligations and prefers to locate itself in a silence rather than supporting your insured despite the missives which have been sent"&amp;" to him.
Insurance company to ban.")</f>
        <v>I am the advice of one of the Matmut members who declared the theft of his vehicle on January 6, 2020, since then nothing has been done.
No expertise mission and no compensation proposal.
Worse still, the Matmut was informed that the vehicle was found on April 1, 2020 abroad and still no diligence on its part.
Insurance company which has nothing to do with its professional obligations and prefers to locate itself in a silence rather than supporting your insured despite the missives which have been sent to him.
Insurance company to ban.</v>
      </c>
    </row>
    <row r="36" ht="15.75" customHeight="1">
      <c r="B36" s="2" t="s">
        <v>124</v>
      </c>
      <c r="C36" s="2" t="s">
        <v>125</v>
      </c>
      <c r="D36" s="2" t="s">
        <v>13</v>
      </c>
      <c r="E36" s="2" t="s">
        <v>14</v>
      </c>
      <c r="F36" s="2" t="s">
        <v>15</v>
      </c>
      <c r="G36" s="2" t="s">
        <v>126</v>
      </c>
      <c r="H36" s="2" t="s">
        <v>123</v>
      </c>
      <c r="I36" s="2" t="str">
        <f>IFERROR(__xludf.DUMMYFUNCTION("GOOGLETRANSLATE(C36,""fr"",""en"")"),"Hello, Following the confinement La Matmut announces his prices for 2021; The insured people who will not be in the Matmut in 2021, will therefore not benefit from this gesture ... and it is at the moment that confinement has an impact on the valorization"&amp;" of claims.")</f>
        <v>Hello, Following the confinement La Matmut announces his prices for 2021; The insured people who will not be in the Matmut in 2021, will therefore not benefit from this gesture ... and it is at the moment that confinement has an impact on the valorization of claims.</v>
      </c>
    </row>
    <row r="37" ht="15.75" customHeight="1">
      <c r="B37" s="2" t="s">
        <v>127</v>
      </c>
      <c r="C37" s="2" t="s">
        <v>128</v>
      </c>
      <c r="D37" s="2" t="s">
        <v>13</v>
      </c>
      <c r="E37" s="2" t="s">
        <v>14</v>
      </c>
      <c r="F37" s="2" t="s">
        <v>15</v>
      </c>
      <c r="G37" s="2" t="s">
        <v>129</v>
      </c>
      <c r="H37" s="2" t="s">
        <v>123</v>
      </c>
      <c r="I37" s="2" t="str">
        <f>IFERROR(__xludf.DUMMYFUNCTION("GOOGLETRANSLATE(C37,""fr"",""en"")"),"Home puncture. Call 6:42 p.m. Tire repaired and re -inflated at 7.15 p.m.")</f>
        <v>Home puncture. Call 6:42 p.m. Tire repaired and re -inflated at 7.15 p.m.</v>
      </c>
    </row>
    <row r="38" ht="15.75" customHeight="1">
      <c r="B38" s="2" t="s">
        <v>130</v>
      </c>
      <c r="C38" s="2" t="s">
        <v>131</v>
      </c>
      <c r="D38" s="2" t="s">
        <v>13</v>
      </c>
      <c r="E38" s="2" t="s">
        <v>14</v>
      </c>
      <c r="F38" s="2" t="s">
        <v>15</v>
      </c>
      <c r="G38" s="2" t="s">
        <v>132</v>
      </c>
      <c r="H38" s="2" t="s">
        <v>123</v>
      </c>
      <c r="I38" s="2" t="str">
        <f>IFERROR(__xludf.DUMMYFUNCTION("GOOGLETRANSLATE(C38,""fr"",""en"")"),"I have always been a matmut customer, 3 vehicles and the house are insured, bonus 65%.
I have been waiting for 3 months a payment for a claim on my professional vehicle.
The service is unreachable and only responds to email intermittently and answers al"&amp;"ready made.
I do not recommend at all.")</f>
        <v>I have always been a matmut customer, 3 vehicles and the house are insured, bonus 65%.
I have been waiting for 3 months a payment for a claim on my professional vehicle.
The service is unreachable and only responds to email intermittently and answers already made.
I do not recommend at all.</v>
      </c>
    </row>
    <row r="39" ht="15.75" customHeight="1">
      <c r="B39" s="2" t="s">
        <v>133</v>
      </c>
      <c r="C39" s="2" t="s">
        <v>134</v>
      </c>
      <c r="D39" s="2" t="s">
        <v>13</v>
      </c>
      <c r="E39" s="2" t="s">
        <v>14</v>
      </c>
      <c r="F39" s="2" t="s">
        <v>15</v>
      </c>
      <c r="G39" s="2" t="s">
        <v>135</v>
      </c>
      <c r="H39" s="2" t="s">
        <v>123</v>
      </c>
      <c r="I39" s="2" t="str">
        <f>IFERROR(__xludf.DUMMYFUNCTION("GOOGLETRANSLATE(C39,""fr"",""en"")"),"Hello,
It has been more than 2 months since my vehicle was stolen.
Despite many emails and calls, the Matmut sinister service remains unreachable.
The Matmut promised us on Tuesday on the opinion-assurance site what spanked on to be contacted qui"&amp;"ckly by an advisor, outside to date always no news.
How to be heard of the emergency.
I find myself on foot unable to go shopping or go to his workplace because unfortunately telework is impossible.
We understand the current context, but accordin"&amp;"g to the regional delegate of the Matmut that we had contacted, the first two weeks of containment has been complicated to set up, but that since the solution has been found so that the services are always active.
And yet still no news either.
Please he"&amp;"lp us, this situation becomes more than annoying and urgent !!!!")</f>
        <v>Hello,
It has been more than 2 months since my vehicle was stolen.
Despite many emails and calls, the Matmut sinister service remains unreachable.
The Matmut promised us on Tuesday on the opinion-assurance site what spanked on to be contacted quickly by an advisor, outside to date always no news.
How to be heard of the emergency.
I find myself on foot unable to go shopping or go to his workplace because unfortunately telework is impossible.
We understand the current context, but according to the regional delegate of the Matmut that we had contacted, the first two weeks of containment has been complicated to set up, but that since the solution has been found so that the services are always active.
And yet still no news either.
Please help us, this situation becomes more than annoying and urgent !!!!</v>
      </c>
    </row>
    <row r="40" ht="15.75" customHeight="1">
      <c r="B40" s="2" t="s">
        <v>136</v>
      </c>
      <c r="C40" s="2" t="s">
        <v>137</v>
      </c>
      <c r="D40" s="2" t="s">
        <v>13</v>
      </c>
      <c r="E40" s="2" t="s">
        <v>14</v>
      </c>
      <c r="F40" s="2" t="s">
        <v>15</v>
      </c>
      <c r="G40" s="2" t="s">
        <v>138</v>
      </c>
      <c r="H40" s="2" t="s">
        <v>123</v>
      </c>
      <c r="I40" s="2" t="str">
        <f>IFERROR(__xludf.DUMMYFUNCTION("GOOGLETRANSLATE(C40,""fr"",""en"")"),"Insured at the Matmut since 1997, I had 3 claims. 1 accident and 2 broken ice. Well reimbursed and in time. But never a loyalty delivery. At the moment the MAIF and some other insurances make discounts cause confinement. I await the reaction of the Matmut"&amp;" ...")</f>
        <v>Insured at the Matmut since 1997, I had 3 claims. 1 accident and 2 broken ice. Well reimbursed and in time. But never a loyalty delivery. At the moment the MAIF and some other insurances make discounts cause confinement. I await the reaction of the Matmut ...</v>
      </c>
    </row>
    <row r="41" ht="15.75" customHeight="1">
      <c r="B41" s="2" t="s">
        <v>139</v>
      </c>
      <c r="C41" s="2" t="s">
        <v>140</v>
      </c>
      <c r="D41" s="2" t="s">
        <v>13</v>
      </c>
      <c r="E41" s="2" t="s">
        <v>14</v>
      </c>
      <c r="F41" s="2" t="s">
        <v>15</v>
      </c>
      <c r="G41" s="2" t="s">
        <v>141</v>
      </c>
      <c r="H41" s="2" t="s">
        <v>142</v>
      </c>
      <c r="I41" s="2" t="str">
        <f>IFERROR(__xludf.DUMMYFUNCTION("GOOGLETRANSLATE(C41,""fr"",""en"")"),"I continue my fight with the Matmut. Body accident in December 2017. They do not recognize that I was injured in the accident while a van had struck me from the rear and that my car had been scrapped. And in addition I was not in wrong. Do you realize?
S"&amp;"o I am at the stadium where I asked for an arbitration. They replied that they were going to offer me 3 doctors and that I was going to have to choose one. I'm still waiting. Above all do not do like me, do not adhere to the Matmut because they do everyth"&amp;"ing to not help you when you need them most. It is funny, they recognize bodily harm when there is the accident and yet they declare that there is no correlation between the suffered shock and your bodily damage; That ultimately no, you were not injured i"&amp;"n the accident, all your consequences are not due to the shock of the van which destroyed your car because their doctor who is saying expert who saw you a year after that no. I saw an awake nightmare. If I have only one advice: do not put yourself in my s"&amp;"ituation.
Do not choose this insurance.")</f>
        <v>I continue my fight with the Matmut. Body accident in December 2017. They do not recognize that I was injured in the accident while a van had struck me from the rear and that my car had been scrapped. And in addition I was not in wrong. Do you realize?
So I am at the stadium where I asked for an arbitration. They replied that they were going to offer me 3 doctors and that I was going to have to choose one. I'm still waiting. Above all do not do like me, do not adhere to the Matmut because they do everything to not help you when you need them most. It is funny, they recognize bodily harm when there is the accident and yet they declare that there is no correlation between the suffered shock and your bodily damage; That ultimately no, you were not injured in the accident, all your consequences are not due to the shock of the van which destroyed your car because their doctor who is saying expert who saw you a year after that no. I saw an awake nightmare. If I have only one advice: do not put yourself in my situation.
Do not choose this insurance.</v>
      </c>
    </row>
    <row r="42" ht="15.75" customHeight="1">
      <c r="B42" s="2" t="s">
        <v>143</v>
      </c>
      <c r="C42" s="2" t="s">
        <v>144</v>
      </c>
      <c r="D42" s="2" t="s">
        <v>13</v>
      </c>
      <c r="E42" s="2" t="s">
        <v>14</v>
      </c>
      <c r="F42" s="2" t="s">
        <v>15</v>
      </c>
      <c r="G42" s="2" t="s">
        <v>145</v>
      </c>
      <c r="H42" s="2" t="s">
        <v>142</v>
      </c>
      <c r="I42" s="2" t="str">
        <f>IFERROR(__xludf.DUMMYFUNCTION("GOOGLETRANSLATE(C42,""fr"",""en"")"),"Insured for about fifteen years, without any problem, except recently following the theft of my motorhome with a mechanic, therefore in no way responsible, the ""compensation"" service was not at all involved, I did it myself manage and involve a mediator"&amp;". The opposing insurance has reimbursed me that after 8 months. The compensation service, let me hear that he could do nothing for me !!")</f>
        <v>Insured for about fifteen years, without any problem, except recently following the theft of my motorhome with a mechanic, therefore in no way responsible, the "compensation" service was not at all involved, I did it myself manage and involve a mediator. The opposing insurance has reimbursed me that after 8 months. The compensation service, let me hear that he could do nothing for me !!</v>
      </c>
    </row>
    <row r="43" ht="15.75" customHeight="1">
      <c r="B43" s="2" t="s">
        <v>146</v>
      </c>
      <c r="C43" s="2" t="s">
        <v>147</v>
      </c>
      <c r="D43" s="2" t="s">
        <v>13</v>
      </c>
      <c r="E43" s="2" t="s">
        <v>14</v>
      </c>
      <c r="F43" s="2" t="s">
        <v>15</v>
      </c>
      <c r="G43" s="2" t="s">
        <v>148</v>
      </c>
      <c r="H43" s="2" t="s">
        <v>149</v>
      </c>
      <c r="I43" s="2" t="str">
        <f>IFERROR(__xludf.DUMMYFUNCTION("GOOGLETRANSLATE(C43,""fr"",""en"")"),"In the event of a dispute .boxoin of nothing they are there, otherwise go your way. They all make it implement so as not to compensate yourself.")</f>
        <v>In the event of a dispute .boxoin of nothing they are there, otherwise go your way. They all make it implement so as not to compensate yourself.</v>
      </c>
    </row>
    <row r="44" ht="15.75" customHeight="1">
      <c r="B44" s="2" t="s">
        <v>150</v>
      </c>
      <c r="C44" s="2" t="s">
        <v>151</v>
      </c>
      <c r="D44" s="2" t="s">
        <v>13</v>
      </c>
      <c r="E44" s="2" t="s">
        <v>14</v>
      </c>
      <c r="F44" s="2" t="s">
        <v>15</v>
      </c>
      <c r="G44" s="2" t="s">
        <v>152</v>
      </c>
      <c r="H44" s="2" t="s">
        <v>149</v>
      </c>
      <c r="I44" s="2" t="str">
        <f>IFERROR(__xludf.DUMMYFUNCTION("GOOGLETRANSLATE(C44,""fr"",""en"")"),"in ligitis with this insurance it sounds very bad times to compensate the gold of a car accident")</f>
        <v>in ligitis with this insurance it sounds very bad times to compensate the gold of a car accident</v>
      </c>
    </row>
    <row r="45" ht="15.75" customHeight="1">
      <c r="B45" s="2" t="s">
        <v>153</v>
      </c>
      <c r="C45" s="2" t="s">
        <v>154</v>
      </c>
      <c r="D45" s="2" t="s">
        <v>13</v>
      </c>
      <c r="E45" s="2" t="s">
        <v>14</v>
      </c>
      <c r="F45" s="2" t="s">
        <v>15</v>
      </c>
      <c r="G45" s="2" t="s">
        <v>155</v>
      </c>
      <c r="H45" s="2" t="s">
        <v>149</v>
      </c>
      <c r="I45" s="2" t="str">
        <f>IFERROR(__xludf.DUMMYFUNCTION("GOOGLETRANSLATE(C45,""fr"",""en"")"),"I posted an excellent comment a few weeks ago.
Following the theft of my vehicle I had to involve the Matmut for compensation. The vehicle was found burnt down, the expert has passed, the recuperator has also passed. I have been waiting for my compensati"&amp;"on proposal for several weeks. I can see that I am not the only one. Many comments put a problem back in terms of compensation proposals. I have subscribed to any more risk insurance, the file is complete. Impossible to know what is blocking.
I have 8 MA"&amp;"TMUT contracts. Honestly, as soon as they get dead it will be finished for me. I leave. Even with a recommended we have no proposal. I think it is necessary to go to court. To be continued
200n01552t")</f>
        <v>I posted an excellent comment a few weeks ago.
Following the theft of my vehicle I had to involve the Matmut for compensation. The vehicle was found burnt down, the expert has passed, the recuperator has also passed. I have been waiting for my compensation proposal for several weeks. I can see that I am not the only one. Many comments put a problem back in terms of compensation proposals. I have subscribed to any more risk insurance, the file is complete. Impossible to know what is blocking.
I have 8 MATMUT contracts. Honestly, as soon as they get dead it will be finished for me. I leave. Even with a recommended we have no proposal. I think it is necessary to go to court. To be continued
200n01552t</v>
      </c>
    </row>
    <row r="46" ht="15.75" customHeight="1">
      <c r="B46" s="2" t="s">
        <v>156</v>
      </c>
      <c r="C46" s="2" t="s">
        <v>157</v>
      </c>
      <c r="D46" s="2" t="s">
        <v>13</v>
      </c>
      <c r="E46" s="2" t="s">
        <v>14</v>
      </c>
      <c r="F46" s="2" t="s">
        <v>15</v>
      </c>
      <c r="G46" s="2" t="s">
        <v>158</v>
      </c>
      <c r="H46" s="2" t="s">
        <v>149</v>
      </c>
      <c r="I46" s="2" t="str">
        <f>IFERROR(__xludf.DUMMYFUNCTION("GOOGLETRANSLATE(C46,""fr"",""en"")"),"After 17 years of loyalty, they have struck us for having had 2 claims and 1 Impact Breaks in the same year.
In addition, we were stolen from our car on the last month by stealing the keys in our bag during an outing. Despite our multi -risk contract and"&amp;" after 1.5 months of mail exchange for always missing documents, they finally refuse any compensation under reason that the keys were not in a locked room.
Insurer to flee!")</f>
        <v>After 17 years of loyalty, they have struck us for having had 2 claims and 1 Impact Breaks in the same year.
In addition, we were stolen from our car on the last month by stealing the keys in our bag during an outing. Despite our multi -risk contract and after 1.5 months of mail exchange for always missing documents, they finally refuse any compensation under reason that the keys were not in a locked room.
Insurer to flee!</v>
      </c>
    </row>
    <row r="47" ht="15.75" customHeight="1">
      <c r="B47" s="2" t="s">
        <v>159</v>
      </c>
      <c r="C47" s="2" t="s">
        <v>160</v>
      </c>
      <c r="D47" s="2" t="s">
        <v>13</v>
      </c>
      <c r="E47" s="2" t="s">
        <v>14</v>
      </c>
      <c r="F47" s="2" t="s">
        <v>15</v>
      </c>
      <c r="G47" s="2" t="s">
        <v>161</v>
      </c>
      <c r="H47" s="2" t="s">
        <v>149</v>
      </c>
      <c r="I47" s="2" t="str">
        <f>IFERROR(__xludf.DUMMYFUNCTION("GOOGLETRANSLATE(C47,""fr"",""en"")"),"Insurance not at all done for professionals")</f>
        <v>Insurance not at all done for professionals</v>
      </c>
    </row>
    <row r="48" ht="15.75" customHeight="1">
      <c r="B48" s="2" t="s">
        <v>162</v>
      </c>
      <c r="C48" s="2" t="s">
        <v>163</v>
      </c>
      <c r="D48" s="2" t="s">
        <v>13</v>
      </c>
      <c r="E48" s="2" t="s">
        <v>14</v>
      </c>
      <c r="F48" s="2" t="s">
        <v>15</v>
      </c>
      <c r="G48" s="2" t="s">
        <v>164</v>
      </c>
      <c r="H48" s="2" t="s">
        <v>165</v>
      </c>
      <c r="I48" s="2" t="str">
        <f>IFERROR(__xludf.DUMMYFUNCTION("GOOGLETRANSLATE(C48,""fr"",""en"")"),"Following an accident where I am not wrong!")</f>
        <v>Following an accident where I am not wrong!</v>
      </c>
    </row>
    <row r="49" ht="15.75" customHeight="1">
      <c r="B49" s="2" t="s">
        <v>166</v>
      </c>
      <c r="C49" s="2" t="s">
        <v>167</v>
      </c>
      <c r="D49" s="2" t="s">
        <v>13</v>
      </c>
      <c r="E49" s="2" t="s">
        <v>14</v>
      </c>
      <c r="F49" s="2" t="s">
        <v>15</v>
      </c>
      <c r="G49" s="2" t="s">
        <v>168</v>
      </c>
      <c r="H49" s="2" t="s">
        <v>165</v>
      </c>
      <c r="I49" s="2" t="str">
        <f>IFERROR(__xludf.DUMMYFUNCTION("GOOGLETRANSLATE(C49,""fr"",""en"")"),"15 years at home and I have been terminated the prices have been blazing for a few years ..... I point out a non -responsible accident, the dispute resolves amicable and it nevertheless drops my bonus.")</f>
        <v>15 years at home and I have been terminated the prices have been blazing for a few years ..... I point out a non -responsible accident, the dispute resolves amicable and it nevertheless drops my bonus.</v>
      </c>
    </row>
    <row r="50" ht="15.75" customHeight="1">
      <c r="B50" s="2" t="s">
        <v>169</v>
      </c>
      <c r="C50" s="2" t="s">
        <v>170</v>
      </c>
      <c r="D50" s="2" t="s">
        <v>13</v>
      </c>
      <c r="E50" s="2" t="s">
        <v>14</v>
      </c>
      <c r="F50" s="2" t="s">
        <v>15</v>
      </c>
      <c r="G50" s="2" t="s">
        <v>171</v>
      </c>
      <c r="H50" s="2" t="s">
        <v>165</v>
      </c>
      <c r="I50" s="2" t="str">
        <f>IFERROR(__xludf.DUMMYFUNCTION("GOOGLETRANSLATE(C50,""fr"",""en"")"),"Hello,
Reassured recently at the Matmut, I was terminated because of an accident that I had declared during my suspension. I do not understand that we can agree to do car insurance and then connect it 2 months after for reasons that you already had dur"&amp;"ing the acknowledgment of the contract. It is not as if you were not aware of my situation. The information statement was sent to you at the time of the suspension.
Therefore, please honor your commitment.")</f>
        <v>Hello,
Reassured recently at the Matmut, I was terminated because of an accident that I had declared during my suspension. I do not understand that we can agree to do car insurance and then connect it 2 months after for reasons that you already had during the acknowledgment of the contract. It is not as if you were not aware of my situation. The information statement was sent to you at the time of the suspension.
Therefore, please honor your commitment.</v>
      </c>
    </row>
    <row r="51" ht="15.75" customHeight="1">
      <c r="B51" s="2" t="s">
        <v>172</v>
      </c>
      <c r="C51" s="2" t="s">
        <v>173</v>
      </c>
      <c r="D51" s="2" t="s">
        <v>13</v>
      </c>
      <c r="E51" s="2" t="s">
        <v>14</v>
      </c>
      <c r="F51" s="2" t="s">
        <v>15</v>
      </c>
      <c r="G51" s="2" t="s">
        <v>174</v>
      </c>
      <c r="H51" s="2" t="s">
        <v>175</v>
      </c>
      <c r="I51" s="2" t="str">
        <f>IFERROR(__xludf.DUMMYFUNCTION("GOOGLETRANSLATE(C51,""fr"",""en"")"),"The promises in the event of immobilization of the vehicle by breakdown and repair are not held: no help, no support and orientation, especially no replacement car. Discuss you!")</f>
        <v>The promises in the event of immobilization of the vehicle by breakdown and repair are not held: no help, no support and orientation, especially no replacement car. Discuss you!</v>
      </c>
    </row>
    <row r="52" ht="15.75" customHeight="1">
      <c r="B52" s="2" t="s">
        <v>176</v>
      </c>
      <c r="C52" s="2" t="s">
        <v>177</v>
      </c>
      <c r="D52" s="2" t="s">
        <v>13</v>
      </c>
      <c r="E52" s="2" t="s">
        <v>14</v>
      </c>
      <c r="F52" s="2" t="s">
        <v>15</v>
      </c>
      <c r="G52" s="2" t="s">
        <v>178</v>
      </c>
      <c r="H52" s="2" t="s">
        <v>179</v>
      </c>
      <c r="I52" s="2" t="str">
        <f>IFERROR(__xludf.DUMMYFUNCTION("GOOGLETRANSLATE(C52,""fr"",""en"")"),"Too bad I can't put 0 stars.
Accident on 08/13/2019. A vehicle goes back to the back. This responsible vehicle was repaired and compensated by its insurance in Tunisia. My file is still not processed but the Matmut has already terminated my contract and "&amp;"sent me an information statement by mentioning 100 %responsible. No it's not a joke. Worse and disrespectful customer service (hanging up on the nose, Oh Bipppp, you had to take insurance elsewhere, we are under staff etc ...). I left a comment on Faceboo"&amp;"k I was blocked. I hope not to be on this site.")</f>
        <v>Too bad I can't put 0 stars.
Accident on 08/13/2019. A vehicle goes back to the back. This responsible vehicle was repaired and compensated by its insurance in Tunisia. My file is still not processed but the Matmut has already terminated my contract and sent me an information statement by mentioning 100 %responsible. No it's not a joke. Worse and disrespectful customer service (hanging up on the nose, Oh Bipppp, you had to take insurance elsewhere, we are under staff etc ...). I left a comment on Facebook I was blocked. I hope not to be on this site.</v>
      </c>
    </row>
    <row r="53" ht="15.75" customHeight="1">
      <c r="B53" s="2" t="s">
        <v>180</v>
      </c>
      <c r="C53" s="2" t="s">
        <v>181</v>
      </c>
      <c r="D53" s="2" t="s">
        <v>13</v>
      </c>
      <c r="E53" s="2" t="s">
        <v>14</v>
      </c>
      <c r="F53" s="2" t="s">
        <v>15</v>
      </c>
      <c r="G53" s="2" t="s">
        <v>182</v>
      </c>
      <c r="H53" s="2" t="s">
        <v>179</v>
      </c>
      <c r="I53" s="2" t="str">
        <f>IFERROR(__xludf.DUMMYFUNCTION("GOOGLETRANSLATE(C53,""fr"",""en"")"),"Too bad 0 stars does not exist .. assurance to flee which do not even respect its customers. Real lack of seriousness and professionalism")</f>
        <v>Too bad 0 stars does not exist .. assurance to flee which do not even respect its customers. Real lack of seriousness and professionalism</v>
      </c>
    </row>
    <row r="54" ht="15.75" customHeight="1">
      <c r="B54" s="2" t="s">
        <v>183</v>
      </c>
      <c r="C54" s="2" t="s">
        <v>184</v>
      </c>
      <c r="D54" s="2" t="s">
        <v>13</v>
      </c>
      <c r="E54" s="2" t="s">
        <v>14</v>
      </c>
      <c r="F54" s="2" t="s">
        <v>15</v>
      </c>
      <c r="G54" s="2" t="s">
        <v>185</v>
      </c>
      <c r="H54" s="2" t="s">
        <v>179</v>
      </c>
      <c r="I54" s="2" t="str">
        <f>IFERROR(__xludf.DUMMYFUNCTION("GOOGLETRANSLATE(C54,""fr"",""en"")"),"I decide to finance my son's insurance at my insurer Matmut. Sinister on January 12, 2019 conveys well supported by the Matmut. After 3 or 4 months Expertise and compensation proposal from Matmut. A matmut agent makes me by that since I am insured with re"&amp;"inforced insurance I can justify the purchase of the vehicle and get reimbursed to date the insurance at least the person manages the file Declare to be overwhelmed with work and have more late files without counting your holidays celebrates .. .. The Mat"&amp;"mut invoices the assurance of this vehicle up to 146euro per month I pay. Insurance asks me for papers and asked me for the same. To date, they allow themselves to be canceled in January 1, 2019 when I have been insured at home since 2003.
I recommend th"&amp;"e Matmut, to date that as real problem does not make the mistake of going to their home you pay the strong price because you think you are safe or this is true for small damage but as soon as they have to Setting this is not going in their direction")</f>
        <v>I decide to finance my son's insurance at my insurer Matmut. Sinister on January 12, 2019 conveys well supported by the Matmut. After 3 or 4 months Expertise and compensation proposal from Matmut. A matmut agent makes me by that since I am insured with reinforced insurance I can justify the purchase of the vehicle and get reimbursed to date the insurance at least the person manages the file Declare to be overwhelmed with work and have more late files without counting your holidays celebrates .. .. The Matmut invoices the assurance of this vehicle up to 146euro per month I pay. Insurance asks me for papers and asked me for the same. To date, they allow themselves to be canceled in January 1, 2019 when I have been insured at home since 2003.
I recommend the Matmut, to date that as real problem does not make the mistake of going to their home you pay the strong price because you think you are safe or this is true for small damage but as soon as they have to Setting this is not going in their direction</v>
      </c>
    </row>
    <row r="55" ht="15.75" customHeight="1">
      <c r="B55" s="2" t="s">
        <v>186</v>
      </c>
      <c r="C55" s="2" t="s">
        <v>187</v>
      </c>
      <c r="D55" s="2" t="s">
        <v>13</v>
      </c>
      <c r="E55" s="2" t="s">
        <v>14</v>
      </c>
      <c r="F55" s="2" t="s">
        <v>15</v>
      </c>
      <c r="G55" s="2" t="s">
        <v>188</v>
      </c>
      <c r="H55" s="2" t="s">
        <v>189</v>
      </c>
      <c r="I55" s="2" t="str">
        <f>IFERROR(__xludf.DUMMYFUNCTION("GOOGLETRANSLATE(C55,""fr"",""en"")"),"Clearly not an insurance that gives me the smile after more than 10 years of good and loyal service I will withdraw all of my contracts. I will make the spokesperson for the total lack of professionalism of this insurer.")</f>
        <v>Clearly not an insurance that gives me the smile after more than 10 years of good and loyal service I will withdraw all of my contracts. I will make the spokesperson for the total lack of professionalism of this insurer.</v>
      </c>
    </row>
    <row r="56" ht="15.75" customHeight="1">
      <c r="B56" s="2" t="s">
        <v>190</v>
      </c>
      <c r="C56" s="2" t="s">
        <v>191</v>
      </c>
      <c r="D56" s="2" t="s">
        <v>13</v>
      </c>
      <c r="E56" s="2" t="s">
        <v>14</v>
      </c>
      <c r="F56" s="2" t="s">
        <v>15</v>
      </c>
      <c r="G56" s="2" t="s">
        <v>192</v>
      </c>
      <c r="H56" s="2" t="s">
        <v>193</v>
      </c>
      <c r="I56" s="2" t="str">
        <f>IFERROR(__xludf.DUMMYFUNCTION("GOOGLETRANSLATE(C56,""fr"",""en"")"),"Be careful not to go to them ... Insurance that does not care about these customers. Sinister in January 2019 with an uninsured third party who was 100% in wrong, after noting me that I had to be reimbursed by the warranty, no news from the Matmut for 9 m"&amp;"onths ... which does not manage anything and does the Death to my requests (emails, telephone sending letters ar, etc.).")</f>
        <v>Be careful not to go to them ... Insurance that does not care about these customers. Sinister in January 2019 with an uninsured third party who was 100% in wrong, after noting me that I had to be reimbursed by the warranty, no news from the Matmut for 9 months ... which does not manage anything and does the Death to my requests (emails, telephone sending letters ar, etc.).</v>
      </c>
    </row>
    <row r="57" ht="15.75" customHeight="1">
      <c r="B57" s="2" t="s">
        <v>194</v>
      </c>
      <c r="C57" s="2" t="s">
        <v>195</v>
      </c>
      <c r="D57" s="2" t="s">
        <v>13</v>
      </c>
      <c r="E57" s="2" t="s">
        <v>14</v>
      </c>
      <c r="F57" s="2" t="s">
        <v>15</v>
      </c>
      <c r="G57" s="2" t="s">
        <v>196</v>
      </c>
      <c r="H57" s="2" t="s">
        <v>197</v>
      </c>
      <c r="I57" s="2" t="str">
        <f>IFERROR(__xludf.DUMMYFUNCTION("GOOGLETRANSLATE(C57,""fr"",""en"")"),"Frankly I do not recommend this insurance to everyone
Customer service that this crazy face
Increase in contributions and on all advisers not understandable at all
0/20
I have subscribed to a nearly car in the event of a breakdown, my car broke down a"&amp;"nd I am not the right to the nearly car and I have said that I am 1100 km from dear me and that I am with 2 24 months old children with a disabled")</f>
        <v>Frankly I do not recommend this insurance to everyone
Customer service that this crazy face
Increase in contributions and on all advisers not understandable at all
0/20
I have subscribed to a nearly car in the event of a breakdown, my car broke down and I am not the right to the nearly car and I have said that I am 1100 km from dear me and that I am with 2 24 months old children with a disabled</v>
      </c>
    </row>
    <row r="58" ht="15.75" customHeight="1">
      <c r="B58" s="2" t="s">
        <v>198</v>
      </c>
      <c r="C58" s="2" t="s">
        <v>199</v>
      </c>
      <c r="D58" s="2" t="s">
        <v>13</v>
      </c>
      <c r="E58" s="2" t="s">
        <v>14</v>
      </c>
      <c r="F58" s="2" t="s">
        <v>15</v>
      </c>
      <c r="G58" s="2" t="s">
        <v>200</v>
      </c>
      <c r="H58" s="2" t="s">
        <v>197</v>
      </c>
      <c r="I58" s="2" t="str">
        <f>IFERROR(__xludf.DUMMYFUNCTION("GOOGLETRANSLATE(C58,""fr"",""en"")"),"TO FLEE
Car flight on 06/26/19 We are on 08/27 and still no compensation because the Matmut finds a missing part of the last minute on the file. incompetent not listening I flee this insurance in which I have been since 1993 as well as my parents. 5 insu"&amp;"rance contracts who have been smoked in smoke thanks to the incompetence of this insurance not car for 2 months a care of 15 days when it would take 30 for the processing of the file. 1 flight problem in 26 years and nothing else is what the Matmut dealt "&amp;"with for me and here is the result")</f>
        <v>TO FLEE
Car flight on 06/26/19 We are on 08/27 and still no compensation because the Matmut finds a missing part of the last minute on the file. incompetent not listening I flee this insurance in which I have been since 1993 as well as my parents. 5 insurance contracts who have been smoked in smoke thanks to the incompetence of this insurance not car for 2 months a care of 15 days when it would take 30 for the processing of the file. 1 flight problem in 26 years and nothing else is what the Matmut dealt with for me and here is the result</v>
      </c>
    </row>
    <row r="59" ht="15.75" customHeight="1">
      <c r="B59" s="2" t="s">
        <v>201</v>
      </c>
      <c r="C59" s="2" t="s">
        <v>202</v>
      </c>
      <c r="D59" s="2" t="s">
        <v>13</v>
      </c>
      <c r="E59" s="2" t="s">
        <v>14</v>
      </c>
      <c r="F59" s="2" t="s">
        <v>15</v>
      </c>
      <c r="G59" s="2" t="s">
        <v>203</v>
      </c>
      <c r="H59" s="2" t="s">
        <v>197</v>
      </c>
      <c r="I59" s="2" t="str">
        <f>IFERROR(__xludf.DUMMYFUNCTION("GOOGLETRANSLATE(C59,""fr"",""en"")"),"Very professional very responsive, I lived in Montpellier but I stayed in the Marseille St Louis agency because I have always been very satisfied with each request.")</f>
        <v>Very professional very responsive, I lived in Montpellier but I stayed in the Marseille St Louis agency because I have always been very satisfied with each request.</v>
      </c>
    </row>
    <row r="60" ht="15.75" customHeight="1">
      <c r="B60" s="2" t="s">
        <v>204</v>
      </c>
      <c r="C60" s="2" t="s">
        <v>205</v>
      </c>
      <c r="D60" s="2" t="s">
        <v>13</v>
      </c>
      <c r="E60" s="2" t="s">
        <v>14</v>
      </c>
      <c r="F60" s="2" t="s">
        <v>15</v>
      </c>
      <c r="G60" s="2" t="s">
        <v>206</v>
      </c>
      <c r="H60" s="2" t="s">
        <v>197</v>
      </c>
      <c r="I60" s="2" t="str">
        <f>IFERROR(__xludf.DUMMYFUNCTION("GOOGLETRANSLATE(C60,""fr"",""en"")"),"Very unhappy because the Matmut are in ankle with experts who not any scruples !!! I was robbed my vehicle which was not found! At the presentation of the keys the expert tells me that there is chances that my vehicle is tampered with because it comes fro"&amp;"m Germany which is very possible! Then the expert gives me an estimate of the vehicle with a loss of 7000 euros on a vehicle that I barely keep 6 months without any supporting evidence !! Now it's Demeder to make you a counter-expertise but necessarily at"&amp;" your expense !!! Matmut c a very bad experience")</f>
        <v>Very unhappy because the Matmut are in ankle with experts who not any scruples !!! I was robbed my vehicle which was not found! At the presentation of the keys the expert tells me that there is chances that my vehicle is tampered with because it comes from Germany which is very possible! Then the expert gives me an estimate of the vehicle with a loss of 7000 euros on a vehicle that I barely keep 6 months without any supporting evidence !! Now it's Demeder to make you a counter-expertise but necessarily at your expense !!! Matmut c a very bad experience</v>
      </c>
    </row>
    <row r="61" ht="15.75" customHeight="1">
      <c r="B61" s="2" t="s">
        <v>207</v>
      </c>
      <c r="C61" s="2" t="s">
        <v>208</v>
      </c>
      <c r="D61" s="2" t="s">
        <v>13</v>
      </c>
      <c r="E61" s="2" t="s">
        <v>14</v>
      </c>
      <c r="F61" s="2" t="s">
        <v>15</v>
      </c>
      <c r="G61" s="2" t="s">
        <v>209</v>
      </c>
      <c r="H61" s="2" t="s">
        <v>210</v>
      </c>
      <c r="I61" s="2" t="str">
        <f>IFERROR(__xludf.DUMMYFUNCTION("GOOGLETRANSLATE(C61,""fr"",""en"")"),"Hello, frankly it is an insurance that is not at all reliable, I got stolen my car and the car is found in Belgium. Lassurance tells me we don't have access to the car, Belgium does not want us to pass. His lasts 6 months like her. I take a lawyer and pre"&amp;"sto the garage in Belgium tells me it's been 5 months that we are waiting for the insurance to pick up the car ... lassurance tells me that there are 100 th of guarding per day and lavocate confirmed that it is 1.22 per day ... I ask assurance to provide "&amp;"me with the supporting documents and the Plus boom. The worst part is that all the vehicles and the business there. I'm not going to let myself go. Say it 8 months and in addition the car is finding and works! I think I go to the 50 million consumer and o"&amp;"n the radio if in 1 month it is not settled. I have never seen its !!! I am Mr Monti Patrick de Valence if the Matmut Vouq want to contact me.")</f>
        <v>Hello, frankly it is an insurance that is not at all reliable, I got stolen my car and the car is found in Belgium. Lassurance tells me we don't have access to the car, Belgium does not want us to pass. His lasts 6 months like her. I take a lawyer and presto the garage in Belgium tells me it's been 5 months that we are waiting for the insurance to pick up the car ... lassurance tells me that there are 100 th of guarding per day and lavocate confirmed that it is 1.22 per day ... I ask assurance to provide me with the supporting documents and the Plus boom. The worst part is that all the vehicles and the business there. I'm not going to let myself go. Say it 8 months and in addition the car is finding and works! I think I go to the 50 million consumer and on the radio if in 1 month it is not settled. I have never seen its !!! I am Mr Monti Patrick de Valence if the Matmut Vouq want to contact me.</v>
      </c>
    </row>
    <row r="62" ht="15.75" customHeight="1">
      <c r="B62" s="2" t="s">
        <v>211</v>
      </c>
      <c r="C62" s="2" t="s">
        <v>212</v>
      </c>
      <c r="D62" s="2" t="s">
        <v>13</v>
      </c>
      <c r="E62" s="2" t="s">
        <v>14</v>
      </c>
      <c r="F62" s="2" t="s">
        <v>15</v>
      </c>
      <c r="G62" s="2" t="s">
        <v>213</v>
      </c>
      <c r="H62" s="2" t="s">
        <v>210</v>
      </c>
      <c r="I62" s="2" t="str">
        <f>IFERROR(__xludf.DUMMYFUNCTION("GOOGLETRANSLATE(C62,""fr"",""en"")"),"I had a hanging last year with a third party, (09/2018) and I am still waiting for my compensation. Although my file is complete; There is no progress or refund.")</f>
        <v>I had a hanging last year with a third party, (09/2018) and I am still waiting for my compensation. Although my file is complete; There is no progress or refund.</v>
      </c>
    </row>
    <row r="63" ht="15.75" customHeight="1">
      <c r="B63" s="2" t="s">
        <v>214</v>
      </c>
      <c r="C63" s="2" t="s">
        <v>215</v>
      </c>
      <c r="D63" s="2" t="s">
        <v>13</v>
      </c>
      <c r="E63" s="2" t="s">
        <v>14</v>
      </c>
      <c r="F63" s="2" t="s">
        <v>15</v>
      </c>
      <c r="G63" s="2" t="s">
        <v>216</v>
      </c>
      <c r="H63" s="2" t="s">
        <v>217</v>
      </c>
      <c r="I63" s="2" t="str">
        <f>IFERROR(__xludf.DUMMYFUNCTION("GOOGLETRANSLATE(C63,""fr"",""en"")"),"Unfortunately I was the victim this Saturday, June 15 of the Limteperie La Mrail on my car which caused damage by being at the third party more I am not one of the claims I called them today and tell me to recall in 10 days to see if They can declare the "&amp;"claim to me because I have my friend to insure elsewhere and in third parties more and his assurance takes care of it and took into account the disaster I would have good news because this sinister we have not chosen it is causing by a accident otherwise "&amp;"I would leave from their home and see other competitors as well as MN Father and my brother")</f>
        <v>Unfortunately I was the victim this Saturday, June 15 of the Limteperie La Mrail on my car which caused damage by being at the third party more I am not one of the claims I called them today and tell me to recall in 10 days to see if They can declare the claim to me because I have my friend to insure elsewhere and in third parties more and his assurance takes care of it and took into account the disaster I would have good news because this sinister we have not chosen it is causing by a accident otherwise I would leave from their home and see other competitors as well as MN Father and my brother</v>
      </c>
    </row>
    <row r="64" ht="15.75" customHeight="1">
      <c r="B64" s="2" t="s">
        <v>218</v>
      </c>
      <c r="C64" s="2" t="s">
        <v>219</v>
      </c>
      <c r="D64" s="2" t="s">
        <v>13</v>
      </c>
      <c r="E64" s="2" t="s">
        <v>14</v>
      </c>
      <c r="F64" s="2" t="s">
        <v>15</v>
      </c>
      <c r="G64" s="2" t="s">
        <v>220</v>
      </c>
      <c r="H64" s="2" t="s">
        <v>217</v>
      </c>
      <c r="I64" s="2" t="str">
        <f>IFERROR(__xludf.DUMMYFUNCTION("GOOGLETRANSLATE(C64,""fr"",""en"")"),"Smiling welcome and efficient performance, made in less than ten minutes without error; Logical commercial recovery but non -binding on other insurance products ...")</f>
        <v>Smiling welcome and efficient performance, made in less than ten minutes without error; Logical commercial recovery but non -binding on other insurance products ...</v>
      </c>
    </row>
    <row r="65" ht="15.75" customHeight="1">
      <c r="B65" s="2" t="s">
        <v>221</v>
      </c>
      <c r="C65" s="2" t="s">
        <v>222</v>
      </c>
      <c r="D65" s="2" t="s">
        <v>13</v>
      </c>
      <c r="E65" s="2" t="s">
        <v>14</v>
      </c>
      <c r="F65" s="2" t="s">
        <v>15</v>
      </c>
      <c r="G65" s="2" t="s">
        <v>223</v>
      </c>
      <c r="H65" s="2" t="s">
        <v>224</v>
      </c>
      <c r="I65" s="2" t="str">
        <f>IFERROR(__xludf.DUMMYFUNCTION("GOOGLETRANSLATE(C65,""fr"",""en"")"),"My one and only insurer since my first car over 25 years ago. In the first big glitch, a refusal to take care of the breakdown (via the mechanical breakdown contract) by evoking an exceeding mileage of the revision. A car at 126,000 km, an engine steering"&amp;" wheel which should drop around 200,000 km, a faulty injector, and a breakdown service closed at any appeal or proposal. What is the use of loyalty, confidence is broken. I plan a change of insurance. (2 housing contracts, 2 auto contracts, and 3 other co"&amp;"ntracts).")</f>
        <v>My one and only insurer since my first car over 25 years ago. In the first big glitch, a refusal to take care of the breakdown (via the mechanical breakdown contract) by evoking an exceeding mileage of the revision. A car at 126,000 km, an engine steering wheel which should drop around 200,000 km, a faulty injector, and a breakdown service closed at any appeal or proposal. What is the use of loyalty, confidence is broken. I plan a change of insurance. (2 housing contracts, 2 auto contracts, and 3 other contracts).</v>
      </c>
    </row>
    <row r="66" ht="15.75" customHeight="1">
      <c r="B66" s="2" t="s">
        <v>225</v>
      </c>
      <c r="C66" s="2" t="s">
        <v>226</v>
      </c>
      <c r="D66" s="2" t="s">
        <v>13</v>
      </c>
      <c r="E66" s="2" t="s">
        <v>14</v>
      </c>
      <c r="F66" s="2" t="s">
        <v>15</v>
      </c>
      <c r="G66" s="2" t="s">
        <v>227</v>
      </c>
      <c r="H66" s="2" t="s">
        <v>228</v>
      </c>
      <c r="I66" s="2" t="str">
        <f>IFERROR(__xludf.DUMMYFUNCTION("GOOGLETRANSLATE(C66,""fr"",""en"")"),"I strongly advise against ensuring a vehicle at the Matmut! I underwent a serious accident with the total loss of my vehicle in July 2018, my vehicle (declared wreck) was sold to the matmut on August 24, 2018 and despite that I no longer owner my vehicle "&amp;"and that the code 'Insurance specifies that' termination after a total loss is deemed automatically 'Art L121-9, the Matmut allows itself under these general conditions of sale, to keep the payment of contributions until the end of the contract !!! From A"&amp;"ugust 24 to January 1, 2019 for a vehicle that I no longer have and that I gave them !! (Certificate of transfer signed in agency and unable to provide me with a copy) do not sign at home because when there is a difficulty there is no one to help you !!! "&amp;"I have been the daughter of an insured matmut for over 30 years, it is sad to note that loyalty is not recognized ... Their general conditions go against the insurance code: how the matmut goes to above laws ...")</f>
        <v>I strongly advise against ensuring a vehicle at the Matmut! I underwent a serious accident with the total loss of my vehicle in July 2018, my vehicle (declared wreck) was sold to the matmut on August 24, 2018 and despite that I no longer owner my vehicle and that the code 'Insurance specifies that' termination after a total loss is deemed automatically 'Art L121-9, the Matmut allows itself under these general conditions of sale, to keep the payment of contributions until the end of the contract !!! From August 24 to January 1, 2019 for a vehicle that I no longer have and that I gave them !! (Certificate of transfer signed in agency and unable to provide me with a copy) do not sign at home because when there is a difficulty there is no one to help you !!! I have been the daughter of an insured matmut for over 30 years, it is sad to note that loyalty is not recognized ... Their general conditions go against the insurance code: how the matmut goes to above laws ...</v>
      </c>
    </row>
    <row r="67" ht="15.75" customHeight="1">
      <c r="B67" s="2" t="s">
        <v>229</v>
      </c>
      <c r="C67" s="2" t="s">
        <v>230</v>
      </c>
      <c r="D67" s="2" t="s">
        <v>13</v>
      </c>
      <c r="E67" s="2" t="s">
        <v>14</v>
      </c>
      <c r="F67" s="2" t="s">
        <v>15</v>
      </c>
      <c r="G67" s="2" t="s">
        <v>231</v>
      </c>
      <c r="H67" s="2" t="s">
        <v>228</v>
      </c>
      <c r="I67" s="2" t="str">
        <f>IFERROR(__xludf.DUMMYFUNCTION("GOOGLETRANSLATE(C67,""fr"",""en"")"),"Customer in Matmut since 2014 I had no problem until a direct debit does not go. A letter arrives and the surprise La Matmut asks me to repay all the deadlines until the end of the year and as if that was not enough ... My contract is broken. So I have to"&amp;" pay a fairly substantial amount for nothing because I would not be assured anyway. I call customer service to explain to them that I had not seen that the levy had not passed and that I was going to regularize my situation. The advisor on the phone infor"&amp;"ms me that it is not possible, I have to pay the amount and my contract is broken, there is no solution, they do not want to know anything and in addition to his, he sends bailiffs. I strongly advise against this company! Almost 5 years of seniority !!!")</f>
        <v>Customer in Matmut since 2014 I had no problem until a direct debit does not go. A letter arrives and the surprise La Matmut asks me to repay all the deadlines until the end of the year and as if that was not enough ... My contract is broken. So I have to pay a fairly substantial amount for nothing because I would not be assured anyway. I call customer service to explain to them that I had not seen that the levy had not passed and that I was going to regularize my situation. The advisor on the phone informs me that it is not possible, I have to pay the amount and my contract is broken, there is no solution, they do not want to know anything and in addition to his, he sends bailiffs. I strongly advise against this company! Almost 5 years of seniority !!!</v>
      </c>
    </row>
    <row r="68" ht="15.75" customHeight="1">
      <c r="B68" s="2" t="s">
        <v>232</v>
      </c>
      <c r="C68" s="2" t="s">
        <v>233</v>
      </c>
      <c r="D68" s="2" t="s">
        <v>13</v>
      </c>
      <c r="E68" s="2" t="s">
        <v>14</v>
      </c>
      <c r="F68" s="2" t="s">
        <v>15</v>
      </c>
      <c r="G68" s="2" t="s">
        <v>234</v>
      </c>
      <c r="H68" s="2" t="s">
        <v>228</v>
      </c>
      <c r="I68" s="2" t="str">
        <f>IFERROR(__xludf.DUMMYFUNCTION("GOOGLETRANSLATE(C68,""fr"",""en"")"),"I broke down recently and fast towing and repatriation in addition on a Saturday night in the night and in addition OM pays me the taxi to get the car once repaired.")</f>
        <v>I broke down recently and fast towing and repatriation in addition on a Saturday night in the night and in addition OM pays me the taxi to get the car once repaired.</v>
      </c>
    </row>
    <row r="69" ht="15.75" customHeight="1">
      <c r="B69" s="2" t="s">
        <v>235</v>
      </c>
      <c r="C69" s="2" t="s">
        <v>236</v>
      </c>
      <c r="D69" s="2" t="s">
        <v>13</v>
      </c>
      <c r="E69" s="2" t="s">
        <v>14</v>
      </c>
      <c r="F69" s="2" t="s">
        <v>15</v>
      </c>
      <c r="G69" s="2" t="s">
        <v>237</v>
      </c>
      <c r="H69" s="2" t="s">
        <v>238</v>
      </c>
      <c r="I69" s="2" t="str">
        <f>IFERROR(__xludf.DUMMYFUNCTION("GOOGLETRANSLATE(C69,""fr"",""en"")"),"I have been a matmut customer for 23 years with several auto and housing contracts
I have a bonus of 035 without ever having had no liable liable for these 23 years
There is a new auto contract and on the grounds that it is not for a new vehicle they do"&amp;" not want to benefit me
I find this behavior inappropriate for a client with a history like mine
I am so disgusted that I will terminate my contracts with them")</f>
        <v>I have been a matmut customer for 23 years with several auto and housing contracts
I have a bonus of 035 without ever having had no liable liable for these 23 years
There is a new auto contract and on the grounds that it is not for a new vehicle they do not want to benefit me
I find this behavior inappropriate for a client with a history like mine
I am so disgusted that I will terminate my contracts with them</v>
      </c>
    </row>
    <row r="70" ht="15.75" customHeight="1">
      <c r="B70" s="2" t="s">
        <v>239</v>
      </c>
      <c r="C70" s="2" t="s">
        <v>240</v>
      </c>
      <c r="D70" s="2" t="s">
        <v>13</v>
      </c>
      <c r="E70" s="2" t="s">
        <v>14</v>
      </c>
      <c r="F70" s="2" t="s">
        <v>15</v>
      </c>
      <c r="G70" s="2" t="s">
        <v>241</v>
      </c>
      <c r="H70" s="2" t="s">
        <v>238</v>
      </c>
      <c r="I70" s="2" t="str">
        <f>IFERROR(__xludf.DUMMYFUNCTION("GOOGLETRANSLATE(C70,""fr"",""en"")"),"The Matmut takes the initiative to have these membership contracts subscribe without their consents to these members, carefully observe your annual schedule")</f>
        <v>The Matmut takes the initiative to have these membership contracts subscribe without their consents to these members, carefully observe your annual schedule</v>
      </c>
    </row>
    <row r="71" ht="15.75" customHeight="1">
      <c r="B71" s="2" t="s">
        <v>242</v>
      </c>
      <c r="C71" s="2" t="s">
        <v>243</v>
      </c>
      <c r="D71" s="2" t="s">
        <v>13</v>
      </c>
      <c r="E71" s="2" t="s">
        <v>14</v>
      </c>
      <c r="F71" s="2" t="s">
        <v>15</v>
      </c>
      <c r="G71" s="2" t="s">
        <v>244</v>
      </c>
      <c r="H71" s="2" t="s">
        <v>245</v>
      </c>
      <c r="I71" s="2" t="str">
        <f>IFERROR(__xludf.DUMMYFUNCTION("GOOGLETRANSLATE(C71,""fr"",""en"")"),"I had been insured at home for 20 years, following a change of vehicle they did not want to reassure me even for a few days (I was in my new vehicle when I made the request ...), he did not never warned me that he would no longer assure me (but continued "&amp;"to insure the old vehicle) ...
20 years to pay ... Loyalty certainly does not pay at home ... Flee them like the plague ...
I am now at the Maif who in addition makes me pay cheaper ...")</f>
        <v>I had been insured at home for 20 years, following a change of vehicle they did not want to reassure me even for a few days (I was in my new vehicle when I made the request ...), he did not never warned me that he would no longer assure me (but continued to insure the old vehicle) ...
20 years to pay ... Loyalty certainly does not pay at home ... Flee them like the plague ...
I am now at the Maif who in addition makes me pay cheaper ...</v>
      </c>
    </row>
    <row r="72" ht="15.75" customHeight="1">
      <c r="B72" s="2" t="s">
        <v>246</v>
      </c>
      <c r="C72" s="2" t="s">
        <v>247</v>
      </c>
      <c r="D72" s="2" t="s">
        <v>13</v>
      </c>
      <c r="E72" s="2" t="s">
        <v>14</v>
      </c>
      <c r="F72" s="2" t="s">
        <v>15</v>
      </c>
      <c r="G72" s="2" t="s">
        <v>248</v>
      </c>
      <c r="H72" s="2" t="s">
        <v>249</v>
      </c>
      <c r="I72" s="2" t="str">
        <f>IFERROR(__xludf.DUMMYFUNCTION("GOOGLETRANSLATE(C72,""fr"",""en"")"),"This insurer terminated my car contract after 2 claims in 3 years. No luck for them, I had all my family and I insured with them on a car + accommodation contract, they lost 5 customers.")</f>
        <v>This insurer terminated my car contract after 2 claims in 3 years. No luck for them, I had all my family and I insured with them on a car + accommodation contract, they lost 5 customers.</v>
      </c>
    </row>
    <row r="73" ht="15.75" customHeight="1">
      <c r="B73" s="2" t="s">
        <v>250</v>
      </c>
      <c r="C73" s="2" t="s">
        <v>251</v>
      </c>
      <c r="D73" s="2" t="s">
        <v>13</v>
      </c>
      <c r="E73" s="2" t="s">
        <v>14</v>
      </c>
      <c r="F73" s="2" t="s">
        <v>15</v>
      </c>
      <c r="G73" s="2" t="s">
        <v>252</v>
      </c>
      <c r="H73" s="2" t="s">
        <v>249</v>
      </c>
      <c r="I73" s="2" t="str">
        <f>IFERROR(__xludf.DUMMYFUNCTION("GOOGLETRANSLATE(C73,""fr"",""en"")"),"Nothing to say assured at home since 1976. Attractive rates for quality of assistance and insurance. No problem")</f>
        <v>Nothing to say assured at home since 1976. Attractive rates for quality of assistance and insurance. No problem</v>
      </c>
    </row>
    <row r="74" ht="15.75" customHeight="1">
      <c r="B74" s="2" t="s">
        <v>253</v>
      </c>
      <c r="C74" s="2" t="s">
        <v>254</v>
      </c>
      <c r="D74" s="2" t="s">
        <v>13</v>
      </c>
      <c r="E74" s="2" t="s">
        <v>14</v>
      </c>
      <c r="F74" s="2" t="s">
        <v>15</v>
      </c>
      <c r="G74" s="2" t="s">
        <v>249</v>
      </c>
      <c r="H74" s="2" t="s">
        <v>249</v>
      </c>
      <c r="I74" s="2" t="str">
        <f>IFERROR(__xludf.DUMMYFUNCTION("GOOGLETRANSLATE(C74,""fr"",""en"")"),"I advise against! I am asked for money when it is the insurance that owes me! I am very disappointed ... and say that it is supposed to be a mutualist insurance !!!!")</f>
        <v>I advise against! I am asked for money when it is the insurance that owes me! I am very disappointed ... and say that it is supposed to be a mutualist insurance !!!!</v>
      </c>
    </row>
    <row r="75" ht="15.75" customHeight="1">
      <c r="B75" s="2" t="s">
        <v>255</v>
      </c>
      <c r="C75" s="2" t="s">
        <v>256</v>
      </c>
      <c r="D75" s="2" t="s">
        <v>13</v>
      </c>
      <c r="E75" s="2" t="s">
        <v>14</v>
      </c>
      <c r="F75" s="2" t="s">
        <v>15</v>
      </c>
      <c r="G75" s="2" t="s">
        <v>257</v>
      </c>
      <c r="H75" s="2" t="s">
        <v>258</v>
      </c>
      <c r="I75" s="2" t="str">
        <f>IFERROR(__xludf.DUMMYFUNCTION("GOOGLETRANSLATE(C75,""fr"",""en"")"),"Good insurance. I always go to the Maubeuge office where I am completely satisfied. I have a very competent advisor who has been having a long time. I have had several concerns the Matmut has always solved my problems as well as possible.")</f>
        <v>Good insurance. I always go to the Maubeuge office where I am completely satisfied. I have a very competent advisor who has been having a long time. I have had several concerns the Matmut has always solved my problems as well as possible.</v>
      </c>
    </row>
    <row r="76" ht="15.75" customHeight="1">
      <c r="B76" s="2" t="s">
        <v>259</v>
      </c>
      <c r="C76" s="2" t="s">
        <v>260</v>
      </c>
      <c r="D76" s="2" t="s">
        <v>13</v>
      </c>
      <c r="E76" s="2" t="s">
        <v>14</v>
      </c>
      <c r="F76" s="2" t="s">
        <v>15</v>
      </c>
      <c r="G76" s="2" t="s">
        <v>261</v>
      </c>
      <c r="H76" s="2" t="s">
        <v>262</v>
      </c>
      <c r="I76" s="2" t="str">
        <f>IFERROR(__xludf.DUMMYFUNCTION("GOOGLETRANSLATE(C76,""fr"",""en"")"),"At the Colmar agency, I am completely satisfied with services and products (car and home). Agency accessible directly instead of going through anonymous and paid platforms, reactivity and efficiency in the event of a claim (experience), individual managem"&amp;"ent (employees know each of their customers) and kindness. I would not change for anything in the world even if the prices are lower with other insurers.")</f>
        <v>At the Colmar agency, I am completely satisfied with services and products (car and home). Agency accessible directly instead of going through anonymous and paid platforms, reactivity and efficiency in the event of a claim (experience), individual management (employees know each of their customers) and kindness. I would not change for anything in the world even if the prices are lower with other insurers.</v>
      </c>
    </row>
    <row r="77" ht="15.75" customHeight="1">
      <c r="B77" s="2" t="s">
        <v>263</v>
      </c>
      <c r="C77" s="2" t="s">
        <v>264</v>
      </c>
      <c r="D77" s="2" t="s">
        <v>13</v>
      </c>
      <c r="E77" s="2" t="s">
        <v>14</v>
      </c>
      <c r="F77" s="2" t="s">
        <v>15</v>
      </c>
      <c r="G77" s="2" t="s">
        <v>265</v>
      </c>
      <c r="H77" s="2" t="s">
        <v>262</v>
      </c>
      <c r="I77" s="2" t="str">
        <f>IFERROR(__xludf.DUMMYFUNCTION("GOOGLETRANSLATE(C77,""fr"",""en"")"),"1 sinister in 6 years, a disaster")</f>
        <v>1 sinister in 6 years, a disaster</v>
      </c>
    </row>
    <row r="78" ht="15.75" customHeight="1">
      <c r="B78" s="2" t="s">
        <v>266</v>
      </c>
      <c r="C78" s="2" t="s">
        <v>267</v>
      </c>
      <c r="D78" s="2" t="s">
        <v>13</v>
      </c>
      <c r="E78" s="2" t="s">
        <v>14</v>
      </c>
      <c r="F78" s="2" t="s">
        <v>15</v>
      </c>
      <c r="G78" s="2" t="s">
        <v>268</v>
      </c>
      <c r="H78" s="2" t="s">
        <v>262</v>
      </c>
      <c r="I78" s="2" t="str">
        <f>IFERROR(__xludf.DUMMYFUNCTION("GOOGLETRANSLATE(C78,""fr"",""en"")"),"Insurance that holds the road that is really attentive and at the service of its customers. I frequent the Colmar antenna I am always available smiling and good advice for its customers. I feel comfortable with confidence and in the event of a glitch they"&amp;" are there and do the job. Thank you")</f>
        <v>Insurance that holds the road that is really attentive and at the service of its customers. I frequent the Colmar antenna I am always available smiling and good advice for its customers. I feel comfortable with confidence and in the event of a glitch they are there and do the job. Thank you</v>
      </c>
    </row>
    <row r="79" ht="15.75" customHeight="1">
      <c r="B79" s="2" t="s">
        <v>269</v>
      </c>
      <c r="C79" s="2" t="s">
        <v>270</v>
      </c>
      <c r="D79" s="2" t="s">
        <v>13</v>
      </c>
      <c r="E79" s="2" t="s">
        <v>14</v>
      </c>
      <c r="F79" s="2" t="s">
        <v>15</v>
      </c>
      <c r="G79" s="2" t="s">
        <v>271</v>
      </c>
      <c r="H79" s="2" t="s">
        <v>272</v>
      </c>
      <c r="I79" s="2" t="str">
        <f>IFERROR(__xludf.DUMMYFUNCTION("GOOGLETRANSLATE(C79,""fr"",""en"")"),"In February 2018, a vehicle came into me and refused to make a report. I took the information necessary to fill out the observation on my side.
The next day, I will see a matmut advice so that he helps me to fill the observation.
4 months and after se"&amp;"veral recovery I call the Matmut on the phone. A TV-conscreed responds to me and tells me that it has not yet been treated. Two minutes later he made me wait for 5 minutes and resumes me to tell me that I was totally wrong because I filled my observation "&amp;"badly.
It was 6 years since I was at home and three years in all risk without any accident. The only time I request them there is nothing to do !!!!
He made me fill an online observation and observation and replied something that I have never written."&amp;"
At the end of my commitment I leave this group which pumps customer money but we do nothing !!!!
Do not engage with themx !!")</f>
        <v>In February 2018, a vehicle came into me and refused to make a report. I took the information necessary to fill out the observation on my side.
The next day, I will see a matmut advice so that he helps me to fill the observation.
4 months and after several recovery I call the Matmut on the phone. A TV-conscreed responds to me and tells me that it has not yet been treated. Two minutes later he made me wait for 5 minutes and resumes me to tell me that I was totally wrong because I filled my observation badly.
It was 6 years since I was at home and three years in all risk without any accident. The only time I request them there is nothing to do !!!!
He made me fill an online observation and observation and replied something that I have never written.
At the end of my commitment I leave this group which pumps customer money but we do nothing !!!!
Do not engage with themx !!</v>
      </c>
    </row>
    <row r="80" ht="15.75" customHeight="1">
      <c r="B80" s="2" t="s">
        <v>273</v>
      </c>
      <c r="C80" s="2" t="s">
        <v>274</v>
      </c>
      <c r="D80" s="2" t="s">
        <v>13</v>
      </c>
      <c r="E80" s="2" t="s">
        <v>14</v>
      </c>
      <c r="F80" s="2" t="s">
        <v>15</v>
      </c>
      <c r="G80" s="2" t="s">
        <v>275</v>
      </c>
      <c r="H80" s="2" t="s">
        <v>276</v>
      </c>
      <c r="I80" s="2" t="str">
        <f>IFERROR(__xludf.DUMMYFUNCTION("GOOGLETRANSLATE(C80,""fr"",""en"")"),"Matmut: Auto insurance to flee
Following a hanging in a private car park on 05/23/18, I refused to signed an observation, not being agreed with what was indicated. I filed this not signed observation at the Matmut agency in Boulogne sur Mer on Friday 2"&amp;"5/05/18 which indicated that the observation not being signed there would be a procedure. To my amazement, a letter was written to me on Monday 05/28/18 indicating that I will be 100% responsible. I then called the Boulogne sur Mer agency without presenti"&amp;"ng myself by asking that it was the procedure in the event of an unsigned observation I was told that it was ""very long, because we must contact opposing insurance The time of one weekend therefore seems very short to me. I then sent a registered letter "&amp;"with acknowledgment of receipt contesting this letter, which is to date not distributed the address of the head office being a postal box. I also filed a copy of this letter to the Matmut agency in Boulogne sur Mer. To date no return. In addition, no expe"&amp;"rtise took place before today, expertise taken by the mechanic who sends photographs to the expert who does not move. I try in vain to reach the number that I was provided, I wait several minutes then we pick up without speaking before hanging up or we le"&amp;"nd not to hear me ""I do not hear you please remind us"".
Insured all risks in you I am particularly surprised at the methods used, moreover we have several contracts at home ... We wonder if they are really useful.
Well to you.")</f>
        <v>Matmut: Auto insurance to flee
Following a hanging in a private car park on 05/23/18, I refused to signed an observation, not being agreed with what was indicated. I filed this not signed observation at the Matmut agency in Boulogne sur Mer on Friday 25/05/18 which indicated that the observation not being signed there would be a procedure. To my amazement, a letter was written to me on Monday 05/28/18 indicating that I will be 100% responsible. I then called the Boulogne sur Mer agency without presenting myself by asking that it was the procedure in the event of an unsigned observation I was told that it was "very long, because we must contact opposing insurance The time of one weekend therefore seems very short to me. I then sent a registered letter with acknowledgment of receipt contesting this letter, which is to date not distributed the address of the head office being a postal box. I also filed a copy of this letter to the Matmut agency in Boulogne sur Mer. To date no return. In addition, no expertise took place before today, expertise taken by the mechanic who sends photographs to the expert who does not move. I try in vain to reach the number that I was provided, I wait several minutes then we pick up without speaking before hanging up or we lend not to hear me "I do not hear you please remind us".
Insured all risks in you I am particularly surprised at the methods used, moreover we have several contracts at home ... We wonder if they are really useful.
Well to you.</v>
      </c>
    </row>
    <row r="81" ht="15.75" customHeight="1">
      <c r="B81" s="2" t="s">
        <v>277</v>
      </c>
      <c r="C81" s="2" t="s">
        <v>278</v>
      </c>
      <c r="D81" s="2" t="s">
        <v>13</v>
      </c>
      <c r="E81" s="2" t="s">
        <v>14</v>
      </c>
      <c r="F81" s="2" t="s">
        <v>15</v>
      </c>
      <c r="G81" s="2" t="s">
        <v>279</v>
      </c>
      <c r="H81" s="2" t="s">
        <v>276</v>
      </c>
      <c r="I81" s="2" t="str">
        <f>IFERROR(__xludf.DUMMYFUNCTION("GOOGLETRANSLATE(C81,""fr"",""en"")"),"Manages to not reimburse // slows down the steps instead of helping its customers flee")</f>
        <v>Manages to not reimburse // slows down the steps instead of helping its customers flee</v>
      </c>
    </row>
    <row r="82" ht="15.75" customHeight="1">
      <c r="B82" s="2" t="s">
        <v>280</v>
      </c>
      <c r="C82" s="2" t="s">
        <v>281</v>
      </c>
      <c r="D82" s="2" t="s">
        <v>13</v>
      </c>
      <c r="E82" s="2" t="s">
        <v>14</v>
      </c>
      <c r="F82" s="2" t="s">
        <v>15</v>
      </c>
      <c r="G82" s="2" t="s">
        <v>282</v>
      </c>
      <c r="H82" s="2" t="s">
        <v>276</v>
      </c>
      <c r="I82" s="2" t="str">
        <f>IFERROR(__xludf.DUMMYFUNCTION("GOOGLETRANSLATE(C82,""fr"",""en"")"),"The Matmut Arbitrator between its customers according to the biggest contract")</f>
        <v>The Matmut Arbitrator between its customers according to the biggest contract</v>
      </c>
    </row>
    <row r="83" ht="15.75" customHeight="1">
      <c r="B83" s="2" t="s">
        <v>283</v>
      </c>
      <c r="C83" s="2" t="s">
        <v>284</v>
      </c>
      <c r="D83" s="2" t="s">
        <v>13</v>
      </c>
      <c r="E83" s="2" t="s">
        <v>14</v>
      </c>
      <c r="F83" s="2" t="s">
        <v>15</v>
      </c>
      <c r="G83" s="2" t="s">
        <v>285</v>
      </c>
      <c r="H83" s="2" t="s">
        <v>286</v>
      </c>
      <c r="I83" s="2" t="str">
        <f>IFERROR(__xludf.DUMMYFUNCTION("GOOGLETRANSLATE(C83,""fr"",""en"")"),"I found my car sold after having held it parked in a place designated for this use. I am assured any risk at almost € 900 per year. I found my car with a door depression and scratches on the side exposed to the road. By guarding this one I check whenever "&amp;"there is nothing abnormal on my car. The night passes and I get my car the next day in the state I described it to you. I’ve never been wrong in 4 years. However, when I declare that I have found my car in this state, here I am in an infernal fight agains"&amp;"t this assembler. The expert thinks it was I who took a fixed object by driving. The version of the expert is not the same as mine, we refuse to repair the car unless I take a penalty because for them it is myself who did this to my car. Very bad manageme"&amp;"nt !!!!! In addition you have to call Matmut sinister and not your agency so very long supported two and a half months that my car is damaged on the body and take the rain for. A lot disappointed, I intend to terminate my contract once my fight against th"&amp;"em is finished! I want to make me say a version that is not the real one! I am honest my car was VEVALISE I do not know how but for them my statement is false because the expert says that what I say is not possible. That's it, it's on the matmut she doesn"&amp;"'t assure at all !!!!")</f>
        <v>I found my car sold after having held it parked in a place designated for this use. I am assured any risk at almost € 900 per year. I found my car with a door depression and scratches on the side exposed to the road. By guarding this one I check whenever there is nothing abnormal on my car. The night passes and I get my car the next day in the state I described it to you. I’ve never been wrong in 4 years. However, when I declare that I have found my car in this state, here I am in an infernal fight against this assembler. The expert thinks it was I who took a fixed object by driving. The version of the expert is not the same as mine, we refuse to repair the car unless I take a penalty because for them it is myself who did this to my car. Very bad management !!!!! In addition you have to call Matmut sinister and not your agency so very long supported two and a half months that my car is damaged on the body and take the rain for. A lot disappointed, I intend to terminate my contract once my fight against them is finished! I want to make me say a version that is not the real one! I am honest my car was VEVALISE I do not know how but for them my statement is false because the expert says that what I say is not possible. That's it, it's on the matmut she doesn't assure at all !!!!</v>
      </c>
    </row>
    <row r="84" ht="15.75" customHeight="1">
      <c r="B84" s="2" t="s">
        <v>287</v>
      </c>
      <c r="C84" s="2" t="s">
        <v>288</v>
      </c>
      <c r="D84" s="2" t="s">
        <v>13</v>
      </c>
      <c r="E84" s="2" t="s">
        <v>14</v>
      </c>
      <c r="F84" s="2" t="s">
        <v>15</v>
      </c>
      <c r="G84" s="2" t="s">
        <v>289</v>
      </c>
      <c r="H84" s="2" t="s">
        <v>286</v>
      </c>
      <c r="I84" s="2" t="str">
        <f>IFERROR(__xludf.DUMMYFUNCTION("GOOGLETRANSLATE(C84,""fr"",""en"")"),"Very welcome no insurance that I was able to do on the internet has the same guarantees as I have very good advisor especially Madame Siffores")</f>
        <v>Very welcome no insurance that I was able to do on the internet has the same guarantees as I have very good advisor especially Madame Siffores</v>
      </c>
    </row>
    <row r="85" ht="15.75" customHeight="1">
      <c r="B85" s="2" t="s">
        <v>290</v>
      </c>
      <c r="C85" s="2" t="s">
        <v>291</v>
      </c>
      <c r="D85" s="2" t="s">
        <v>13</v>
      </c>
      <c r="E85" s="2" t="s">
        <v>14</v>
      </c>
      <c r="F85" s="2" t="s">
        <v>15</v>
      </c>
      <c r="G85" s="2" t="s">
        <v>292</v>
      </c>
      <c r="H85" s="2" t="s">
        <v>293</v>
      </c>
      <c r="I85" s="2" t="str">
        <f>IFERROR(__xludf.DUMMYFUNCTION("GOOGLETRANSLATE(C85,""fr"",""en"")"),"No support on the part of the Matmut after a hanging following a refusal of priority on the right the lady of the Matmut announces that MM if indeed on Maps we can see that it is a street with a priority she can do nothing Me concerning the PCK hanging th"&amp;"e opponent to note him that I came out of a private residence !!!! While the parking lot is 200 meters behind and the shock took place in the crossroads !!!
 Nn but pipo !!!!!! She cares more about the other insurance than me insured !!! I'm going to fig"&amp;"ht for an appeal and from their homes incapable !!!!!! The 50/50 c is better bin yes like that franchise and malus and even more dargent pr la matmut !!!! ??")</f>
        <v>No support on the part of the Matmut after a hanging following a refusal of priority on the right the lady of the Matmut announces that MM if indeed on Maps we can see that it is a street with a priority she can do nothing Me concerning the PCK hanging the opponent to note him that I came out of a private residence !!!! While the parking lot is 200 meters behind and the shock took place in the crossroads !!!
 Nn but pipo !!!!!! She cares more about the other insurance than me insured !!! I'm going to fight for an appeal and from their homes incapable !!!!!! The 50/50 c is better bin yes like that franchise and malus and even more dargent pr la matmut !!!! ??</v>
      </c>
    </row>
    <row r="86" ht="15.75" customHeight="1">
      <c r="B86" s="2" t="s">
        <v>294</v>
      </c>
      <c r="C86" s="2" t="s">
        <v>295</v>
      </c>
      <c r="D86" s="2" t="s">
        <v>13</v>
      </c>
      <c r="E86" s="2" t="s">
        <v>14</v>
      </c>
      <c r="F86" s="2" t="s">
        <v>15</v>
      </c>
      <c r="G86" s="2" t="s">
        <v>296</v>
      </c>
      <c r="H86" s="2" t="s">
        <v>297</v>
      </c>
      <c r="I86" s="2" t="str">
        <f>IFERROR(__xludf.DUMMYFUNCTION("GOOGLETRANSLATE(C86,""fr"",""en"")"),"I had a water damage this summer which is still not settled while we are at the end of October an expert who comes to the house who insinuates that it was a false statement I had more than 10cm of water at my house But for no damage he has been walking si"&amp;"nce saying who is missing documents or that is other things to have a shabby insurance that I will recommend to anyone")</f>
        <v>I had a water damage this summer which is still not settled while we are at the end of October an expert who comes to the house who insinuates that it was a false statement I had more than 10cm of water at my house But for no damage he has been walking since saying who is missing documents or that is other things to have a shabby insurance that I will recommend to anyone</v>
      </c>
    </row>
    <row r="87" ht="15.75" customHeight="1">
      <c r="B87" s="2" t="s">
        <v>298</v>
      </c>
      <c r="C87" s="2" t="s">
        <v>299</v>
      </c>
      <c r="D87" s="2" t="s">
        <v>13</v>
      </c>
      <c r="E87" s="2" t="s">
        <v>14</v>
      </c>
      <c r="F87" s="2" t="s">
        <v>15</v>
      </c>
      <c r="G87" s="2" t="s">
        <v>300</v>
      </c>
      <c r="H87" s="2" t="s">
        <v>301</v>
      </c>
      <c r="I87" s="2" t="str">
        <f>IFERROR(__xludf.DUMMYFUNCTION("GOOGLETRANSLATE(C87,""fr"",""en"")"),"Insurance to avoid !!!
The people in charge of customer disputes do not (or very badly) do their work !!!!
 In the event of a dispute on an accident to define the responsibility they do not read the findings, are not aware of the details of the PV of th"&amp;"e police ... They look at the keywords which correspond without worrying about the content, then decide on the Responsibility of the member, and when they are asking for explanations they are not even able to give them and only repeat the same insurer's j"&amp;"et ...")</f>
        <v>Insurance to avoid !!!
The people in charge of customer disputes do not (or very badly) do their work !!!!
 In the event of a dispute on an accident to define the responsibility they do not read the findings, are not aware of the details of the PV of the police ... They look at the keywords which correspond without worrying about the content, then decide on the Responsibility of the member, and when they are asking for explanations they are not even able to give them and only repeat the same insurer's jet ...</v>
      </c>
    </row>
    <row r="88" ht="15.75" customHeight="1">
      <c r="B88" s="2" t="s">
        <v>302</v>
      </c>
      <c r="C88" s="2" t="s">
        <v>303</v>
      </c>
      <c r="D88" s="2" t="s">
        <v>13</v>
      </c>
      <c r="E88" s="2" t="s">
        <v>14</v>
      </c>
      <c r="F88" s="2" t="s">
        <v>15</v>
      </c>
      <c r="G88" s="2" t="s">
        <v>304</v>
      </c>
      <c r="H88" s="2" t="s">
        <v>305</v>
      </c>
      <c r="I88" s="2" t="str">
        <f>IFERROR(__xludf.DUMMYFUNCTION("GOOGLETRANSLATE(C88,""fr"",""en"")"),"Does not take into account RV request from customers
Does not take into account requests via the Internet
Impossible to respond to Matmut emails systematic to Internet")</f>
        <v>Does not take into account RV request from customers
Does not take into account requests via the Internet
Impossible to respond to Matmut emails systematic to Internet</v>
      </c>
    </row>
    <row r="89" ht="15.75" customHeight="1">
      <c r="B89" s="2" t="s">
        <v>306</v>
      </c>
      <c r="C89" s="2" t="s">
        <v>307</v>
      </c>
      <c r="D89" s="2" t="s">
        <v>13</v>
      </c>
      <c r="E89" s="2" t="s">
        <v>14</v>
      </c>
      <c r="F89" s="2" t="s">
        <v>15</v>
      </c>
      <c r="G89" s="2" t="s">
        <v>308</v>
      </c>
      <c r="H89" s="2" t="s">
        <v>309</v>
      </c>
      <c r="I89" s="2" t="str">
        <f>IFERROR(__xludf.DUMMYFUNCTION("GOOGLETRANSLATE(C89,""fr"",""en"")"),"Please note, subscription without my consent of a contract that I have not validated on a vehicle already provided elsewhere (just a request for a quote). Department for two months (140 € in total) Refusal of reimbursement. RUN AWAY")</f>
        <v>Please note, subscription without my consent of a contract that I have not validated on a vehicle already provided elsewhere (just a request for a quote). Department for two months (140 € in total) Refusal of reimbursement. RUN AWAY</v>
      </c>
    </row>
    <row r="90" ht="15.75" customHeight="1">
      <c r="B90" s="2" t="s">
        <v>310</v>
      </c>
      <c r="C90" s="2" t="s">
        <v>311</v>
      </c>
      <c r="D90" s="2" t="s">
        <v>13</v>
      </c>
      <c r="E90" s="2" t="s">
        <v>14</v>
      </c>
      <c r="F90" s="2" t="s">
        <v>15</v>
      </c>
      <c r="G90" s="2" t="s">
        <v>312</v>
      </c>
      <c r="H90" s="2" t="s">
        <v>313</v>
      </c>
      <c r="I90" s="2" t="str">
        <f>IFERROR(__xludf.DUMMYFUNCTION("GOOGLETRANSLATE(C90,""fr"",""en"")"),"excellent interpersonal skills with local agency staff")</f>
        <v>excellent interpersonal skills with local agency staff</v>
      </c>
    </row>
    <row r="91" ht="15.75" customHeight="1">
      <c r="B91" s="2" t="s">
        <v>314</v>
      </c>
      <c r="C91" s="2" t="s">
        <v>315</v>
      </c>
      <c r="D91" s="2" t="s">
        <v>13</v>
      </c>
      <c r="E91" s="2" t="s">
        <v>14</v>
      </c>
      <c r="F91" s="2" t="s">
        <v>15</v>
      </c>
      <c r="G91" s="2" t="s">
        <v>316</v>
      </c>
      <c r="H91" s="2" t="s">
        <v>317</v>
      </c>
      <c r="I91" s="2" t="str">
        <f>IFERROR(__xludf.DUMMYFUNCTION("GOOGLETRANSLATE(C91,""fr"",""en"")"),"The prices are high but the guarantees are very good.
If you have no claim everything is fine. From 3 claims, it reminds you of the contract. This is what just happened to me. Not very cool as a process but insurance has this right.")</f>
        <v>The prices are high but the guarantees are very good.
If you have no claim everything is fine. From 3 claims, it reminds you of the contract. This is what just happened to me. Not very cool as a process but insurance has this right.</v>
      </c>
    </row>
    <row r="92" ht="15.75" customHeight="1">
      <c r="B92" s="2" t="s">
        <v>318</v>
      </c>
      <c r="C92" s="2" t="s">
        <v>319</v>
      </c>
      <c r="D92" s="2" t="s">
        <v>13</v>
      </c>
      <c r="E92" s="2" t="s">
        <v>14</v>
      </c>
      <c r="F92" s="2" t="s">
        <v>15</v>
      </c>
      <c r="G92" s="2" t="s">
        <v>320</v>
      </c>
      <c r="H92" s="2" t="s">
        <v>317</v>
      </c>
      <c r="I92" s="2" t="str">
        <f>IFERROR(__xludf.DUMMYFUNCTION("GOOGLETRANSLATE(C92,""fr"",""en"")"),"a good enough value for money but not enough to stay")</f>
        <v>a good enough value for money but not enough to stay</v>
      </c>
    </row>
    <row r="93" ht="15.75" customHeight="1">
      <c r="B93" s="2" t="s">
        <v>321</v>
      </c>
      <c r="C93" s="2" t="s">
        <v>322</v>
      </c>
      <c r="D93" s="2" t="s">
        <v>323</v>
      </c>
      <c r="E93" s="2" t="s">
        <v>14</v>
      </c>
      <c r="F93" s="2" t="s">
        <v>15</v>
      </c>
      <c r="G93" s="2" t="s">
        <v>324</v>
      </c>
      <c r="H93" s="2" t="s">
        <v>325</v>
      </c>
      <c r="I93" s="2" t="str">
        <f>IFERROR(__xludf.DUMMYFUNCTION("GOOGLETRANSLATE(C93,""fr"",""en"")"),"Insured for years at AXA without any claim.
Yesterday I was breaking my retro.
I go to the garage: invoice 447 euros
I'm going to Axa: I am told that the bill is in Ma. And that they just take the costs higher than this sum. (because the breaker is not"&amp;" identified !!!) Well !!
(Agence d'Aire sur la Lys)
Serious ??? All my contracts go to competition.")</f>
        <v>Insured for years at AXA without any claim.
Yesterday I was breaking my retro.
I go to the garage: invoice 447 euros
I'm going to Axa: I am told that the bill is in Ma. And that they just take the costs higher than this sum. (because the breaker is not identified !!!) Well !!
(Agence d'Aire sur la Lys)
Serious ??? All my contracts go to competition.</v>
      </c>
    </row>
    <row r="94" ht="15.75" customHeight="1">
      <c r="B94" s="2" t="s">
        <v>326</v>
      </c>
      <c r="C94" s="2" t="s">
        <v>327</v>
      </c>
      <c r="D94" s="2" t="s">
        <v>323</v>
      </c>
      <c r="E94" s="2" t="s">
        <v>14</v>
      </c>
      <c r="F94" s="2" t="s">
        <v>15</v>
      </c>
      <c r="G94" s="2" t="s">
        <v>328</v>
      </c>
      <c r="H94" s="2" t="s">
        <v>329</v>
      </c>
      <c r="I94" s="2" t="str">
        <f>IFERROR(__xludf.DUMMYFUNCTION("GOOGLETRANSLATE(C94,""fr"",""en"")"),"Contract not sent by post despite the reminders.
Total disappointment.
Bad value for money.
 Non -investment of customer service ...
To avoid...")</f>
        <v>Contract not sent by post despite the reminders.
Total disappointment.
Bad value for money.
 Non -investment of customer service ...
To avoid...</v>
      </c>
    </row>
    <row r="95" ht="15.75" customHeight="1">
      <c r="B95" s="2" t="s">
        <v>330</v>
      </c>
      <c r="C95" s="2" t="s">
        <v>331</v>
      </c>
      <c r="D95" s="2" t="s">
        <v>323</v>
      </c>
      <c r="E95" s="2" t="s">
        <v>14</v>
      </c>
      <c r="F95" s="2" t="s">
        <v>15</v>
      </c>
      <c r="G95" s="2" t="s">
        <v>332</v>
      </c>
      <c r="H95" s="2" t="s">
        <v>333</v>
      </c>
      <c r="I95" s="2" t="str">
        <f>IFERROR(__xludf.DUMMYFUNCTION("GOOGLETRANSLATE(C95,""fr"",""en"")"),"I have subscribed and pay the loan of vehicle in case of concerns with my vehicle. Having had a problem, insurance tells me that I did not have the same contract as the one they provided me and refuse to lend me a vehicle ... so on foot for 10 days while "&amp;"I pay the option .... AXA So has a double accounting (1 contract provided to customers and 1 other than they claim to be the real that they emerge from their 2nd computer in Algeria or Morocco). I therefore terminate insurance. Once the more axa disappoin"&amp;"ts me and do not take into account my recommended termination, and in the cheek continues to take me (fortunately I blocked at the bank) then send me the recovery as if I was still customer and did not pay not .. to run away absolutely .... the worst insu"&amp;"rance never encountered")</f>
        <v>I have subscribed and pay the loan of vehicle in case of concerns with my vehicle. Having had a problem, insurance tells me that I did not have the same contract as the one they provided me and refuse to lend me a vehicle ... so on foot for 10 days while I pay the option .... AXA So has a double accounting (1 contract provided to customers and 1 other than they claim to be the real that they emerge from their 2nd computer in Algeria or Morocco). I therefore terminate insurance. Once the more axa disappoints me and do not take into account my recommended termination, and in the cheek continues to take me (fortunately I blocked at the bank) then send me the recovery as if I was still customer and did not pay not .. to run away absolutely .... the worst insurance never encountered</v>
      </c>
    </row>
    <row r="96" ht="15.75" customHeight="1">
      <c r="B96" s="2" t="s">
        <v>334</v>
      </c>
      <c r="C96" s="2" t="s">
        <v>335</v>
      </c>
      <c r="D96" s="2" t="s">
        <v>323</v>
      </c>
      <c r="E96" s="2" t="s">
        <v>14</v>
      </c>
      <c r="F96" s="2" t="s">
        <v>15</v>
      </c>
      <c r="G96" s="2" t="s">
        <v>336</v>
      </c>
      <c r="H96" s="2" t="s">
        <v>333</v>
      </c>
      <c r="I96" s="2" t="str">
        <f>IFERROR(__xludf.DUMMYFUNCTION("GOOGLETRANSLATE(C96,""fr"",""en"")"),"When I have been satisfied with Axa Jaitai and this for that I would like to bcp. Insurance at Axa I find that the Pers Cam Acceil.")</f>
        <v>When I have been satisfied with Axa Jaitai and this for that I would like to bcp. Insurance at Axa I find that the Pers Cam Acceil.</v>
      </c>
    </row>
    <row r="97" ht="15.75" customHeight="1">
      <c r="B97" s="2" t="s">
        <v>337</v>
      </c>
      <c r="C97" s="2" t="s">
        <v>338</v>
      </c>
      <c r="D97" s="2" t="s">
        <v>323</v>
      </c>
      <c r="E97" s="2" t="s">
        <v>14</v>
      </c>
      <c r="F97" s="2" t="s">
        <v>15</v>
      </c>
      <c r="G97" s="2" t="s">
        <v>339</v>
      </c>
      <c r="H97" s="2" t="s">
        <v>340</v>
      </c>
      <c r="I97" s="2" t="str">
        <f>IFERROR(__xludf.DUMMYFUNCTION("GOOGLETRANSLATE(C97,""fr"",""en"")"),"In 2019, I underwent a scam by a garage in Albania. The mechanic claimed to have changed my clutch for a total cost of € 200, which of course was completely false.
In March 2020, again the problem with the clutch and a Pontet mechanic changed the cable f"&amp;"or € 135. He certified me that in no case was the clutch changed, which did not surprise me. A change of clutch in France costs around € 600/700, and even if the cost of life is less in Albania, but such a repair for the sum of € 200 is not possible.
I g"&amp;"rabbed Axa's assistance by explaining that in my opinion, the convenience store and the mechanic were wick, because I had the evidence.
My contract specified that during a troubleshooting, my vehicle had to be towed to the nearest garage. The tow truck c"&amp;"aught hours before arriving. And instead of depositing my vehicle in a nearby garage on the national connecting Shkodër to Tirana, it was taken nearly 25 km from the place of the Panne, about 5 km from the center of Tirana.
The audience did not care abou"&amp;"t my accommodation, and it took me several hours to solve this problem. Unable to call the assistance from Tirana given the cost of € 1 per minute, I called a friend in France via WhatsApp, who in turn contacted the assistance. I was finally able to benef"&amp;"it from a room in a hotel.
There, again concerns, at the start, the room had paid only for one night, because my car having been repaired, I had to go get it. But not once, the mechanic deigned to inform me about the nature and cost of repairs. It is not"&amp;" normal for him to carry out the repairs without even talking to it. In the end, I was able to stay 3 nights in a hotel in Tirana and recovered my vehicle.
When in March 2020, the clutch cable dropped, before the clutch itself dropped me definitively in "&amp;"June 2020 (confirmed by Pontet's mechanic), I raised this scam with AXA Assistance. Who just told me that it was up to me to feel that I had suffered a scam. I reported the specific facts to them that the procedure had not been respected, but no one wante"&amp;"d to take it into account. Several months trying to make them understand that AXA's assistance was responsible for this scam and not my person. I did not choose this garage, and Axa, as an international company should have been able to have my vehicle rep"&amp;"aired in a serious and honest garage.
I also seized the insurance mediator who took 9 months before answering me by putting herself behind Axa. An incompetent corrupt which had to receive money from Axa and whose attitude is unacceptable. Despite all the"&amp;" obvious evidence relating to the scam, this sad Guignol refused to take into account the reality of the situation.
The Toulouse agency on which I depended (Daugas and Puertas) is to be flee. Interlocutors of the most unpleasant, incompetent interlocutor"&amp;"s, who hang up on you after two minutes, because according to them, there are other people waiting. No consideration or respect for their customers, and suddenly, I was not surprised to read more than 25 negative opinions against them. And despite my 50% "&amp;"bonuses for more than 5 years, each year the subscription increased. I do not advise Axa at all, because as far as I am concerned, I had a very unpleasant experience with this company ...")</f>
        <v>In 2019, I underwent a scam by a garage in Albania. The mechanic claimed to have changed my clutch for a total cost of € 200, which of course was completely false.
In March 2020, again the problem with the clutch and a Pontet mechanic changed the cable for € 135. He certified me that in no case was the clutch changed, which did not surprise me. A change of clutch in France costs around € 600/700, and even if the cost of life is less in Albania, but such a repair for the sum of € 200 is not possible.
I grabbed Axa's assistance by explaining that in my opinion, the convenience store and the mechanic were wick, because I had the evidence.
My contract specified that during a troubleshooting, my vehicle had to be towed to the nearest garage. The tow truck caught hours before arriving. And instead of depositing my vehicle in a nearby garage on the national connecting Shkodër to Tirana, it was taken nearly 25 km from the place of the Panne, about 5 km from the center of Tirana.
The audience did not care about my accommodation, and it took me several hours to solve this problem. Unable to call the assistance from Tirana given the cost of € 1 per minute, I called a friend in France via WhatsApp, who in turn contacted the assistance. I was finally able to benefit from a room in a hotel.
There, again concerns, at the start, the room had paid only for one night, because my car having been repaired, I had to go get it. But not once, the mechanic deigned to inform me about the nature and cost of repairs. It is not normal for him to carry out the repairs without even talking to it. In the end, I was able to stay 3 nights in a hotel in Tirana and recovered my vehicle.
When in March 2020, the clutch cable dropped, before the clutch itself dropped me definitively in June 2020 (confirmed by Pontet's mechanic), I raised this scam with AXA Assistance. Who just told me that it was up to me to feel that I had suffered a scam. I reported the specific facts to them that the procedure had not been respected, but no one wanted to take it into account. Several months trying to make them understand that AXA's assistance was responsible for this scam and not my person. I did not choose this garage, and Axa, as an international company should have been able to have my vehicle repaired in a serious and honest garage.
I also seized the insurance mediator who took 9 months before answering me by putting herself behind Axa. An incompetent corrupt which had to receive money from Axa and whose attitude is unacceptable. Despite all the obvious evidence relating to the scam, this sad Guignol refused to take into account the reality of the situation.
The Toulouse agency on which I depended (Daugas and Puertas) is to be flee. Interlocutors of the most unpleasant, incompetent interlocutors, who hang up on you after two minutes, because according to them, there are other people waiting. No consideration or respect for their customers, and suddenly, I was not surprised to read more than 25 negative opinions against them. And despite my 50% bonuses for more than 5 years, each year the subscription increased. I do not advise Axa at all, because as far as I am concerned, I had a very unpleasant experience with this company ...</v>
      </c>
    </row>
    <row r="98" ht="15.75" customHeight="1">
      <c r="B98" s="2" t="s">
        <v>341</v>
      </c>
      <c r="C98" s="2" t="s">
        <v>342</v>
      </c>
      <c r="D98" s="2" t="s">
        <v>323</v>
      </c>
      <c r="E98" s="2" t="s">
        <v>14</v>
      </c>
      <c r="F98" s="2" t="s">
        <v>15</v>
      </c>
      <c r="G98" s="2" t="s">
        <v>343</v>
      </c>
      <c r="H98" s="2" t="s">
        <v>340</v>
      </c>
      <c r="I98" s="2" t="str">
        <f>IFERROR(__xludf.DUMMYFUNCTION("GOOGLETRANSLATE(C98,""fr"",""en"")"),"Very unhappy with Axa, a company which assured my motorcycle for the third year!
After receiving my maturity notice that I paid by CB at the end of April and debited 1 ° decade of May, I relaunch my advisor because at the end of May I had not received my"&amp;" green thumbnail.
Having moved (and I recognize him by having forgotten to inform my insurer), I inform him of my new address and after explanations far from being convincing, she explains to me that my subscription goes from € 475 to more than 700 € !!!"&amp;"!! Untacing.
I am an excellent driver with a maximum bonus and without responsible accident for over 20 years ....
Fortunately there is AMV (green motorcycle insurance) !!!! I advise them to you")</f>
        <v>Very unhappy with Axa, a company which assured my motorcycle for the third year!
After receiving my maturity notice that I paid by CB at the end of April and debited 1 ° decade of May, I relaunch my advisor because at the end of May I had not received my green thumbnail.
Having moved (and I recognize him by having forgotten to inform my insurer), I inform him of my new address and after explanations far from being convincing, she explains to me that my subscription goes from € 475 to more than 700 € !!!!! Untacing.
I am an excellent driver with a maximum bonus and without responsible accident for over 20 years ....
Fortunately there is AMV (green motorcycle insurance) !!!! I advise them to you</v>
      </c>
    </row>
    <row r="99" ht="15.75" customHeight="1">
      <c r="B99" s="2" t="s">
        <v>344</v>
      </c>
      <c r="C99" s="2" t="s">
        <v>345</v>
      </c>
      <c r="D99" s="2" t="s">
        <v>323</v>
      </c>
      <c r="E99" s="2" t="s">
        <v>14</v>
      </c>
      <c r="F99" s="2" t="s">
        <v>15</v>
      </c>
      <c r="G99" s="2" t="s">
        <v>346</v>
      </c>
      <c r="H99" s="2" t="s">
        <v>340</v>
      </c>
      <c r="I99" s="2" t="str">
        <f>IFERROR(__xludf.DUMMYFUNCTION("GOOGLETRANSLATE(C99,""fr"",""en"")"),"Following a request for a quote made on the internet, I was sent to the roses by the advisor on the phone:
There is no point in explaining you !!
Bravo the response of the advisor and Bravo Axa")</f>
        <v>Following a request for a quote made on the internet, I was sent to the roses by the advisor on the phone:
There is no point in explaining you !!
Bravo the response of the advisor and Bravo Axa</v>
      </c>
    </row>
    <row r="100" ht="15.75" customHeight="1">
      <c r="B100" s="2" t="s">
        <v>347</v>
      </c>
      <c r="C100" s="2" t="s">
        <v>348</v>
      </c>
      <c r="D100" s="2" t="s">
        <v>323</v>
      </c>
      <c r="E100" s="2" t="s">
        <v>14</v>
      </c>
      <c r="F100" s="2" t="s">
        <v>15</v>
      </c>
      <c r="G100" s="2" t="s">
        <v>349</v>
      </c>
      <c r="H100" s="2" t="s">
        <v>350</v>
      </c>
      <c r="I100" s="2" t="str">
        <f>IFERROR(__xludf.DUMMYFUNCTION("GOOGLETRANSLATE(C100,""fr"",""en"")"),"Following a watershed in my office, I had the stupidity to do the work, and to offer the amount of the purchase of materials, the reimbursement I obtained, lets me think that my assault took for an Imbilecile, and at best for an idiot ,,, it very possible"&amp;" that I change the Cremerie ,,,,, being solicited by the insurer of my ex -employer (group insurance) ,,, Prices that are offered to me do not understand my attitude ,,,, I really have to be ,,,,")</f>
        <v>Following a watershed in my office, I had the stupidity to do the work, and to offer the amount of the purchase of materials, the reimbursement I obtained, lets me think that my assault took for an Imbilecile, and at best for an idiot ,,, it very possible that I change the Cremerie ,,,,, being solicited by the insurer of my ex -employer (group insurance) ,,, Prices that are offered to me do not understand my attitude ,,,, I really have to be ,,,,</v>
      </c>
    </row>
    <row r="101" ht="15.75" customHeight="1">
      <c r="B101" s="2" t="s">
        <v>351</v>
      </c>
      <c r="C101" s="2" t="s">
        <v>352</v>
      </c>
      <c r="D101" s="2" t="s">
        <v>323</v>
      </c>
      <c r="E101" s="2" t="s">
        <v>14</v>
      </c>
      <c r="F101" s="2" t="s">
        <v>15</v>
      </c>
      <c r="G101" s="2" t="s">
        <v>353</v>
      </c>
      <c r="H101" s="2" t="s">
        <v>350</v>
      </c>
      <c r="I101" s="2" t="str">
        <f>IFERROR(__xludf.DUMMYFUNCTION("GOOGLETRANSLATE(C101,""fr"",""en"")"),"Very bad insurance, very expensive, € 90 per month for a 206 70 horsepower in young permit I specify to the third party !! Thanks very much ! Now if you want the assets on the phone you have a chance in 10 to have someone, speak very badly to the customer"&amp;"s, I am not kind at all, according to my ""advisor"" while from the start I have been very nice And polished I just try to make my insurance work for an ice cream, I pay a break of ice without franchise every month but no Madame asks me to pay more fees, "&amp;"which is not normal! Anyway, I do not recommend this Fleez insurance !!!!")</f>
        <v>Very bad insurance, very expensive, € 90 per month for a 206 70 horsepower in young permit I specify to the third party !! Thanks very much ! Now if you want the assets on the phone you have a chance in 10 to have someone, speak very badly to the customers, I am not kind at all, according to my "advisor" while from the start I have been very nice And polished I just try to make my insurance work for an ice cream, I pay a break of ice without franchise every month but no Madame asks me to pay more fees, which is not normal! Anyway, I do not recommend this Fleez insurance !!!!</v>
      </c>
    </row>
    <row r="102" ht="15.75" customHeight="1">
      <c r="B102" s="2" t="s">
        <v>354</v>
      </c>
      <c r="C102" s="2" t="s">
        <v>355</v>
      </c>
      <c r="D102" s="2" t="s">
        <v>323</v>
      </c>
      <c r="E102" s="2" t="s">
        <v>14</v>
      </c>
      <c r="F102" s="2" t="s">
        <v>15</v>
      </c>
      <c r="G102" s="2" t="s">
        <v>356</v>
      </c>
      <c r="H102" s="2" t="s">
        <v>350</v>
      </c>
      <c r="I102" s="2" t="str">
        <f>IFERROR(__xludf.DUMMYFUNCTION("GOOGLETRANSLATE(C102,""fr"",""en"")"),"As soon as a claim arises more effective corresponding. No support. Take us for numbers ... insured ... assistance nothing. Do not question expert opinion even if good faith")</f>
        <v>As soon as a claim arises more effective corresponding. No support. Take us for numbers ... insured ... assistance nothing. Do not question expert opinion even if good faith</v>
      </c>
    </row>
    <row r="103" ht="15.75" customHeight="1">
      <c r="B103" s="2" t="s">
        <v>357</v>
      </c>
      <c r="C103" s="2" t="s">
        <v>358</v>
      </c>
      <c r="D103" s="2" t="s">
        <v>323</v>
      </c>
      <c r="E103" s="2" t="s">
        <v>14</v>
      </c>
      <c r="F103" s="2" t="s">
        <v>15</v>
      </c>
      <c r="G103" s="2" t="s">
        <v>359</v>
      </c>
      <c r="H103" s="2" t="s">
        <v>360</v>
      </c>
      <c r="I103" s="2" t="str">
        <f>IFERROR(__xludf.DUMMYFUNCTION("GOOGLETRANSLATE(C103,""fr"",""en"")"),"I am very satisfied with AXA insurance. Whether it is self -insurance, home, exploitation, problems are solved quickly. As far as I am concerned, the staff of the Condom agency (32) are very efficient.")</f>
        <v>I am very satisfied with AXA insurance. Whether it is self -insurance, home, exploitation, problems are solved quickly. As far as I am concerned, the staff of the Condom agency (32) are very efficient.</v>
      </c>
    </row>
    <row r="104" ht="15.75" customHeight="1">
      <c r="B104" s="2" t="s">
        <v>361</v>
      </c>
      <c r="C104" s="2" t="s">
        <v>362</v>
      </c>
      <c r="D104" s="2" t="s">
        <v>323</v>
      </c>
      <c r="E104" s="2" t="s">
        <v>14</v>
      </c>
      <c r="F104" s="2" t="s">
        <v>15</v>
      </c>
      <c r="G104" s="2" t="s">
        <v>363</v>
      </c>
      <c r="H104" s="2" t="s">
        <v>364</v>
      </c>
      <c r="I104" s="2" t="str">
        <f>IFERROR(__xludf.DUMMYFUNCTION("GOOGLETRANSLATE(C104,""fr"",""en"")"),"It has been two years since my AXA auto contribution has increased by just over 6%, while anxa announced on networks apply a 1% increase following the health crisis and other companies freeze their tariff. I contacted my agent, I left my request but I was"&amp;" not answered immediately, the next day I was reminded to tell me that there is no possible discussion; Roughly you can leave! After 20 years of contributions and a change of agent.
In the event of a claim, the service is correct, I have not encountered "&amp;"any difficulties.")</f>
        <v>It has been two years since my AXA auto contribution has increased by just over 6%, while anxa announced on networks apply a 1% increase following the health crisis and other companies freeze their tariff. I contacted my agent, I left my request but I was not answered immediately, the next day I was reminded to tell me that there is no possible discussion; Roughly you can leave! After 20 years of contributions and a change of agent.
In the event of a claim, the service is correct, I have not encountered any difficulties.</v>
      </c>
    </row>
    <row r="105" ht="15.75" customHeight="1">
      <c r="B105" s="2" t="s">
        <v>365</v>
      </c>
      <c r="C105" s="2" t="s">
        <v>366</v>
      </c>
      <c r="D105" s="2" t="s">
        <v>323</v>
      </c>
      <c r="E105" s="2" t="s">
        <v>14</v>
      </c>
      <c r="F105" s="2" t="s">
        <v>15</v>
      </c>
      <c r="G105" s="2" t="s">
        <v>367</v>
      </c>
      <c r="H105" s="2" t="s">
        <v>364</v>
      </c>
      <c r="I105" s="2" t="str">
        <f>IFERROR(__xludf.DUMMYFUNCTION("GOOGLETRANSLATE(C105,""fr"",""en"")"),"Flee, 15 days that I fight with them to have an information statement to be able to ensure my vehicle, I still have nothing to be received when the other insurance is at the end of 5 minutes.")</f>
        <v>Flee, 15 days that I fight with them to have an information statement to be able to ensure my vehicle, I still have nothing to be received when the other insurance is at the end of 5 minutes.</v>
      </c>
    </row>
    <row r="106" ht="15.75" customHeight="1">
      <c r="B106" s="2" t="s">
        <v>368</v>
      </c>
      <c r="C106" s="2" t="s">
        <v>369</v>
      </c>
      <c r="D106" s="2" t="s">
        <v>323</v>
      </c>
      <c r="E106" s="2" t="s">
        <v>14</v>
      </c>
      <c r="F106" s="2" t="s">
        <v>15</v>
      </c>
      <c r="G106" s="2" t="s">
        <v>370</v>
      </c>
      <c r="H106" s="2" t="s">
        <v>371</v>
      </c>
      <c r="I106" s="2" t="str">
        <f>IFERROR(__xludf.DUMMYFUNCTION("GOOGLETRANSLATE(C106,""fr"",""en"")"),"Excellent value. During an accident, top and reactive services with removal of the home vehicle + home delivery of the loan vehicle.")</f>
        <v>Excellent value. During an accident, top and reactive services with removal of the home vehicle + home delivery of the loan vehicle.</v>
      </c>
    </row>
    <row r="107" ht="15.75" customHeight="1">
      <c r="B107" s="2" t="s">
        <v>372</v>
      </c>
      <c r="C107" s="2" t="s">
        <v>373</v>
      </c>
      <c r="D107" s="2" t="s">
        <v>323</v>
      </c>
      <c r="E107" s="2" t="s">
        <v>14</v>
      </c>
      <c r="F107" s="2" t="s">
        <v>15</v>
      </c>
      <c r="G107" s="2" t="s">
        <v>374</v>
      </c>
      <c r="H107" s="2" t="s">
        <v>371</v>
      </c>
      <c r="I107" s="2" t="str">
        <f>IFERROR(__xludf.DUMMYFUNCTION("GOOGLETRANSLATE(C107,""fr"",""en"")"),"After quotes and signature for car insurance, I provide all the documents requested and there I am told that my years as a secondary driver at competition does not count and that the contract must be reissued, after rectification the monthly invoice is tr"&amp;"ipled! I then refuse the new contract and I am also signal that I still have to pay ~ 220 € before leaving (while if contract increases we can leave insurance at no additional cost and everything was settled for my part, registration+1 months with them .."&amp;".) opposition to the bank and now reminders.")</f>
        <v>After quotes and signature for car insurance, I provide all the documents requested and there I am told that my years as a secondary driver at competition does not count and that the contract must be reissued, after rectification the monthly invoice is tripled! I then refuse the new contract and I am also signal that I still have to pay ~ 220 € before leaving (while if contract increases we can leave insurance at no additional cost and everything was settled for my part, registration+1 months with them ...) opposition to the bank and now reminders.</v>
      </c>
    </row>
    <row r="108" ht="15.75" customHeight="1">
      <c r="B108" s="2" t="s">
        <v>375</v>
      </c>
      <c r="C108" s="2" t="s">
        <v>376</v>
      </c>
      <c r="D108" s="2" t="s">
        <v>323</v>
      </c>
      <c r="E108" s="2" t="s">
        <v>14</v>
      </c>
      <c r="F108" s="2" t="s">
        <v>15</v>
      </c>
      <c r="G108" s="2" t="s">
        <v>377</v>
      </c>
      <c r="H108" s="2" t="s">
        <v>371</v>
      </c>
      <c r="I108" s="2" t="str">
        <f>IFERROR(__xludf.DUMMYFUNCTION("GOOGLETRANSLATE(C108,""fr"",""en"")"),"Hello just like Clément I have a big problem with AXA a self -loss that actually plays the expert's card. I have been at AXA for over 20 years, ensured both for the home and for vehicles. AXA then refuses that I pay for a whole risk of taking care of the "&amp;"total repair of my wing pretending that the expert refuses the circumstances of the collision. The set is € 2,000. I had planned the normal deductible and even the painting refused at first but I intended to be reimbursed for the difference. I will prospe"&amp;"ct to look for another insurer.")</f>
        <v>Hello just like Clément I have a big problem with AXA a self -loss that actually plays the expert's card. I have been at AXA for over 20 years, ensured both for the home and for vehicles. AXA then refuses that I pay for a whole risk of taking care of the total repair of my wing pretending that the expert refuses the circumstances of the collision. The set is € 2,000. I had planned the normal deductible and even the painting refused at first but I intended to be reimbursed for the difference. I will prospect to look for another insurer.</v>
      </c>
    </row>
    <row r="109" ht="15.75" customHeight="1">
      <c r="B109" s="2" t="s">
        <v>378</v>
      </c>
      <c r="C109" s="2" t="s">
        <v>379</v>
      </c>
      <c r="D109" s="2" t="s">
        <v>323</v>
      </c>
      <c r="E109" s="2" t="s">
        <v>14</v>
      </c>
      <c r="F109" s="2" t="s">
        <v>15</v>
      </c>
      <c r="G109" s="2" t="s">
        <v>377</v>
      </c>
      <c r="H109" s="2" t="s">
        <v>371</v>
      </c>
      <c r="I109" s="2" t="str">
        <f>IFERROR(__xludf.DUMMYFUNCTION("GOOGLETRANSLATE(C109,""fr"",""en"")"),"Flee this insurance !!!!! He invents you claims be saying duplicates then when he sagit to remove the disaster in question everyone returns the ball and in addition to his he resilses from behind
Great anything.")</f>
        <v>Flee this insurance !!!!! He invents you claims be saying duplicates then when he sagit to remove the disaster in question everyone returns the ball and in addition to his he resilses from behind
Great anything.</v>
      </c>
    </row>
    <row r="110" ht="15.75" customHeight="1">
      <c r="B110" s="2" t="s">
        <v>380</v>
      </c>
      <c r="C110" s="2" t="s">
        <v>381</v>
      </c>
      <c r="D110" s="2" t="s">
        <v>323</v>
      </c>
      <c r="E110" s="2" t="s">
        <v>14</v>
      </c>
      <c r="F110" s="2" t="s">
        <v>15</v>
      </c>
      <c r="G110" s="2" t="s">
        <v>382</v>
      </c>
      <c r="H110" s="2" t="s">
        <v>371</v>
      </c>
      <c r="I110" s="2" t="str">
        <f>IFERROR(__xludf.DUMMYFUNCTION("GOOGLETRANSLATE(C110,""fr"",""en"")"),"Good insurer but very expensive and refuses to lower its prices on the pretext that it is the senior management that imposes the prices for them (I quote the agents)")</f>
        <v>Good insurer but very expensive and refuses to lower its prices on the pretext that it is the senior management that imposes the prices for them (I quote the agents)</v>
      </c>
    </row>
    <row r="111" ht="15.75" customHeight="1">
      <c r="B111" s="2" t="s">
        <v>383</v>
      </c>
      <c r="C111" s="2" t="s">
        <v>384</v>
      </c>
      <c r="D111" s="2" t="s">
        <v>323</v>
      </c>
      <c r="E111" s="2" t="s">
        <v>14</v>
      </c>
      <c r="F111" s="2" t="s">
        <v>15</v>
      </c>
      <c r="G111" s="2" t="s">
        <v>385</v>
      </c>
      <c r="H111" s="2" t="s">
        <v>371</v>
      </c>
      <c r="I111" s="2" t="str">
        <f>IFERROR(__xludf.DUMMYFUNCTION("GOOGLETRANSLATE(C111,""fr"",""en"")"),"Very good relations with my insurer and all the employees of the agency; This is particularly important.
The prices are rather competitive, given the service provided.
Olivier Godard")</f>
        <v>Very good relations with my insurer and all the employees of the agency; This is particularly important.
The prices are rather competitive, given the service provided.
Olivier Godard</v>
      </c>
    </row>
    <row r="112" ht="15.75" customHeight="1">
      <c r="B112" s="2" t="s">
        <v>386</v>
      </c>
      <c r="C112" s="2" t="s">
        <v>387</v>
      </c>
      <c r="D112" s="2" t="s">
        <v>323</v>
      </c>
      <c r="E112" s="2" t="s">
        <v>14</v>
      </c>
      <c r="F112" s="2" t="s">
        <v>15</v>
      </c>
      <c r="G112" s="2" t="s">
        <v>388</v>
      </c>
      <c r="H112" s="2" t="s">
        <v>17</v>
      </c>
      <c r="I112" s="2" t="str">
        <f>IFERROR(__xludf.DUMMYFUNCTION("GOOGLETRANSLATE(C112,""fr"",""en"")"),"Super good advice, unbeatable price kindness, I highly advise you with your eyes closed. Thanks to you for the time devoted to my request. Goodbye")</f>
        <v>Super good advice, unbeatable price kindness, I highly advise you with your eyes closed. Thanks to you for the time devoted to my request. Goodbye</v>
      </c>
    </row>
    <row r="113" ht="15.75" customHeight="1">
      <c r="B113" s="2" t="s">
        <v>389</v>
      </c>
      <c r="C113" s="2" t="s">
        <v>390</v>
      </c>
      <c r="D113" s="2" t="s">
        <v>323</v>
      </c>
      <c r="E113" s="2" t="s">
        <v>14</v>
      </c>
      <c r="F113" s="2" t="s">
        <v>15</v>
      </c>
      <c r="G113" s="2" t="s">
        <v>391</v>
      </c>
      <c r="H113" s="2" t="s">
        <v>17</v>
      </c>
      <c r="I113" s="2" t="str">
        <f>IFERROR(__xludf.DUMMYFUNCTION("GOOGLETRANSLATE(C113,""fr"",""en"")"),"Difficult customer relationship, pricing policy at the head of the customer. Price price for permanent profit maximization to the detriment of customer service and this despite zero claims during the last 6 years confidence in AXA is equal to zero")</f>
        <v>Difficult customer relationship, pricing policy at the head of the customer. Price price for permanent profit maximization to the detriment of customer service and this despite zero claims during the last 6 years confidence in AXA is equal to zero</v>
      </c>
    </row>
    <row r="114" ht="15.75" customHeight="1">
      <c r="B114" s="2" t="s">
        <v>392</v>
      </c>
      <c r="C114" s="2" t="s">
        <v>393</v>
      </c>
      <c r="D114" s="2" t="s">
        <v>323</v>
      </c>
      <c r="E114" s="2" t="s">
        <v>14</v>
      </c>
      <c r="F114" s="2" t="s">
        <v>15</v>
      </c>
      <c r="G114" s="2" t="s">
        <v>394</v>
      </c>
      <c r="H114" s="2" t="s">
        <v>17</v>
      </c>
      <c r="I114" s="2" t="str">
        <f>IFERROR(__xludf.DUMMYFUNCTION("GOOGLETRANSLATE(C114,""fr"",""en"")"),"Only accident declared and moreover not responsible on my parking vehicle, disaster not reimbursed despite a total care voucher in the name of my bodybuilder on the pretext that I exceeded the kilometric package provided for in my contract. No dialogue po"&amp;"ssible with the sinister service; I do not recommend at all and initiate legal proceedings")</f>
        <v>Only accident declared and moreover not responsible on my parking vehicle, disaster not reimbursed despite a total care voucher in the name of my bodybuilder on the pretext that I exceeded the kilometric package provided for in my contract. No dialogue possible with the sinister service; I do not recommend at all and initiate legal proceedings</v>
      </c>
    </row>
    <row r="115" ht="15.75" customHeight="1">
      <c r="B115" s="2" t="s">
        <v>395</v>
      </c>
      <c r="C115" s="2" t="s">
        <v>396</v>
      </c>
      <c r="D115" s="2" t="s">
        <v>323</v>
      </c>
      <c r="E115" s="2" t="s">
        <v>14</v>
      </c>
      <c r="F115" s="2" t="s">
        <v>15</v>
      </c>
      <c r="G115" s="2" t="s">
        <v>397</v>
      </c>
      <c r="H115" s="2" t="s">
        <v>17</v>
      </c>
      <c r="I115" s="2" t="str">
        <f>IFERROR(__xludf.DUMMYFUNCTION("GOOGLETRANSLATE(C115,""fr"",""en"")"),"Very good customer relationship, always listening and very useful advice.
Even if they are usually aligned with others when I change vehicles (every 2 years with support comparisons in support), they generally remain more expensive than competition espec"&amp;"ially for young drivers.")</f>
        <v>Very good customer relationship, always listening and very useful advice.
Even if they are usually aligned with others when I change vehicles (every 2 years with support comparisons in support), they generally remain more expensive than competition especially for young drivers.</v>
      </c>
    </row>
    <row r="116" ht="15.75" customHeight="1">
      <c r="B116" s="2" t="s">
        <v>398</v>
      </c>
      <c r="C116" s="2" t="s">
        <v>399</v>
      </c>
      <c r="D116" s="2" t="s">
        <v>323</v>
      </c>
      <c r="E116" s="2" t="s">
        <v>14</v>
      </c>
      <c r="F116" s="2" t="s">
        <v>15</v>
      </c>
      <c r="G116" s="2" t="s">
        <v>400</v>
      </c>
      <c r="H116" s="2" t="s">
        <v>17</v>
      </c>
      <c r="I116" s="2" t="str">
        <f>IFERROR(__xludf.DUMMYFUNCTION("GOOGLETRANSLATE(C116,""fr"",""en"")"),"I insured myself at home I paid two months of advance contributions. You have a month to send the documents. Every day he asked me for the same documents that I have already sent to tell you that not all the documents were sent so he terminated and you ha"&amp;"ve paid a month in advance in the bone.")</f>
        <v>I insured myself at home I paid two months of advance contributions. You have a month to send the documents. Every day he asked me for the same documents that I have already sent to tell you that not all the documents were sent so he terminated and you have paid a month in advance in the bone.</v>
      </c>
    </row>
    <row r="117" ht="15.75" customHeight="1">
      <c r="B117" s="2" t="s">
        <v>401</v>
      </c>
      <c r="C117" s="2" t="s">
        <v>402</v>
      </c>
      <c r="D117" s="2" t="s">
        <v>323</v>
      </c>
      <c r="E117" s="2" t="s">
        <v>14</v>
      </c>
      <c r="F117" s="2" t="s">
        <v>15</v>
      </c>
      <c r="G117" s="2" t="s">
        <v>403</v>
      </c>
      <c r="H117" s="2" t="s">
        <v>17</v>
      </c>
      <c r="I117" s="2" t="str">
        <f>IFERROR(__xludf.DUMMYFUNCTION("GOOGLETRANSLATE(C117,""fr"",""en"")"),"I go through a general agent who really commercial in a good sense of the word, he adjusts prices and is always present.
I just changed vehicles, contract subscribed by phone with electronic signature, fast and very practical!")</f>
        <v>I go through a general agent who really commercial in a good sense of the word, he adjusts prices and is always present.
I just changed vehicles, contract subscribed by phone with electronic signature, fast and very practical!</v>
      </c>
    </row>
    <row r="118" ht="15.75" customHeight="1">
      <c r="B118" s="2" t="s">
        <v>404</v>
      </c>
      <c r="C118" s="2" t="s">
        <v>405</v>
      </c>
      <c r="D118" s="2" t="s">
        <v>323</v>
      </c>
      <c r="E118" s="2" t="s">
        <v>14</v>
      </c>
      <c r="F118" s="2" t="s">
        <v>15</v>
      </c>
      <c r="G118" s="2" t="s">
        <v>17</v>
      </c>
      <c r="H118" s="2" t="s">
        <v>17</v>
      </c>
      <c r="I118" s="2" t="str">
        <f>IFERROR(__xludf.DUMMYFUNCTION("GOOGLETRANSLATE(C118,""fr"",""en"")"),"They only know how to collect your subscription, if you have a non -responsible accident, they do everything to do nothing or try to engage your responsibility (obviously to increase your subscription)! In 5 years at home, my bonus increases every year, b"&amp;"ut my subscription also increases! I removed the 0 km assistance option to hope to lower my subscription, well not just at the next maturity they always find the way to increase your subscription (more than 10% each year) ...")</f>
        <v>They only know how to collect your subscription, if you have a non -responsible accident, they do everything to do nothing or try to engage your responsibility (obviously to increase your subscription)! In 5 years at home, my bonus increases every year, but my subscription also increases! I removed the 0 km assistance option to hope to lower my subscription, well not just at the next maturity they always find the way to increase your subscription (more than 10% each year) ...</v>
      </c>
    </row>
    <row r="119" ht="15.75" customHeight="1">
      <c r="B119" s="2" t="s">
        <v>406</v>
      </c>
      <c r="C119" s="2" t="s">
        <v>407</v>
      </c>
      <c r="D119" s="2" t="s">
        <v>323</v>
      </c>
      <c r="E119" s="2" t="s">
        <v>14</v>
      </c>
      <c r="F119" s="2" t="s">
        <v>15</v>
      </c>
      <c r="G119" s="2" t="s">
        <v>408</v>
      </c>
      <c r="H119" s="2" t="s">
        <v>21</v>
      </c>
      <c r="I119" s="2" t="str">
        <f>IFERROR(__xludf.DUMMYFUNCTION("GOOGLETRANSLATE(C119,""fr"",""en"")"),"No responsibility, I regret having the service of this insurance. I would say 600 euros per year for nothing. Do not register it! believe me. Auto insurance customer for 3 years")</f>
        <v>No responsibility, I regret having the service of this insurance. I would say 600 euros per year for nothing. Do not register it! believe me. Auto insurance customer for 3 years</v>
      </c>
    </row>
    <row r="120" ht="15.75" customHeight="1">
      <c r="B120" s="2" t="s">
        <v>409</v>
      </c>
      <c r="C120" s="2" t="s">
        <v>410</v>
      </c>
      <c r="D120" s="2" t="s">
        <v>323</v>
      </c>
      <c r="E120" s="2" t="s">
        <v>14</v>
      </c>
      <c r="F120" s="2" t="s">
        <v>15</v>
      </c>
      <c r="G120" s="2" t="s">
        <v>408</v>
      </c>
      <c r="H120" s="2" t="s">
        <v>21</v>
      </c>
      <c r="I120" s="2" t="str">
        <f>IFERROR(__xludf.DUMMYFUNCTION("GOOGLETRANSLATE(C120,""fr"",""en"")"),"Hello Flee this company
No recognition despite the time to pay and the seniority
Having had a claim on my car (not implicated)
The transfer of money for repairs to advance to the mechanic (2123 euros)
We were fired on another bank account!
10 days la"&amp;"ter still not seeing money I report it!
It's been almost 10 days more than I am strolled to reimburse me
I will leave axa quickly reimbursement as well as my other scooter and house contracts
Flee quickly get paid, wait for nothing
 ")</f>
        <v>Hello Flee this company
No recognition despite the time to pay and the seniority
Having had a claim on my car (not implicated)
The transfer of money for repairs to advance to the mechanic (2123 euros)
We were fired on another bank account!
10 days later still not seeing money I report it!
It's been almost 10 days more than I am strolled to reimburse me
I will leave axa quickly reimbursement as well as my other scooter and house contracts
Flee quickly get paid, wait for nothing
 </v>
      </c>
    </row>
    <row r="121" ht="15.75" customHeight="1">
      <c r="B121" s="2" t="s">
        <v>411</v>
      </c>
      <c r="C121" s="2" t="s">
        <v>412</v>
      </c>
      <c r="D121" s="2" t="s">
        <v>323</v>
      </c>
      <c r="E121" s="2" t="s">
        <v>14</v>
      </c>
      <c r="F121" s="2" t="s">
        <v>15</v>
      </c>
      <c r="G121" s="2" t="s">
        <v>413</v>
      </c>
      <c r="H121" s="2" t="s">
        <v>31</v>
      </c>
      <c r="I121" s="2" t="str">
        <f>IFERROR(__xludf.DUMMYFUNCTION("GOOGLETRANSLATE(C121,""fr"",""en"")"),"tirelessly increased annually, during a small glitch you are never in nails, zero loyalty, bonus 50 % from ages nothing more, ideme for housing,")</f>
        <v>tirelessly increased annually, during a small glitch you are never in nails, zero loyalty, bonus 50 % from ages nothing more, ideme for housing,</v>
      </c>
    </row>
    <row r="122" ht="15.75" customHeight="1">
      <c r="B122" s="2" t="s">
        <v>414</v>
      </c>
      <c r="C122" s="2" t="s">
        <v>415</v>
      </c>
      <c r="D122" s="2" t="s">
        <v>323</v>
      </c>
      <c r="E122" s="2" t="s">
        <v>14</v>
      </c>
      <c r="F122" s="2" t="s">
        <v>15</v>
      </c>
      <c r="G122" s="2" t="s">
        <v>416</v>
      </c>
      <c r="H122" s="2" t="s">
        <v>31</v>
      </c>
      <c r="I122" s="2" t="str">
        <f>IFERROR(__xludf.DUMMYFUNCTION("GOOGLETRANSLATE(C122,""fr"",""en"")"),"I have just received an email from my ex-insurer that the termination request was refused: ""However, we cannot take into account your request, since the contract when your termination request was not a year of existence""
 The advisor with whom I signed"&amp;" the contract promised to me that I should not do anything because it is he that he is going to take care of it.
Today I find myself paying two insurances (I paid 3 months in advance with AXA) and when I call customer service (Saint-Priest, Lyon) an advi"&amp;"sor passes to another ...... .. A counselor asks me to return new my green card and a request termination ...... to be reimbursed.
Knowing that I did not ask for termination with the AXA, but I would like customer service to redo the termination of my ex"&amp;" insurance because their request was poorly dated and formulated ......
bullshit
 But what a service ...........")</f>
        <v>I have just received an email from my ex-insurer that the termination request was refused: "However, we cannot take into account your request, since the contract when your termination request was not a year of existence"
 The advisor with whom I signed the contract promised to me that I should not do anything because it is he that he is going to take care of it.
Today I find myself paying two insurances (I paid 3 months in advance with AXA) and when I call customer service (Saint-Priest, Lyon) an advisor passes to another ...... .. A counselor asks me to return new my green card and a request termination ...... to be reimbursed.
Knowing that I did not ask for termination with the AXA, but I would like customer service to redo the termination of my ex insurance because their request was poorly dated and formulated ......
bullshit
 But what a service ...........</v>
      </c>
    </row>
    <row r="123" ht="15.75" customHeight="1">
      <c r="B123" s="2" t="s">
        <v>417</v>
      </c>
      <c r="C123" s="2" t="s">
        <v>418</v>
      </c>
      <c r="D123" s="2" t="s">
        <v>323</v>
      </c>
      <c r="E123" s="2" t="s">
        <v>14</v>
      </c>
      <c r="F123" s="2" t="s">
        <v>15</v>
      </c>
      <c r="G123" s="2" t="s">
        <v>419</v>
      </c>
      <c r="H123" s="2" t="s">
        <v>31</v>
      </c>
      <c r="I123" s="2" t="str">
        <f>IFERROR(__xludf.DUMMYFUNCTION("GOOGLETRANSLATE(C123,""fr"",""en"")"),"Still awaiting a refund for more than a year .... after a dozen recovery email ... I have never had a return .... it is insulting this ignorance! We pay insurance every month and he does not even deign to reimburse a sum of 50 euros. What a shame for a br"&amp;"and like that.")</f>
        <v>Still awaiting a refund for more than a year .... after a dozen recovery email ... I have never had a return .... it is insulting this ignorance! We pay insurance every month and he does not even deign to reimburse a sum of 50 euros. What a shame for a brand like that.</v>
      </c>
    </row>
    <row r="124" ht="15.75" customHeight="1">
      <c r="B124" s="2" t="s">
        <v>420</v>
      </c>
      <c r="C124" s="2" t="s">
        <v>421</v>
      </c>
      <c r="D124" s="2" t="s">
        <v>323</v>
      </c>
      <c r="E124" s="2" t="s">
        <v>14</v>
      </c>
      <c r="F124" s="2" t="s">
        <v>15</v>
      </c>
      <c r="G124" s="2" t="s">
        <v>422</v>
      </c>
      <c r="H124" s="2" t="s">
        <v>49</v>
      </c>
      <c r="I124" s="2" t="str">
        <f>IFERROR(__xludf.DUMMYFUNCTION("GOOGLETRANSLATE(C124,""fr"",""en"")"),"The price is too expensive and you must always ask to lower the price. In addition, the driver warranty has come out of the contract.
In the event of a claim: good care.")</f>
        <v>The price is too expensive and you must always ask to lower the price. In addition, the driver warranty has come out of the contract.
In the event of a claim: good care.</v>
      </c>
    </row>
    <row r="125" ht="15.75" customHeight="1">
      <c r="B125" s="2" t="s">
        <v>423</v>
      </c>
      <c r="C125" s="2" t="s">
        <v>424</v>
      </c>
      <c r="D125" s="2" t="s">
        <v>323</v>
      </c>
      <c r="E125" s="2" t="s">
        <v>14</v>
      </c>
      <c r="F125" s="2" t="s">
        <v>15</v>
      </c>
      <c r="G125" s="2" t="s">
        <v>425</v>
      </c>
      <c r="H125" s="2" t="s">
        <v>56</v>
      </c>
      <c r="I125" s="2" t="str">
        <f>IFERROR(__xludf.DUMMYFUNCTION("GOOGLETRANSLATE(C125,""fr"",""en"")"),"AXA customer for 37 years, the last years have seen the bases of calculation of offers increase by 6 % to 10 % depending on the year. (Salaries and pensions have stagnated to say the least for 5 years). I will leave this multinational network whose direct"&amp;"ions have eyes only for promotional offers and leave in my opinion historic customers on the side of the road (3 claims in 30 years with an average of 68,000 km / year). I thank my interlocutors, some serious personnel who did the best they could .... but"&amp;" not the commercial policy of social sitting and even less those responsible for the marketing service. I know, I know, the others are not better say you ... So we have to consult and change insurance every two years (a former sales manager and marketing)"&amp;" I am all eyes outside to see which diverting Objection, or that they apologize the Daxa Quality Services will give me!
Sincerely, if it could wake up some neurons!")</f>
        <v>AXA customer for 37 years, the last years have seen the bases of calculation of offers increase by 6 % to 10 % depending on the year. (Salaries and pensions have stagnated to say the least for 5 years). I will leave this multinational network whose directions have eyes only for promotional offers and leave in my opinion historic customers on the side of the road (3 claims in 30 years with an average of 68,000 km / year). I thank my interlocutors, some serious personnel who did the best they could .... but not the commercial policy of social sitting and even less those responsible for the marketing service. I know, I know, the others are not better say you ... So we have to consult and change insurance every two years (a former sales manager and marketing) I am all eyes outside to see which diverting Objection, or that they apologize the Daxa Quality Services will give me!
Sincerely, if it could wake up some neurons!</v>
      </c>
    </row>
    <row r="126" ht="15.75" customHeight="1">
      <c r="B126" s="2" t="s">
        <v>426</v>
      </c>
      <c r="C126" s="2" t="s">
        <v>427</v>
      </c>
      <c r="D126" s="2" t="s">
        <v>323</v>
      </c>
      <c r="E126" s="2" t="s">
        <v>14</v>
      </c>
      <c r="F126" s="2" t="s">
        <v>15</v>
      </c>
      <c r="G126" s="2" t="s">
        <v>428</v>
      </c>
      <c r="H126" s="2" t="s">
        <v>56</v>
      </c>
      <c r="I126" s="2" t="str">
        <f>IFERROR(__xludf.DUMMYFUNCTION("GOOGLETRANSLATE(C126,""fr"",""en"")"),"Annual increases above 3% in 2018 and 2019 despite confinement and no possible negotiation. We get answers to his question by email in the half day
We must rebuild each year")</f>
        <v>Annual increases above 3% in 2018 and 2019 despite confinement and no possible negotiation. We get answers to his question by email in the half day
We must rebuild each year</v>
      </c>
    </row>
    <row r="127" ht="15.75" customHeight="1">
      <c r="B127" s="2" t="s">
        <v>429</v>
      </c>
      <c r="C127" s="2" t="s">
        <v>430</v>
      </c>
      <c r="D127" s="2" t="s">
        <v>323</v>
      </c>
      <c r="E127" s="2" t="s">
        <v>14</v>
      </c>
      <c r="F127" s="2" t="s">
        <v>15</v>
      </c>
      <c r="G127" s="2" t="s">
        <v>431</v>
      </c>
      <c r="H127" s="2" t="s">
        <v>56</v>
      </c>
      <c r="I127" s="2" t="str">
        <f>IFERROR(__xludf.DUMMYFUNCTION("GOOGLETRANSLATE(C127,""fr"",""en"")"),"Hello,
In terms of insurance for two cars and home insurance, prices are quite high by comparing with other people.
I have been in progress for a year (20-09-2019) which is still not settled (theft in the trailer).
You will understand why I am not sati"&amp;"sfied ...")</f>
        <v>Hello,
In terms of insurance for two cars and home insurance, prices are quite high by comparing with other people.
I have been in progress for a year (20-09-2019) which is still not settled (theft in the trailer).
You will understand why I am not satisfied ...</v>
      </c>
    </row>
    <row r="128" ht="15.75" customHeight="1">
      <c r="B128" s="2" t="s">
        <v>432</v>
      </c>
      <c r="C128" s="2" t="s">
        <v>433</v>
      </c>
      <c r="D128" s="2" t="s">
        <v>323</v>
      </c>
      <c r="E128" s="2" t="s">
        <v>14</v>
      </c>
      <c r="F128" s="2" t="s">
        <v>15</v>
      </c>
      <c r="G128" s="2" t="s">
        <v>434</v>
      </c>
      <c r="H128" s="2" t="s">
        <v>56</v>
      </c>
      <c r="I128" s="2" t="str">
        <f>IFERROR(__xludf.DUMMYFUNCTION("GOOGLETRANSLATE(C128,""fr"",""en"")"),"AVP not responsible on 15 DEC 2019 The manager of my file takes everything are time.
Better he threatens me not to pay me if I keep my lawyer. He does not have the gendarmerie file number, I explain to him that he is on the complaint. fact in 2 seconds e"&amp;"tc etc
Part against a hop contribution delay recommends in less time.
")</f>
        <v>AVP not responsible on 15 DEC 2019 The manager of my file takes everything are time.
Better he threatens me not to pay me if I keep my lawyer. He does not have the gendarmerie file number, I explain to him that he is on the complaint. fact in 2 seconds etc etc
Part against a hop contribution delay recommends in less time.
</v>
      </c>
    </row>
    <row r="129" ht="15.75" customHeight="1">
      <c r="B129" s="2" t="s">
        <v>435</v>
      </c>
      <c r="C129" s="2" t="s">
        <v>436</v>
      </c>
      <c r="D129" s="2" t="s">
        <v>323</v>
      </c>
      <c r="E129" s="2" t="s">
        <v>14</v>
      </c>
      <c r="F129" s="2" t="s">
        <v>15</v>
      </c>
      <c r="G129" s="2" t="s">
        <v>437</v>
      </c>
      <c r="H129" s="2" t="s">
        <v>56</v>
      </c>
      <c r="I129" s="2" t="str">
        <f>IFERROR(__xludf.DUMMYFUNCTION("GOOGLETRANSLATE(C129,""fr"",""en"")"),"In terms of availability, intervention and regulations in the event of a claim, nothing to blame. On the other hand, the price continues to increase + 22 euros/year. The height, for 2020, year or people have used their car (coronavirus) less increased by "&amp;"25 euros. I find that the price is excessive, more than 400 euros for an average range vehicle (C3 all risks)")</f>
        <v>In terms of availability, intervention and regulations in the event of a claim, nothing to blame. On the other hand, the price continues to increase + 22 euros/year. The height, for 2020, year or people have used their car (coronavirus) less increased by 25 euros. I find that the price is excessive, more than 400 euros for an average range vehicle (C3 all risks)</v>
      </c>
    </row>
    <row r="130" ht="15.75" customHeight="1">
      <c r="B130" s="2" t="s">
        <v>438</v>
      </c>
      <c r="C130" s="2" t="s">
        <v>439</v>
      </c>
      <c r="D130" s="2" t="s">
        <v>323</v>
      </c>
      <c r="E130" s="2" t="s">
        <v>14</v>
      </c>
      <c r="F130" s="2" t="s">
        <v>15</v>
      </c>
      <c r="G130" s="2" t="s">
        <v>440</v>
      </c>
      <c r="H130" s="2" t="s">
        <v>72</v>
      </c>
      <c r="I130" s="2" t="str">
        <f>IFERROR(__xludf.DUMMYFUNCTION("GOOGLETRANSLATE(C130,""fr"",""en"")"),"Breakdown on highway: lamentable care, disrespectful AXA interlocutors, very unpleasant, 2 different tow trucks. CAR The first step approved AXA so I put forward the travel costs of the vehicle 255 €, then second AXA approved tow truck, Then return home ("&amp;"falling down at 11:00 a.m., home return at 4.30 p.m.), a vehicle 150 km from the Impossible Dixit Axa home to repatriate because Distance Sup 20 km! To return to look for my vehicle, taxi then ter then taxi offered either at least double the time by car !"&amp;"! And no vehicle offered for the time of immobilization of my vehicle !! While this appears in the contract, and no reimbursement of costs if I take a personal vehicle to recover my car !! Worthy of a film !!
Deplorable service, zero, interlocutor withou"&amp;"t interlocutor capable of solving problems calmly!
")</f>
        <v>Breakdown on highway: lamentable care, disrespectful AXA interlocutors, very unpleasant, 2 different tow trucks. CAR The first step approved AXA so I put forward the travel costs of the vehicle 255 €, then second AXA approved tow truck, Then return home (falling down at 11:00 a.m., home return at 4.30 p.m.), a vehicle 150 km from the Impossible Dixit Axa home to repatriate because Distance Sup 20 km! To return to look for my vehicle, taxi then ter then taxi offered either at least double the time by car !! And no vehicle offered for the time of immobilization of my vehicle !! While this appears in the contract, and no reimbursement of costs if I take a personal vehicle to recover my car !! Worthy of a film !!
Deplorable service, zero, interlocutor without interlocutor capable of solving problems calmly!
</v>
      </c>
    </row>
    <row r="131" ht="15.75" customHeight="1">
      <c r="B131" s="2" t="s">
        <v>441</v>
      </c>
      <c r="C131" s="2" t="s">
        <v>442</v>
      </c>
      <c r="D131" s="2" t="s">
        <v>323</v>
      </c>
      <c r="E131" s="2" t="s">
        <v>14</v>
      </c>
      <c r="F131" s="2" t="s">
        <v>15</v>
      </c>
      <c r="G131" s="2" t="s">
        <v>443</v>
      </c>
      <c r="H131" s="2" t="s">
        <v>72</v>
      </c>
      <c r="I131" s="2" t="str">
        <f>IFERROR(__xludf.DUMMYFUNCTION("GOOGLETRANSLATE(C131,""fr"",""en"")"),"It's a catastrophe ! I lost my dad in October 2019.jai sold his first vehicle. I owed 8th to Axa. I received the Nikel registered note at my home. In May I put its 205 in destruction, always jette the reimbursement of the too perceived. There is always a "&amp;"paper missing ... The last time they told me that the transfer had been made on dad's account !! Lol he has been closed for a long time ... it's lamentable. They now ask me for an account fence certificate !! I'm starting to despair. It's really the only "&amp;"insurance with which I have so many problems ... They are really less fast when they are the ones who owe us money !!")</f>
        <v>It's a catastrophe ! I lost my dad in October 2019.jai sold his first vehicle. I owed 8th to Axa. I received the Nikel registered note at my home. In May I put its 205 in destruction, always jette the reimbursement of the too perceived. There is always a paper missing ... The last time they told me that the transfer had been made on dad's account !! Lol he has been closed for a long time ... it's lamentable. They now ask me for an account fence certificate !! I'm starting to despair. It's really the only insurance with which I have so many problems ... They are really less fast when they are the ones who owe us money !!</v>
      </c>
    </row>
    <row r="132" ht="15.75" customHeight="1">
      <c r="B132" s="2" t="s">
        <v>444</v>
      </c>
      <c r="C132" s="2" t="s">
        <v>445</v>
      </c>
      <c r="D132" s="2" t="s">
        <v>323</v>
      </c>
      <c r="E132" s="2" t="s">
        <v>14</v>
      </c>
      <c r="F132" s="2" t="s">
        <v>15</v>
      </c>
      <c r="G132" s="2" t="s">
        <v>446</v>
      </c>
      <c r="H132" s="2" t="s">
        <v>99</v>
      </c>
      <c r="I132" s="2" t="str">
        <f>IFERROR(__xludf.DUMMYFUNCTION("GOOGLETRANSLATE(C132,""fr"",""en"")"),"AXA asks its partner garage owners to replace used parts or, failing to go at the least in the repair. Result, vehicle repaired halfway by the mechanic who advises to change insurance.")</f>
        <v>AXA asks its partner garage owners to replace used parts or, failing to go at the least in the repair. Result, vehicle repaired halfway by the mechanic who advises to change insurance.</v>
      </c>
    </row>
    <row r="133" ht="15.75" customHeight="1">
      <c r="B133" s="2" t="s">
        <v>447</v>
      </c>
      <c r="C133" s="2" t="s">
        <v>448</v>
      </c>
      <c r="D133" s="2" t="s">
        <v>323</v>
      </c>
      <c r="E133" s="2" t="s">
        <v>14</v>
      </c>
      <c r="F133" s="2" t="s">
        <v>15</v>
      </c>
      <c r="G133" s="2" t="s">
        <v>449</v>
      </c>
      <c r="H133" s="2" t="s">
        <v>99</v>
      </c>
      <c r="I133" s="2" t="str">
        <f>IFERROR(__xludf.DUMMYFUNCTION("GOOGLETRANSLATE(C133,""fr"",""en"")"),"Insured at AXA for many years, this group has seen its pricing policy explode. Today I left Axa for Aviva. Auto contract for a Peugeot 308 at AXA 1100 €; While Aviva offered me € 570 for better guarantees")</f>
        <v>Insured at AXA for many years, this group has seen its pricing policy explode. Today I left Axa for Aviva. Auto contract for a Peugeot 308 at AXA 1100 €; While Aviva offered me € 570 for better guarantees</v>
      </c>
    </row>
    <row r="134" ht="15.75" customHeight="1">
      <c r="B134" s="2" t="s">
        <v>450</v>
      </c>
      <c r="C134" s="2" t="s">
        <v>451</v>
      </c>
      <c r="D134" s="2" t="s">
        <v>323</v>
      </c>
      <c r="E134" s="2" t="s">
        <v>14</v>
      </c>
      <c r="F134" s="2" t="s">
        <v>15</v>
      </c>
      <c r="G134" s="2" t="s">
        <v>452</v>
      </c>
      <c r="H134" s="2" t="s">
        <v>112</v>
      </c>
      <c r="I134" s="2" t="str">
        <f>IFERROR(__xludf.DUMMYFUNCTION("GOOGLETRANSLATE(C134,""fr"",""en"")"),"Following a fire on my vehicle occurring on March 17, 2020 days to date it is still not treated I am asked to pay contributions for a deducted vehicle which is no longer at months and this insurance allows me to be in their service Study and prevention to"&amp;" avoid compensation that cannot go back to work since I have no more vehicle, no vehicle loan etc insurance to flee")</f>
        <v>Following a fire on my vehicle occurring on March 17, 2020 days to date it is still not treated I am asked to pay contributions for a deducted vehicle which is no longer at months and this insurance allows me to be in their service Study and prevention to avoid compensation that cannot go back to work since I have no more vehicle, no vehicle loan etc insurance to flee</v>
      </c>
    </row>
    <row r="135" ht="15.75" customHeight="1">
      <c r="B135" s="2" t="s">
        <v>453</v>
      </c>
      <c r="C135" s="2" t="s">
        <v>454</v>
      </c>
      <c r="D135" s="2" t="s">
        <v>323</v>
      </c>
      <c r="E135" s="2" t="s">
        <v>14</v>
      </c>
      <c r="F135" s="2" t="s">
        <v>15</v>
      </c>
      <c r="G135" s="2" t="s">
        <v>455</v>
      </c>
      <c r="H135" s="2" t="s">
        <v>119</v>
      </c>
      <c r="I135" s="2" t="str">
        <f>IFERROR(__xludf.DUMMYFUNCTION("GOOGLETRANSLATE(C135,""fr"",""en"")"),"AXA Peymeinade customer for years,
Very disappointed, no follow -up, no response to the multiple emails sent concerning errors issued by the company.
I will change my insurance company and my loved ones.
")</f>
        <v>AXA Peymeinade customer for years,
Very disappointed, no follow -up, no response to the multiple emails sent concerning errors issued by the company.
I will change my insurance company and my loved ones.
</v>
      </c>
    </row>
    <row r="136" ht="15.75" customHeight="1">
      <c r="B136" s="2" t="s">
        <v>456</v>
      </c>
      <c r="C136" s="2" t="s">
        <v>457</v>
      </c>
      <c r="D136" s="2" t="s">
        <v>323</v>
      </c>
      <c r="E136" s="2" t="s">
        <v>14</v>
      </c>
      <c r="F136" s="2" t="s">
        <v>15</v>
      </c>
      <c r="G136" s="2" t="s">
        <v>458</v>
      </c>
      <c r="H136" s="2" t="s">
        <v>165</v>
      </c>
      <c r="I136" s="2" t="str">
        <f>IFERROR(__xludf.DUMMYFUNCTION("GOOGLETRANSLATE(C136,""fr"",""en"")"),"Having undergone an accident in which I am not wrong more than 6 months ago I would like to specify my vehicle was estimated to decrease by an expert can be serious (too slow, incompetent) I am not talking about the lack of Seriously of the sinister servi"&amp;"ce (mr good)
Today I have not been reimbursed and impossible to reach the service concerned.
I have 5 contract with them (axa of the Tampon La Réunion 97430) I go all the terminated.
Being in the automobile I can only see their inability and their lack"&amp;" of seriousness.
I strongly recommend this insurer.
Really not serious ..")</f>
        <v>Having undergone an accident in which I am not wrong more than 6 months ago I would like to specify my vehicle was estimated to decrease by an expert can be serious (too slow, incompetent) I am not talking about the lack of Seriously of the sinister service (mr good)
Today I have not been reimbursed and impossible to reach the service concerned.
I have 5 contract with them (axa of the Tampon La Réunion 97430) I go all the terminated.
Being in the automobile I can only see their inability and their lack of seriousness.
I strongly recommend this insurer.
Really not serious ..</v>
      </c>
    </row>
    <row r="137" ht="15.75" customHeight="1">
      <c r="B137" s="2" t="s">
        <v>459</v>
      </c>
      <c r="C137" s="2" t="s">
        <v>460</v>
      </c>
      <c r="D137" s="2" t="s">
        <v>323</v>
      </c>
      <c r="E137" s="2" t="s">
        <v>14</v>
      </c>
      <c r="F137" s="2" t="s">
        <v>15</v>
      </c>
      <c r="G137" s="2" t="s">
        <v>461</v>
      </c>
      <c r="H137" s="2" t="s">
        <v>179</v>
      </c>
      <c r="I137" s="2" t="str">
        <f>IFERROR(__xludf.DUMMYFUNCTION("GOOGLETRANSLATE(C137,""fr"",""en"")"),"My vehicle was damaged in June and appraised (photo) in July twice in a garage during repair (in October) the damaged remote radar requests I await their agreement to repair it
Bravo what a service")</f>
        <v>My vehicle was damaged in June and appraised (photo) in July twice in a garage during repair (in October) the damaged remote radar requests I await their agreement to repair it
Bravo what a service</v>
      </c>
    </row>
    <row r="138" ht="15.75" customHeight="1">
      <c r="B138" s="2" t="s">
        <v>462</v>
      </c>
      <c r="C138" s="2" t="s">
        <v>463</v>
      </c>
      <c r="D138" s="2" t="s">
        <v>323</v>
      </c>
      <c r="E138" s="2" t="s">
        <v>14</v>
      </c>
      <c r="F138" s="2" t="s">
        <v>15</v>
      </c>
      <c r="G138" s="2" t="s">
        <v>464</v>
      </c>
      <c r="H138" s="2" t="s">
        <v>179</v>
      </c>
      <c r="I138" s="2" t="str">
        <f>IFERROR(__xludf.DUMMYFUNCTION("GOOGLETRANSLATE(C138,""fr"",""en"")"),"Insured at Axa for many years I am not disappointed with their services. I have just been disaster (not responsible), my car is declared wreckage and I am really delighted with the management of this problem by AXA. They were able to find a solution to ea"&amp;"ch of my problems. No replacement car supported included in my contract but they have shown great understanding by granting me one for 10 days. The processing time of my file, expertise + payment has been very speedy. The different services that managed m"&amp;"y claim, reception and managers are human and understanding about the distress that such an event can cause. So I can only leave a positive opinion.")</f>
        <v>Insured at Axa for many years I am not disappointed with their services. I have just been disaster (not responsible), my car is declared wreckage and I am really delighted with the management of this problem by AXA. They were able to find a solution to each of my problems. No replacement car supported included in my contract but they have shown great understanding by granting me one for 10 days. The processing time of my file, expertise + payment has been very speedy. The different services that managed my claim, reception and managers are human and understanding about the distress that such an event can cause. So I can only leave a positive opinion.</v>
      </c>
    </row>
    <row r="139" ht="15.75" customHeight="1">
      <c r="B139" s="2" t="s">
        <v>465</v>
      </c>
      <c r="C139" s="2" t="s">
        <v>466</v>
      </c>
      <c r="D139" s="2" t="s">
        <v>323</v>
      </c>
      <c r="E139" s="2" t="s">
        <v>14</v>
      </c>
      <c r="F139" s="2" t="s">
        <v>15</v>
      </c>
      <c r="G139" s="2" t="s">
        <v>467</v>
      </c>
      <c r="H139" s="2" t="s">
        <v>189</v>
      </c>
      <c r="I139" s="2" t="str">
        <f>IFERROR(__xludf.DUMMYFUNCTION("GOOGLETRANSLATE(C139,""fr"",""en"")"),"We have been in Axa for 20 years, when they are asked to make a commercial gesture, there is no one left they cannot; and when we ask them to take it up for our vehicles, there we can Maybe do something for you. TOO LATE. Another insurer will take the pla"&amp;"ce for much cheaper and more guarantee, but for that we have to have these famous papers for vehicles. According to the law we owe the assets after 15 days but the 3 weeks and still nothing. No response to email or such. More than to go there and stay unt"&amp;"il papers are obtained.")</f>
        <v>We have been in Axa for 20 years, when they are asked to make a commercial gesture, there is no one left they cannot; and when we ask them to take it up for our vehicles, there we can Maybe do something for you. TOO LATE. Another insurer will take the place for much cheaper and more guarantee, but for that we have to have these famous papers for vehicles. According to the law we owe the assets after 15 days but the 3 weeks and still nothing. No response to email or such. More than to go there and stay until papers are obtained.</v>
      </c>
    </row>
    <row r="140" ht="15.75" customHeight="1">
      <c r="B140" s="2" t="s">
        <v>468</v>
      </c>
      <c r="C140" s="2" t="s">
        <v>469</v>
      </c>
      <c r="D140" s="2" t="s">
        <v>323</v>
      </c>
      <c r="E140" s="2" t="s">
        <v>14</v>
      </c>
      <c r="F140" s="2" t="s">
        <v>15</v>
      </c>
      <c r="G140" s="2" t="s">
        <v>470</v>
      </c>
      <c r="H140" s="2" t="s">
        <v>189</v>
      </c>
      <c r="I140" s="2" t="str">
        <f>IFERROR(__xludf.DUMMYFUNCTION("GOOGLETRANSLATE(C140,""fr"",""en"")"),"For car insurance I recommend on condition of choosing the right agency. For my part I have been at AXA for car and motorcycle for a long time and it has always been very well when I had sinister my agency has always been listening and the lady has always"&amp;" made the steps fast and simple. On the other hand with regard to health and disability (what is professional) is really anything because we have no direct interlocutor. Everything is treated at a distance and it is real administrative hell without speaki"&amp;"ng of customer relations which is nonexistent. I have already filed a post on this subject. In short so that it goes well with AXA you have to choose your agency very well and avoid corporate contracts where you find yourself alone without an interlocutor"&amp;" (to do with your employer)")</f>
        <v>For car insurance I recommend on condition of choosing the right agency. For my part I have been at AXA for car and motorcycle for a long time and it has always been very well when I had sinister my agency has always been listening and the lady has always made the steps fast and simple. On the other hand with regard to health and disability (what is professional) is really anything because we have no direct interlocutor. Everything is treated at a distance and it is real administrative hell without speaking of customer relations which is nonexistent. I have already filed a post on this subject. In short so that it goes well with AXA you have to choose your agency very well and avoid corporate contracts where you find yourself alone without an interlocutor (to do with your employer)</v>
      </c>
    </row>
    <row r="141" ht="15.75" customHeight="1">
      <c r="B141" s="2" t="s">
        <v>471</v>
      </c>
      <c r="C141" s="2" t="s">
        <v>472</v>
      </c>
      <c r="D141" s="2" t="s">
        <v>323</v>
      </c>
      <c r="E141" s="2" t="s">
        <v>14</v>
      </c>
      <c r="F141" s="2" t="s">
        <v>15</v>
      </c>
      <c r="G141" s="2" t="s">
        <v>473</v>
      </c>
      <c r="H141" s="2" t="s">
        <v>193</v>
      </c>
      <c r="I141" s="2" t="str">
        <f>IFERROR(__xludf.DUMMYFUNCTION("GOOGLETRANSLATE(C141,""fr"",""en"")"),"Auto insurance in all risks which does not comply with the terms of the contract, I had a non -responsible accident with third parties identified abroad, the third party to assumed it is wrong on the observation, is there are conventions with the Country "&amp;"country, but AXA asks me to pay the franchise, it does not respect the terms of the contract The third party is identified is recognized its responsibility.")</f>
        <v>Auto insurance in all risks which does not comply with the terms of the contract, I had a non -responsible accident with third parties identified abroad, the third party to assumed it is wrong on the observation, is there are conventions with the Country country, but AXA asks me to pay the franchise, it does not respect the terms of the contract The third party is identified is recognized its responsibility.</v>
      </c>
    </row>
    <row r="142" ht="15.75" customHeight="1">
      <c r="B142" s="2" t="s">
        <v>474</v>
      </c>
      <c r="C142" s="2" t="s">
        <v>475</v>
      </c>
      <c r="D142" s="2" t="s">
        <v>323</v>
      </c>
      <c r="E142" s="2" t="s">
        <v>14</v>
      </c>
      <c r="F142" s="2" t="s">
        <v>15</v>
      </c>
      <c r="G142" s="2" t="s">
        <v>476</v>
      </c>
      <c r="H142" s="2" t="s">
        <v>193</v>
      </c>
      <c r="I142" s="2" t="str">
        <f>IFERROR(__xludf.DUMMYFUNCTION("GOOGLETRANSLATE(C142,""fr"",""en"")"),"Ashamed!!! Hyper expensive services. For information, for the same guarantees I divide almost by 2 my contributions. If only the quality of the services (customer relations only because having no claim I could not test the guarantees) was at the appointme"&amp;"nt, I could have understood but I had the impression that the only motivation of the agents AXA is to make money (signing contracts to all go, wanting to add guarantees that we do not know ...). The insurer to avoid !!!")</f>
        <v>Ashamed!!! Hyper expensive services. For information, for the same guarantees I divide almost by 2 my contributions. If only the quality of the services (customer relations only because having no claim I could not test the guarantees) was at the appointment, I could have understood but I had the impression that the only motivation of the agents AXA is to make money (signing contracts to all go, wanting to add guarantees that we do not know ...). The insurer to avoid !!!</v>
      </c>
    </row>
    <row r="143" ht="15.75" customHeight="1">
      <c r="B143" s="2" t="s">
        <v>477</v>
      </c>
      <c r="C143" s="2" t="s">
        <v>478</v>
      </c>
      <c r="D143" s="2" t="s">
        <v>323</v>
      </c>
      <c r="E143" s="2" t="s">
        <v>14</v>
      </c>
      <c r="F143" s="2" t="s">
        <v>15</v>
      </c>
      <c r="G143" s="2" t="s">
        <v>479</v>
      </c>
      <c r="H143" s="2" t="s">
        <v>193</v>
      </c>
      <c r="I143" s="2" t="str">
        <f>IFERROR(__xludf.DUMMYFUNCTION("GOOGLETRANSLATE(C143,""fr"",""en"")"),"Do not have a claim if not !!!!!!!!!")</f>
        <v>Do not have a claim if not !!!!!!!!!</v>
      </c>
    </row>
    <row r="144" ht="15.75" customHeight="1">
      <c r="B144" s="2" t="s">
        <v>480</v>
      </c>
      <c r="C144" s="2" t="s">
        <v>481</v>
      </c>
      <c r="D144" s="2" t="s">
        <v>323</v>
      </c>
      <c r="E144" s="2" t="s">
        <v>14</v>
      </c>
      <c r="F144" s="2" t="s">
        <v>15</v>
      </c>
      <c r="G144" s="2" t="s">
        <v>482</v>
      </c>
      <c r="H144" s="2" t="s">
        <v>197</v>
      </c>
      <c r="I144" s="2" t="str">
        <f>IFERROR(__xludf.DUMMYFUNCTION("GOOGLETRANSLATE(C144,""fr"",""en"")"),"Extremely disappointed with the quality, speed and processing of our assistance request following a vehicle failure on the highway abroad. Decision declared today at 12:23 p.m., vehicle supported by tow truck and us (2 adults and a child) by a taxi. Depos"&amp;"ited to the nearest 9km garage. It is 10 p.m. past, we are in front of the garage which has closed for almost an hour, it is dark and we are still waiting to be taken care of by the audience ... A taxi must come and drop us 150km from the Where we are to "&amp;"recover a rental vehicle (150km back, go back to move forward better?) We have been waiting for this damn taxi for 2 hours ... I put the details of all the calls issued during this day ... You can also imagine that we are going to drive at night after thi"&amp;"s day of galley and waiting ...? In short ... I will continue my complaint later ... This is only a preamble ... exasperated, exasperated, angry, disappointed, dissatisfied, ...")</f>
        <v>Extremely disappointed with the quality, speed and processing of our assistance request following a vehicle failure on the highway abroad. Decision declared today at 12:23 p.m., vehicle supported by tow truck and us (2 adults and a child) by a taxi. Deposited to the nearest 9km garage. It is 10 p.m. past, we are in front of the garage which has closed for almost an hour, it is dark and we are still waiting to be taken care of by the audience ... A taxi must come and drop us 150km from the Where we are to recover a rental vehicle (150km back, go back to move forward better?) We have been waiting for this damn taxi for 2 hours ... I put the details of all the calls issued during this day ... You can also imagine that we are going to drive at night after this day of galley and waiting ...? In short ... I will continue my complaint later ... This is only a preamble ... exasperated, exasperated, angry, disappointed, dissatisfied, ...</v>
      </c>
    </row>
    <row r="145" ht="15.75" customHeight="1">
      <c r="B145" s="2" t="s">
        <v>483</v>
      </c>
      <c r="C145" s="2" t="s">
        <v>484</v>
      </c>
      <c r="D145" s="2" t="s">
        <v>323</v>
      </c>
      <c r="E145" s="2" t="s">
        <v>14</v>
      </c>
      <c r="F145" s="2" t="s">
        <v>15</v>
      </c>
      <c r="G145" s="2" t="s">
        <v>485</v>
      </c>
      <c r="H145" s="2" t="s">
        <v>210</v>
      </c>
      <c r="I145" s="2" t="str">
        <f>IFERROR(__xludf.DUMMYFUNCTION("GOOGLETRANSLATE(C145,""fr"",""en"")"),"Following a non -responsible disaster, my vehicle was pledged by the expert mandated by AXA for repairs.
The repairs made, AXA reimbursed the invoice to me.
An AXA advisor then informed me that the pledge would be lifted in a short time by the expert (a"&amp;"nd that I had nothing to do) a few days later, I received a document from the prefecture that informs me that My vehicle was still pledged. I then recalled an advisor told me that I had nothing to do, that he took care of everything, that the lifting of a"&amp;" pledge would be made without a new expertise because the costs incurred were not important.
So I called AXA several times, and I trusted them.
Last week I bought a new vehicle, with a resumption of my old one. But this morning I received a call from th"&amp;"e concession manager, telling me that my vehicle is still pledged, the sale is therefore pending. My personal loan too. I have not received any calls or message from AXA for 1 week. The ostrich ...
The complaint service must remind me ... I'm still waiti"&amp;"ng.
The mechanic, the expert, the insurance, they all reject the fault ... But what I remember is that above all: ""You have nothing to do, we take care of everything !!!""")</f>
        <v>Following a non -responsible disaster, my vehicle was pledged by the expert mandated by AXA for repairs.
The repairs made, AXA reimbursed the invoice to me.
An AXA advisor then informed me that the pledge would be lifted in a short time by the expert (and that I had nothing to do) a few days later, I received a document from the prefecture that informs me that My vehicle was still pledged. I then recalled an advisor told me that I had nothing to do, that he took care of everything, that the lifting of a pledge would be made without a new expertise because the costs incurred were not important.
So I called AXA several times, and I trusted them.
Last week I bought a new vehicle, with a resumption of my old one. But this morning I received a call from the concession manager, telling me that my vehicle is still pledged, the sale is therefore pending. My personal loan too. I have not received any calls or message from AXA for 1 week. The ostrich ...
The complaint service must remind me ... I'm still waiting.
The mechanic, the expert, the insurance, they all reject the fault ... But what I remember is that above all: "You have nothing to do, we take care of everything !!!"</v>
      </c>
    </row>
    <row r="146" ht="15.75" customHeight="1">
      <c r="B146" s="2" t="s">
        <v>486</v>
      </c>
      <c r="C146" s="2" t="s">
        <v>487</v>
      </c>
      <c r="D146" s="2" t="s">
        <v>323</v>
      </c>
      <c r="E146" s="2" t="s">
        <v>14</v>
      </c>
      <c r="F146" s="2" t="s">
        <v>15</v>
      </c>
      <c r="G146" s="2" t="s">
        <v>488</v>
      </c>
      <c r="H146" s="2" t="s">
        <v>210</v>
      </c>
      <c r="I146" s="2" t="str">
        <f>IFERROR(__xludf.DUMMYFUNCTION("GOOGLETRANSLATE(C146,""fr"",""en"")"),"Following a kilometric declaration that Axa Yerres did not note. Repairs costs for a disaster to my charge. And in addition the agent refuses to give me explanations")</f>
        <v>Following a kilometric declaration that Axa Yerres did not note. Repairs costs for a disaster to my charge. And in addition the agent refuses to give me explanations</v>
      </c>
    </row>
    <row r="147" ht="15.75" customHeight="1">
      <c r="B147" s="2" t="s">
        <v>489</v>
      </c>
      <c r="C147" s="2" t="s">
        <v>490</v>
      </c>
      <c r="D147" s="2" t="s">
        <v>323</v>
      </c>
      <c r="E147" s="2" t="s">
        <v>14</v>
      </c>
      <c r="F147" s="2" t="s">
        <v>15</v>
      </c>
      <c r="G147" s="2" t="s">
        <v>209</v>
      </c>
      <c r="H147" s="2" t="s">
        <v>210</v>
      </c>
      <c r="I147" s="2" t="str">
        <f>IFERROR(__xludf.DUMMYFUNCTION("GOOGLETRANSLATE(C147,""fr"",""en"")"),"Renewal of a contract on date anniversary with an increase of 50th per month for a non -responsible disaster, no plausible explanation. Non -receipt of the maturity notice, I assert my right of termination by law Châtel subject to the headquarters by my a"&amp;"gent, which claims me an insurance certificate to give the right to my termination. Unable to attach the service in question ...")</f>
        <v>Renewal of a contract on date anniversary with an increase of 50th per month for a non -responsible disaster, no plausible explanation. Non -receipt of the maturity notice, I assert my right of termination by law Châtel subject to the headquarters by my agent, which claims me an insurance certificate to give the right to my termination. Unable to attach the service in question ...</v>
      </c>
    </row>
    <row r="148" ht="15.75" customHeight="1">
      <c r="B148" s="2" t="s">
        <v>491</v>
      </c>
      <c r="C148" s="2" t="s">
        <v>492</v>
      </c>
      <c r="D148" s="2" t="s">
        <v>323</v>
      </c>
      <c r="E148" s="2" t="s">
        <v>14</v>
      </c>
      <c r="F148" s="2" t="s">
        <v>15</v>
      </c>
      <c r="G148" s="2" t="s">
        <v>493</v>
      </c>
      <c r="H148" s="2" t="s">
        <v>210</v>
      </c>
      <c r="I148" s="2" t="str">
        <f>IFERROR(__xludf.DUMMYFUNCTION("GOOGLETRANSLATE(C148,""fr"",""en"")"),"Do not subscribe to the vehicle loan service. Delai waiting to provide, poor quality vehicle. (look at the contract).")</f>
        <v>Do not subscribe to the vehicle loan service. Delai waiting to provide, poor quality vehicle. (look at the contract).</v>
      </c>
    </row>
    <row r="149" ht="15.75" customHeight="1">
      <c r="B149" s="2" t="s">
        <v>494</v>
      </c>
      <c r="C149" s="2" t="s">
        <v>495</v>
      </c>
      <c r="D149" s="2" t="s">
        <v>323</v>
      </c>
      <c r="E149" s="2" t="s">
        <v>14</v>
      </c>
      <c r="F149" s="2" t="s">
        <v>15</v>
      </c>
      <c r="G149" s="2" t="s">
        <v>496</v>
      </c>
      <c r="H149" s="2" t="s">
        <v>217</v>
      </c>
      <c r="I149" s="2" t="str">
        <f>IFERROR(__xludf.DUMMYFUNCTION("GOOGLETRANSLATE(C149,""fr"",""en"")"),"Customer service is very bad, very long waiting for the deletion of a file and the reimbursement, it is almost 3 months, still nothing has moved, despite the many calls and full.
Not recommended.")</f>
        <v>Customer service is very bad, very long waiting for the deletion of a file and the reimbursement, it is almost 3 months, still nothing has moved, despite the many calls and full.
Not recommended.</v>
      </c>
    </row>
    <row r="150" ht="15.75" customHeight="1">
      <c r="B150" s="2" t="s">
        <v>497</v>
      </c>
      <c r="C150" s="2" t="s">
        <v>498</v>
      </c>
      <c r="D150" s="2" t="s">
        <v>323</v>
      </c>
      <c r="E150" s="2" t="s">
        <v>14</v>
      </c>
      <c r="F150" s="2" t="s">
        <v>15</v>
      </c>
      <c r="G150" s="2" t="s">
        <v>499</v>
      </c>
      <c r="H150" s="2" t="s">
        <v>224</v>
      </c>
      <c r="I150" s="2" t="str">
        <f>IFERROR(__xludf.DUMMYFUNCTION("GOOGLETRANSLATE(C150,""fr"",""en"")"),"Following 2 clashes in a parking lot, vs to solve my contract, after knowledge of the Hamon law, vs is wrong, because hanging is not traffic accident, especially in these two clashes, well independent of my good will, I thought to have extenuating circums"&amp;"tances I think it is in your policy and terminate, which makes it possible to offer a new contract, much more expensive")</f>
        <v>Following 2 clashes in a parking lot, vs to solve my contract, after knowledge of the Hamon law, vs is wrong, because hanging is not traffic accident, especially in these two clashes, well independent of my good will, I thought to have extenuating circumstances I think it is in your policy and terminate, which makes it possible to offer a new contract, much more expensive</v>
      </c>
    </row>
    <row r="151" ht="15.75" customHeight="1">
      <c r="B151" s="2" t="s">
        <v>500</v>
      </c>
      <c r="C151" s="2" t="s">
        <v>501</v>
      </c>
      <c r="D151" s="2" t="s">
        <v>323</v>
      </c>
      <c r="E151" s="2" t="s">
        <v>14</v>
      </c>
      <c r="F151" s="2" t="s">
        <v>15</v>
      </c>
      <c r="G151" s="2" t="s">
        <v>502</v>
      </c>
      <c r="H151" s="2" t="s">
        <v>228</v>
      </c>
      <c r="I151" s="2" t="str">
        <f>IFERROR(__xludf.DUMMYFUNCTION("GOOGLETRANSLATE(C151,""fr"",""en"")"),"I was oriented in an approved body. The repair was poorly made recognized immediately recognized by AXA and its repairer on the basis of the photo
A second visit to the first workshop did not solve my problem to me
I asked to repair in another AXA appro"&amp;"ved garage but no one manages my file because the complaints are in dealing with a third party innovation group
My file has been dragging for more than 6 months'
I cannot sell my car in this condition without making a less value
Flee this insurance wit"&amp;"hout after -sales service and customer considerations I try to run after the parts without any AXA support even though this defaulting garage imposes its agree garage was imposed on me")</f>
        <v>I was oriented in an approved body. The repair was poorly made recognized immediately recognized by AXA and its repairer on the basis of the photo
A second visit to the first workshop did not solve my problem to me
I asked to repair in another AXA approved garage but no one manages my file because the complaints are in dealing with a third party innovation group
My file has been dragging for more than 6 months'
I cannot sell my car in this condition without making a less value
Flee this insurance without after -sales service and customer considerations I try to run after the parts without any AXA support even though this defaulting garage imposes its agree garage was imposed on me</v>
      </c>
    </row>
    <row r="152" ht="15.75" customHeight="1">
      <c r="B152" s="2" t="s">
        <v>503</v>
      </c>
      <c r="C152" s="2" t="s">
        <v>504</v>
      </c>
      <c r="D152" s="2" t="s">
        <v>323</v>
      </c>
      <c r="E152" s="2" t="s">
        <v>14</v>
      </c>
      <c r="F152" s="2" t="s">
        <v>15</v>
      </c>
      <c r="G152" s="2" t="s">
        <v>227</v>
      </c>
      <c r="H152" s="2" t="s">
        <v>228</v>
      </c>
      <c r="I152" s="2" t="str">
        <f>IFERROR(__xludf.DUMMYFUNCTION("GOOGLETRANSLATE(C152,""fr"",""en"")"),"Following an accident I cannot even send my observation by post since I do not reach their address to send my observation because it is impossible to join the sinister service, I had to make a declaration on the net which is very poorly made? At the end o"&amp;"f the conclusion and that it is 50/50 in terms of responsibility even means the opinion of expert while the opposing vehicle changes and hits me !!!!
I strongly de-conseil this insurance")</f>
        <v>Following an accident I cannot even send my observation by post since I do not reach their address to send my observation because it is impossible to join the sinister service, I had to make a declaration on the net which is very poorly made? At the end of the conclusion and that it is 50/50 in terms of responsibility even means the opinion of expert while the opposing vehicle changes and hits me !!!!
I strongly de-conseil this insurance</v>
      </c>
    </row>
    <row r="153" ht="15.75" customHeight="1">
      <c r="B153" s="2" t="s">
        <v>505</v>
      </c>
      <c r="C153" s="2" t="s">
        <v>506</v>
      </c>
      <c r="D153" s="2" t="s">
        <v>323</v>
      </c>
      <c r="E153" s="2" t="s">
        <v>14</v>
      </c>
      <c r="F153" s="2" t="s">
        <v>15</v>
      </c>
      <c r="G153" s="2" t="s">
        <v>507</v>
      </c>
      <c r="H153" s="2" t="s">
        <v>228</v>
      </c>
      <c r="I153" s="2" t="str">
        <f>IFERROR(__xludf.DUMMYFUNCTION("GOOGLETRANSLATE(C153,""fr"",""en"")"),"New agency in Fontenay aux Roses. Very badly received. I leave this insurer (with 14 contracts). Auto (6 vehicles) Material insurance transported for my company, housing, mutual, legal protection and guarantee of life.")</f>
        <v>New agency in Fontenay aux Roses. Very badly received. I leave this insurer (with 14 contracts). Auto (6 vehicles) Material insurance transported for my company, housing, mutual, legal protection and guarantee of life.</v>
      </c>
    </row>
    <row r="154" ht="15.75" customHeight="1">
      <c r="B154" s="2" t="s">
        <v>508</v>
      </c>
      <c r="C154" s="2" t="s">
        <v>509</v>
      </c>
      <c r="D154" s="2" t="s">
        <v>323</v>
      </c>
      <c r="E154" s="2" t="s">
        <v>14</v>
      </c>
      <c r="F154" s="2" t="s">
        <v>15</v>
      </c>
      <c r="G154" s="2" t="s">
        <v>228</v>
      </c>
      <c r="H154" s="2" t="s">
        <v>228</v>
      </c>
      <c r="I154" s="2" t="str">
        <f>IFERROR(__xludf.DUMMYFUNCTION("GOOGLETRANSLATE(C154,""fr"",""en"")"),"Run away")</f>
        <v>Run away</v>
      </c>
    </row>
    <row r="155" ht="15.75" customHeight="1">
      <c r="B155" s="2" t="s">
        <v>510</v>
      </c>
      <c r="C155" s="2" t="s">
        <v>511</v>
      </c>
      <c r="D155" s="2" t="s">
        <v>323</v>
      </c>
      <c r="E155" s="2" t="s">
        <v>14</v>
      </c>
      <c r="F155" s="2" t="s">
        <v>15</v>
      </c>
      <c r="G155" s="2" t="s">
        <v>512</v>
      </c>
      <c r="H155" s="2" t="s">
        <v>513</v>
      </c>
      <c r="I155" s="2" t="str">
        <f>IFERROR(__xludf.DUMMYFUNCTION("GOOGLETRANSLATE(C155,""fr"",""en"")"),"Following a responsible accident I go from 70 euros to 140 euros for a C3 70CV .... or 50% increase and I am answered if you want to decrease take your bank accounts with us! I refuse. In December 2018, more than 1 years after my accident, I intended to s"&amp;"ee my Assurnace decrease a minimum. Well no it has increased by 140 to 160 euros per month !!!!! I call and answer me yes these normal your spouse is not with us (not yet insure his name so normal) and your home insurance either !!!!! A shame! I just chan"&amp;"ged insurance! And guess what at the Macif instead of 160 euros per month I pay 70 euros per month with a rate at 1 !!!!!!! Over 90 euros per month to save. A shame on this AXA cabinet which is located in La Bassée (59)")</f>
        <v>Following a responsible accident I go from 70 euros to 140 euros for a C3 70CV .... or 50% increase and I am answered if you want to decrease take your bank accounts with us! I refuse. In December 2018, more than 1 years after my accident, I intended to see my Assurnace decrease a minimum. Well no it has increased by 140 to 160 euros per month !!!!! I call and answer me yes these normal your spouse is not with us (not yet insure his name so normal) and your home insurance either !!!!! A shame! I just changed insurance! And guess what at the Macif instead of 160 euros per month I pay 70 euros per month with a rate at 1 !!!!!!! Over 90 euros per month to save. A shame on this AXA cabinet which is located in La Bassée (59)</v>
      </c>
    </row>
    <row r="156" ht="15.75" customHeight="1">
      <c r="B156" s="2" t="s">
        <v>514</v>
      </c>
      <c r="C156" s="2" t="s">
        <v>515</v>
      </c>
      <c r="D156" s="2" t="s">
        <v>323</v>
      </c>
      <c r="E156" s="2" t="s">
        <v>14</v>
      </c>
      <c r="F156" s="2" t="s">
        <v>15</v>
      </c>
      <c r="G156" s="2" t="s">
        <v>516</v>
      </c>
      <c r="H156" s="2" t="s">
        <v>517</v>
      </c>
      <c r="I156" s="2" t="str">
        <f>IFERROR(__xludf.DUMMYFUNCTION("GOOGLETRANSLATE(C156,""fr"",""en"")"),"Problems with more months they have taken fees that it is errors in their shares want to know nothing. Strongly advises against. No excuses no commercial gestures. I am not the only one in this case ....................")</f>
        <v>Problems with more months they have taken fees that it is errors in their shares want to know nothing. Strongly advises against. No excuses no commercial gestures. I am not the only one in this case ....................</v>
      </c>
    </row>
    <row r="157" ht="15.75" customHeight="1">
      <c r="B157" s="2" t="s">
        <v>518</v>
      </c>
      <c r="C157" s="2" t="s">
        <v>519</v>
      </c>
      <c r="D157" s="2" t="s">
        <v>323</v>
      </c>
      <c r="E157" s="2" t="s">
        <v>14</v>
      </c>
      <c r="F157" s="2" t="s">
        <v>15</v>
      </c>
      <c r="G157" s="2" t="s">
        <v>520</v>
      </c>
      <c r="H157" s="2" t="s">
        <v>245</v>
      </c>
      <c r="I157" s="2" t="str">
        <f>IFERROR(__xludf.DUMMYFUNCTION("GOOGLETRANSLATE(C157,""fr"",""en"")"),"For three months, only problems. Customer service does not listen to its customers.
I am decreed and reassembled.")</f>
        <v>For three months, only problems. Customer service does not listen to its customers.
I am decreed and reassembled.</v>
      </c>
    </row>
    <row r="158" ht="15.75" customHeight="1">
      <c r="B158" s="2" t="s">
        <v>521</v>
      </c>
      <c r="C158" s="2" t="s">
        <v>522</v>
      </c>
      <c r="D158" s="2" t="s">
        <v>323</v>
      </c>
      <c r="E158" s="2" t="s">
        <v>14</v>
      </c>
      <c r="F158" s="2" t="s">
        <v>15</v>
      </c>
      <c r="G158" s="2" t="s">
        <v>523</v>
      </c>
      <c r="H158" s="2" t="s">
        <v>524</v>
      </c>
      <c r="I158" s="2" t="str">
        <f>IFERROR(__xludf.DUMMYFUNCTION("GOOGLETRANSLATE(C158,""fr"",""en"")"),"Following a non -responsible disaster occurring abroad in 09/2016, during the repairs to be made I set the deductible of 350 euros which was to be reimbursed. Two years later, despite many phone calls and emails, the service Question is unreachable and do"&amp;"es not care about customers by giving no information on the file, will I one day reimbursed? Only god knows !!!!!!")</f>
        <v>Following a non -responsible disaster occurring abroad in 09/2016, during the repairs to be made I set the deductible of 350 euros which was to be reimbursed. Two years later, despite many phone calls and emails, the service Question is unreachable and does not care about customers by giving no information on the file, will I one day reimbursed? Only god knows !!!!!!</v>
      </c>
    </row>
    <row r="159" ht="15.75" customHeight="1">
      <c r="B159" s="2" t="s">
        <v>525</v>
      </c>
      <c r="C159" s="2" t="s">
        <v>526</v>
      </c>
      <c r="D159" s="2" t="s">
        <v>323</v>
      </c>
      <c r="E159" s="2" t="s">
        <v>14</v>
      </c>
      <c r="F159" s="2" t="s">
        <v>15</v>
      </c>
      <c r="G159" s="2" t="s">
        <v>527</v>
      </c>
      <c r="H159" s="2" t="s">
        <v>524</v>
      </c>
      <c r="I159" s="2" t="str">
        <f>IFERROR(__xludf.DUMMYFUNCTION("GOOGLETRANSLATE(C159,""fr"",""en"")"),"accident for 4 months in zero responsibility car evaluated 300th in vei was rolling and had just passed the CT
300th I have been wrecking for 4 months I have axa wind brewer insurance")</f>
        <v>accident for 4 months in zero responsibility car evaluated 300th in vei was rolling and had just passed the CT
300th I have been wrecking for 4 months I have axa wind brewer insurance</v>
      </c>
    </row>
    <row r="160" ht="15.75" customHeight="1">
      <c r="B160" s="2" t="s">
        <v>528</v>
      </c>
      <c r="C160" s="2" t="s">
        <v>529</v>
      </c>
      <c r="D160" s="2" t="s">
        <v>323</v>
      </c>
      <c r="E160" s="2" t="s">
        <v>14</v>
      </c>
      <c r="F160" s="2" t="s">
        <v>15</v>
      </c>
      <c r="G160" s="2" t="s">
        <v>252</v>
      </c>
      <c r="H160" s="2" t="s">
        <v>249</v>
      </c>
      <c r="I160" s="2" t="str">
        <f>IFERROR(__xludf.DUMMYFUNCTION("GOOGLETRANSLATE(C160,""fr"",""en"")"),"I published a negative opinion on AXA for my problem and customer service contacted me and they did the necessary. Even they changed the manager of my international sinister file. Frankly despite that the steps are long but they are attentive and make ple"&amp;"asant gestures. I am very satisfied with my AXA insurance and I thank him.")</f>
        <v>I published a negative opinion on AXA for my problem and customer service contacted me and they did the necessary. Even they changed the manager of my international sinister file. Frankly despite that the steps are long but they are attentive and make pleasant gestures. I am very satisfied with my AXA insurance and I thank him.</v>
      </c>
    </row>
    <row r="161" ht="15.75" customHeight="1">
      <c r="B161" s="2" t="s">
        <v>530</v>
      </c>
      <c r="C161" s="2" t="s">
        <v>531</v>
      </c>
      <c r="D161" s="2" t="s">
        <v>323</v>
      </c>
      <c r="E161" s="2" t="s">
        <v>14</v>
      </c>
      <c r="F161" s="2" t="s">
        <v>15</v>
      </c>
      <c r="G161" s="2" t="s">
        <v>532</v>
      </c>
      <c r="H161" s="2" t="s">
        <v>249</v>
      </c>
      <c r="I161" s="2" t="str">
        <f>IFERROR(__xludf.DUMMYFUNCTION("GOOGLETRANSLATE(C161,""fr"",""en"")"),"Behaves like a bank (maximum profit) to the detriment of its role as an insurer. Wait for the payment of the opposing company to make the reimbursement of its insured")</f>
        <v>Behaves like a bank (maximum profit) to the detriment of its role as an insurer. Wait for the payment of the opposing company to make the reimbursement of its insured</v>
      </c>
    </row>
    <row r="162" ht="15.75" customHeight="1">
      <c r="B162" s="2" t="s">
        <v>533</v>
      </c>
      <c r="C162" s="2" t="s">
        <v>534</v>
      </c>
      <c r="D162" s="2" t="s">
        <v>323</v>
      </c>
      <c r="E162" s="2" t="s">
        <v>14</v>
      </c>
      <c r="F162" s="2" t="s">
        <v>15</v>
      </c>
      <c r="G162" s="2" t="s">
        <v>535</v>
      </c>
      <c r="H162" s="2" t="s">
        <v>249</v>
      </c>
      <c r="I162" s="2" t="str">
        <f>IFERROR(__xludf.DUMMYFUNCTION("GOOGLETRANSLATE(C162,""fr"",""en"")"),"Insurer twice as expensive what the others, my insurance increases each year without a claim, very complicated to terminate, 6 months to be repayed, to flee.")</f>
        <v>Insurer twice as expensive what the others, my insurance increases each year without a claim, very complicated to terminate, 6 months to be repayed, to flee.</v>
      </c>
    </row>
    <row r="163" ht="15.75" customHeight="1">
      <c r="B163" s="2" t="s">
        <v>536</v>
      </c>
      <c r="C163" s="2" t="s">
        <v>537</v>
      </c>
      <c r="D163" s="2" t="s">
        <v>323</v>
      </c>
      <c r="E163" s="2" t="s">
        <v>14</v>
      </c>
      <c r="F163" s="2" t="s">
        <v>15</v>
      </c>
      <c r="G163" s="2" t="s">
        <v>538</v>
      </c>
      <c r="H163" s="2" t="s">
        <v>258</v>
      </c>
      <c r="I163" s="2" t="str">
        <f>IFERROR(__xludf.DUMMYFUNCTION("GOOGLETRANSLATE(C163,""fr"",""en"")"),"Accident not responsible on 06/15/2018. Soon 3 months and my file is still not processed. The complaint service that is in abroad blocks my file and no longer responds to my calls or emails and completely ignores me. I do not know what to do. My car being"&amp;" in a destruction center chosen by AXA without my opinion is more and more degraded.")</f>
        <v>Accident not responsible on 06/15/2018. Soon 3 months and my file is still not processed. The complaint service that is in abroad blocks my file and no longer responds to my calls or emails and completely ignores me. I do not know what to do. My car being in a destruction center chosen by AXA without my opinion is more and more degraded.</v>
      </c>
    </row>
    <row r="164" ht="15.75" customHeight="1">
      <c r="B164" s="2" t="s">
        <v>539</v>
      </c>
      <c r="C164" s="2" t="s">
        <v>540</v>
      </c>
      <c r="D164" s="2" t="s">
        <v>323</v>
      </c>
      <c r="E164" s="2" t="s">
        <v>14</v>
      </c>
      <c r="F164" s="2" t="s">
        <v>15</v>
      </c>
      <c r="G164" s="2" t="s">
        <v>258</v>
      </c>
      <c r="H164" s="2" t="s">
        <v>258</v>
      </c>
      <c r="I164" s="2" t="str">
        <f>IFERROR(__xludf.DUMMYFUNCTION("GOOGLETRANSLATE(C164,""fr"",""en"")"),"Low prices, but justified by poor service, especially flee this quick insurer to debit and as soon as problem is no one, it is a shame of this insurer and robbed customers. In hand then in the meantime I will post comments because I refuse that others wil"&amp;"l be had by this pseudo insurance. A advice check everything because if the price may seem attractive to the conditions, mileage ect ...... while waiting if You want to find serious insurance go through a broker who has a storefront to avoid problems that"&amp;" you will no longer see the end run out.")</f>
        <v>Low prices, but justified by poor service, especially flee this quick insurer to debit and as soon as problem is no one, it is a shame of this insurer and robbed customers. In hand then in the meantime I will post comments because I refuse that others will be had by this pseudo insurance. A advice check everything because if the price may seem attractive to the conditions, mileage ect ...... while waiting if You want to find serious insurance go through a broker who has a storefront to avoid problems that you will no longer see the end run out.</v>
      </c>
    </row>
    <row r="165" ht="15.75" customHeight="1">
      <c r="B165" s="2" t="s">
        <v>541</v>
      </c>
      <c r="C165" s="2" t="s">
        <v>542</v>
      </c>
      <c r="D165" s="2" t="s">
        <v>323</v>
      </c>
      <c r="E165" s="2" t="s">
        <v>14</v>
      </c>
      <c r="F165" s="2" t="s">
        <v>15</v>
      </c>
      <c r="G165" s="2" t="s">
        <v>543</v>
      </c>
      <c r="H165" s="2" t="s">
        <v>262</v>
      </c>
      <c r="I165" s="2" t="str">
        <f>IFERROR(__xludf.DUMMYFUNCTION("GOOGLETRANSLATE(C165,""fr"",""en"")"),"Car accident on July 31. Still not expertise on August 23..mes calls are in Morocco ... I have asked the gentleman! Felding is effective does not work too much apparently.")</f>
        <v>Car accident on July 31. Still not expertise on August 23..mes calls are in Morocco ... I have asked the gentleman! Felding is effective does not work too much apparently.</v>
      </c>
    </row>
    <row r="166" ht="15.75" customHeight="1">
      <c r="B166" s="2" t="s">
        <v>544</v>
      </c>
      <c r="C166" s="2" t="s">
        <v>545</v>
      </c>
      <c r="D166" s="2" t="s">
        <v>323</v>
      </c>
      <c r="E166" s="2" t="s">
        <v>14</v>
      </c>
      <c r="F166" s="2" t="s">
        <v>15</v>
      </c>
      <c r="G166" s="2" t="s">
        <v>546</v>
      </c>
      <c r="H166" s="2" t="s">
        <v>272</v>
      </c>
      <c r="I166" s="2" t="str">
        <f>IFERROR(__xludf.DUMMYFUNCTION("GOOGLETRANSLATE(C166,""fr"",""en"")"),"Delocated customer service, to flee!")</f>
        <v>Delocated customer service, to flee!</v>
      </c>
    </row>
    <row r="167" ht="15.75" customHeight="1">
      <c r="B167" s="2" t="s">
        <v>547</v>
      </c>
      <c r="C167" s="2" t="s">
        <v>548</v>
      </c>
      <c r="D167" s="2" t="s">
        <v>323</v>
      </c>
      <c r="E167" s="2" t="s">
        <v>14</v>
      </c>
      <c r="F167" s="2" t="s">
        <v>15</v>
      </c>
      <c r="G167" s="2" t="s">
        <v>549</v>
      </c>
      <c r="H167" s="2" t="s">
        <v>276</v>
      </c>
      <c r="I167" s="2" t="str">
        <f>IFERROR(__xludf.DUMMYFUNCTION("GOOGLETRANSLATE(C167,""fr"",""en"")"),"Following a breakdown of my vehicle abroad and a immobilization in a garage, I rent a car to return to my home. AXA confirms me to take charge of car rental + taxi fees. More than a month after nothing, and I am told in addition to providing the proof of "&amp;"immobilization of the vehicle abroad, as if I had to rent a vehicle for pleasure .... 0 confidence, 0 ProFFEIGNALISM.")</f>
        <v>Following a breakdown of my vehicle abroad and a immobilization in a garage, I rent a car to return to my home. AXA confirms me to take charge of car rental + taxi fees. More than a month after nothing, and I am told in addition to providing the proof of immobilization of the vehicle abroad, as if I had to rent a vehicle for pleasure .... 0 confidence, 0 ProFFEIGNALISM.</v>
      </c>
    </row>
    <row r="168" ht="15.75" customHeight="1">
      <c r="B168" s="2" t="s">
        <v>550</v>
      </c>
      <c r="C168" s="2" t="s">
        <v>551</v>
      </c>
      <c r="D168" s="2" t="s">
        <v>323</v>
      </c>
      <c r="E168" s="2" t="s">
        <v>14</v>
      </c>
      <c r="F168" s="2" t="s">
        <v>15</v>
      </c>
      <c r="G168" s="2" t="s">
        <v>552</v>
      </c>
      <c r="H168" s="2" t="s">
        <v>276</v>
      </c>
      <c r="I168" s="2" t="str">
        <f>IFERROR(__xludf.DUMMYFUNCTION("GOOGLETRANSLATE(C168,""fr"",""en"")"),"I had an 83 % rate increase this year. My monthly payment went from 68 euros to 124 euros without warning me. Supposedly due to the number of claims !! Except that I have only 2 recent claims including a break of ice. Information taken today to other insu"&amp;"rance prices offered 50 euros !!!")</f>
        <v>I had an 83 % rate increase this year. My monthly payment went from 68 euros to 124 euros without warning me. Supposedly due to the number of claims !! Except that I have only 2 recent claims including a break of ice. Information taken today to other insurance prices offered 50 euros !!!</v>
      </c>
    </row>
    <row r="169" ht="15.75" customHeight="1">
      <c r="B169" s="2" t="s">
        <v>553</v>
      </c>
      <c r="C169" s="2" t="s">
        <v>554</v>
      </c>
      <c r="D169" s="2" t="s">
        <v>323</v>
      </c>
      <c r="E169" s="2" t="s">
        <v>14</v>
      </c>
      <c r="F169" s="2" t="s">
        <v>15</v>
      </c>
      <c r="G169" s="2" t="s">
        <v>555</v>
      </c>
      <c r="H169" s="2" t="s">
        <v>276</v>
      </c>
      <c r="I169" s="2" t="str">
        <f>IFERROR(__xludf.DUMMYFUNCTION("GOOGLETRANSLATE(C169,""fr"",""en"")"),"No competent customer service No file follow -up, I had to do the procedures myself with the automotive expert for my file to advance.")</f>
        <v>No competent customer service No file follow -up, I had to do the procedures myself with the automotive expert for my file to advance.</v>
      </c>
    </row>
    <row r="170" ht="15.75" customHeight="1">
      <c r="B170" s="2" t="s">
        <v>556</v>
      </c>
      <c r="C170" s="2" t="s">
        <v>557</v>
      </c>
      <c r="D170" s="2" t="s">
        <v>323</v>
      </c>
      <c r="E170" s="2" t="s">
        <v>14</v>
      </c>
      <c r="F170" s="2" t="s">
        <v>15</v>
      </c>
      <c r="G170" s="2" t="s">
        <v>558</v>
      </c>
      <c r="H170" s="2" t="s">
        <v>559</v>
      </c>
      <c r="I170" s="2" t="str">
        <f>IFERROR(__xludf.DUMMYFUNCTION("GOOGLETRANSLATE(C170,""fr"",""en"")"),"Congratulations to your assistance service: fast, complete in terms of services! I have been reinforced with the idea of ​​being insured at home for over 20 years!")</f>
        <v>Congratulations to your assistance service: fast, complete in terms of services! I have been reinforced with the idea of ​​being insured at home for over 20 years!</v>
      </c>
    </row>
    <row r="171" ht="15.75" customHeight="1">
      <c r="B171" s="2" t="s">
        <v>560</v>
      </c>
      <c r="C171" s="2" t="s">
        <v>561</v>
      </c>
      <c r="D171" s="2" t="s">
        <v>323</v>
      </c>
      <c r="E171" s="2" t="s">
        <v>14</v>
      </c>
      <c r="F171" s="2" t="s">
        <v>15</v>
      </c>
      <c r="G171" s="2" t="s">
        <v>558</v>
      </c>
      <c r="H171" s="2" t="s">
        <v>559</v>
      </c>
      <c r="I171" s="2" t="str">
        <f>IFERROR(__xludf.DUMMYFUNCTION("GOOGLETRANSLATE(C171,""fr"",""en"")"),"See the most nothing else to add")</f>
        <v>See the most nothing else to add</v>
      </c>
    </row>
    <row r="172" ht="15.75" customHeight="1">
      <c r="B172" s="2" t="s">
        <v>562</v>
      </c>
      <c r="C172" s="2" t="s">
        <v>563</v>
      </c>
      <c r="D172" s="2" t="s">
        <v>323</v>
      </c>
      <c r="E172" s="2" t="s">
        <v>14</v>
      </c>
      <c r="F172" s="2" t="s">
        <v>15</v>
      </c>
      <c r="G172" s="2" t="s">
        <v>564</v>
      </c>
      <c r="H172" s="2" t="s">
        <v>565</v>
      </c>
      <c r="I172" s="2" t="str">
        <f>IFERROR(__xludf.DUMMYFUNCTION("GOOGLETRANSLATE(C172,""fr"",""en"")"),"We would like to get in touch with the agency director but that is proven unavailable or absent when we tried to join it in order to share our various difficulties with the advisor")</f>
        <v>We would like to get in touch with the agency director but that is proven unavailable or absent when we tried to join it in order to share our various difficulties with the advisor</v>
      </c>
    </row>
    <row r="173" ht="15.75" customHeight="1">
      <c r="B173" s="2" t="s">
        <v>528</v>
      </c>
      <c r="C173" s="2" t="s">
        <v>566</v>
      </c>
      <c r="D173" s="2" t="s">
        <v>323</v>
      </c>
      <c r="E173" s="2" t="s">
        <v>14</v>
      </c>
      <c r="F173" s="2" t="s">
        <v>15</v>
      </c>
      <c r="G173" s="2" t="s">
        <v>567</v>
      </c>
      <c r="H173" s="2" t="s">
        <v>565</v>
      </c>
      <c r="I173" s="2" t="str">
        <f>IFERROR(__xludf.DUMMYFUNCTION("GOOGLETRANSLATE(C173,""fr"",""en"")"),"For 6 months I have run behind Axa to give me just an answer on my file for disaster abroad and total ignorance I tried all the ways to contact the lady who takes care of my file and he leaves her a message so that she calls me and I did not receive any c"&amp;"all ... 8 times I try and the same story")</f>
        <v>For 6 months I have run behind Axa to give me just an answer on my file for disaster abroad and total ignorance I tried all the ways to contact the lady who takes care of my file and he leaves her a message so that she calls me and I did not receive any call ... 8 times I try and the same story</v>
      </c>
    </row>
    <row r="174" ht="15.75" customHeight="1">
      <c r="B174" s="2" t="s">
        <v>568</v>
      </c>
      <c r="C174" s="2" t="s">
        <v>569</v>
      </c>
      <c r="D174" s="2" t="s">
        <v>323</v>
      </c>
      <c r="E174" s="2" t="s">
        <v>14</v>
      </c>
      <c r="F174" s="2" t="s">
        <v>15</v>
      </c>
      <c r="G174" s="2" t="s">
        <v>570</v>
      </c>
      <c r="H174" s="2" t="s">
        <v>565</v>
      </c>
      <c r="I174" s="2" t="str">
        <f>IFERROR(__xludf.DUMMYFUNCTION("GOOGLETRANSLATE(C174,""fr"",""en"")"),"I am not happy with AXA because they make increases without warning their customers and without stipulating on the contract. They also do not respond to the mail sent to them by our lawyer.
How to continue with them in such circumstances.")</f>
        <v>I am not happy with AXA because they make increases without warning their customers and without stipulating on the contract. They also do not respond to the mail sent to them by our lawyer.
How to continue with them in such circumstances.</v>
      </c>
    </row>
    <row r="175" ht="15.75" customHeight="1">
      <c r="B175" s="2" t="s">
        <v>571</v>
      </c>
      <c r="C175" s="2" t="s">
        <v>572</v>
      </c>
      <c r="D175" s="2" t="s">
        <v>323</v>
      </c>
      <c r="E175" s="2" t="s">
        <v>14</v>
      </c>
      <c r="F175" s="2" t="s">
        <v>15</v>
      </c>
      <c r="G175" s="2" t="s">
        <v>573</v>
      </c>
      <c r="H175" s="2" t="s">
        <v>565</v>
      </c>
      <c r="I175" s="2" t="str">
        <f>IFERROR(__xludf.DUMMYFUNCTION("GOOGLETRANSLATE(C175,""fr"",""en"")"),"AXA problem and second driver. Is it legal?
We have taken out car insurance at AXA. During the declaration (while I am the main driver and owner of the vehicle) the contract was established in the name of my partner and the agent told me that there was n"&amp;"o concept (and therefore difference ) Between the 1st and 2D driver at AXA. This is the case in terms of insurance but bonus points !! Which makes a big difference all the same. I wanted to compare the AXA offers to other insurance and surprise! I have no"&amp;" bonus points since only the main driver in profit (when he does not even drive the vehicle) !!! Today the agent offers me a new contract on my name for an additional 144 euros on the annual subscription !!! I did not think that such practices were possib"&amp;"le.")</f>
        <v>AXA problem and second driver. Is it legal?
We have taken out car insurance at AXA. During the declaration (while I am the main driver and owner of the vehicle) the contract was established in the name of my partner and the agent told me that there was no concept (and therefore difference ) Between the 1st and 2D driver at AXA. This is the case in terms of insurance but bonus points !! Which makes a big difference all the same. I wanted to compare the AXA offers to other insurance and surprise! I have no bonus points since only the main driver in profit (when he does not even drive the vehicle) !!! Today the agent offers me a new contract on my name for an additional 144 euros on the annual subscription !!! I did not think that such practices were possible.</v>
      </c>
    </row>
    <row r="176" ht="15.75" customHeight="1">
      <c r="B176" s="2" t="s">
        <v>574</v>
      </c>
      <c r="C176" s="2" t="s">
        <v>575</v>
      </c>
      <c r="D176" s="2" t="s">
        <v>323</v>
      </c>
      <c r="E176" s="2" t="s">
        <v>14</v>
      </c>
      <c r="F176" s="2" t="s">
        <v>15</v>
      </c>
      <c r="G176" s="2" t="s">
        <v>576</v>
      </c>
      <c r="H176" s="2" t="s">
        <v>577</v>
      </c>
      <c r="I176" s="2" t="str">
        <f>IFERROR(__xludf.DUMMYFUNCTION("GOOGLETRANSLATE(C176,""fr"",""en"")"),"On January 10, I underwent a shock in my parking lot and I found my vehicle at noon with the front and rear bumper breaks and bearer stuck I declare the sinister we are on February 22 and I still do not have my vehicle and the repairs have not yet started"&amp;" for lack of these. Plates forms which include nothing they declared the disaster in vandalism Me January 10 The convenience store trailer M to a car in a garage 20 km from which is one of their approved garage having more new end of January I call and I "&amp;"am told that the expert must have passed the past expert we are waiting for the costing on February 8 I call and the garage tells me that insurance has canceled the mission because the reason they have been is not is not The good one had to put accident o"&amp;"n parking La Joleur but it is not finished new order of mission a new expert must spend ok appointment on February 19 on 15 J call and I am told that I will have to advance the costs because the. is not approved and that It is I who is chosen this garage "&amp;"when I do not c9nnais and that it is at. 20 km from my home I tell them that I will pay nothing he then decides to tow my vehicle in another garage agreer while the Another L was for 3 years since they have repatriated my vehicle BA in short and they tell"&amp;" me we take care of the repatriation of your BAH vehicle still happy today expert and it left conclusion 2 months without a car and I will obviously terminate The 6 contracts I have at home because I asked for a gesture on their part and that it is not po"&amp;"ssible")</f>
        <v>On January 10, I underwent a shock in my parking lot and I found my vehicle at noon with the front and rear bumper breaks and bearer stuck I declare the sinister we are on February 22 and I still do not have my vehicle and the repairs have not yet started for lack of these. Plates forms which include nothing they declared the disaster in vandalism Me January 10 The convenience store trailer M to a car in a garage 20 km from which is one of their approved garage having more new end of January I call and I am told that the expert must have passed the past expert we are waiting for the costing on February 8 I call and the garage tells me that insurance has canceled the mission because the reason they have been is not is not The good one had to put accident on parking La Joleur but it is not finished new order of mission a new expert must spend ok appointment on February 19 on 15 J call and I am told that I will have to advance the costs because the. is not approved and that It is I who is chosen this garage when I do not c9nnais and that it is at. 20 km from my home I tell them that I will pay nothing he then decides to tow my vehicle in another garage agreer while the Another L was for 3 years since they have repatriated my vehicle BA in short and they tell me we take care of the repatriation of your BAH vehicle still happy today expert and it left conclusion 2 months without a car and I will obviously terminate The 6 contracts I have at home because I asked for a gesture on their part and that it is not possible</v>
      </c>
    </row>
    <row r="177" ht="15.75" customHeight="1">
      <c r="B177" s="2" t="s">
        <v>578</v>
      </c>
      <c r="C177" s="2" t="s">
        <v>579</v>
      </c>
      <c r="D177" s="2" t="s">
        <v>323</v>
      </c>
      <c r="E177" s="2" t="s">
        <v>14</v>
      </c>
      <c r="F177" s="2" t="s">
        <v>15</v>
      </c>
      <c r="G177" s="2" t="s">
        <v>580</v>
      </c>
      <c r="H177" s="2" t="s">
        <v>577</v>
      </c>
      <c r="I177" s="2" t="str">
        <f>IFERROR(__xludf.DUMMYFUNCTION("GOOGLETRANSLATE(C177,""fr"",""en"")"),"The worst mutual insurance company that exists, I sent 50 invoices per fax per mail they receive nothing! When I check the addresses with them on the other hand everything is fine! There are problems everywhere: connection problem with LMDE student social"&amp;" security, they send me from service to service: Result I am waiting for my reimbursements 2016 and 2018 or 1000 euros and I still have nothing !!!! !! By cons I pay a ton every month! Bravo Axa, I want my money and ciao!")</f>
        <v>The worst mutual insurance company that exists, I sent 50 invoices per fax per mail they receive nothing! When I check the addresses with them on the other hand everything is fine! There are problems everywhere: connection problem with LMDE student social security, they send me from service to service: Result I am waiting for my reimbursements 2016 and 2018 or 1000 euros and I still have nothing !!!! !! By cons I pay a ton every month! Bravo Axa, I want my money and ciao!</v>
      </c>
    </row>
    <row r="178" ht="15.75" customHeight="1">
      <c r="B178" s="2" t="s">
        <v>581</v>
      </c>
      <c r="C178" s="2" t="s">
        <v>582</v>
      </c>
      <c r="D178" s="2" t="s">
        <v>323</v>
      </c>
      <c r="E178" s="2" t="s">
        <v>14</v>
      </c>
      <c r="F178" s="2" t="s">
        <v>15</v>
      </c>
      <c r="G178" s="2" t="s">
        <v>583</v>
      </c>
      <c r="H178" s="2" t="s">
        <v>286</v>
      </c>
      <c r="I178" s="2" t="str">
        <f>IFERROR(__xludf.DUMMYFUNCTION("GOOGLETRANSLATE(C178,""fr"",""en"")"),"I did not receive my auto maturity notice (01/01). On 06/01 I claim it by RAR received on 08 by AXA. The 01/16 still no maturity or green card: what should we do?")</f>
        <v>I did not receive my auto maturity notice (01/01). On 06/01 I claim it by RAR received on 08 by AXA. The 01/16 still no maturity or green card: what should we do?</v>
      </c>
    </row>
    <row r="179" ht="15.75" customHeight="1">
      <c r="B179" s="2" t="s">
        <v>584</v>
      </c>
      <c r="C179" s="2" t="s">
        <v>585</v>
      </c>
      <c r="D179" s="2" t="s">
        <v>323</v>
      </c>
      <c r="E179" s="2" t="s">
        <v>14</v>
      </c>
      <c r="F179" s="2" t="s">
        <v>15</v>
      </c>
      <c r="G179" s="2" t="s">
        <v>586</v>
      </c>
      <c r="H179" s="2" t="s">
        <v>587</v>
      </c>
      <c r="I179" s="2" t="str">
        <f>IFERROR(__xludf.DUMMYFUNCTION("GOOGLETRANSLATE(C179,""fr"",""en"")"),"Here is what happened to me and the answer: it is the fault of others. Assistance to flee
Purpose: letter of complaint
Dear
By this letter I want to formulate my total dissatisfaction with your assistance service. Indeed on November 26, 2017 I call on "&amp;"this service following a traffic accident of which I am the victim on the XXX commune of XXX (02).
Around 1:00 p.m. - 1:30 p.m. I call through my laptop at your service. A convenience store is imposed on me, and it is indicated to me that it will only "&amp;"be on site in about an hour, since it is located in Reims (51). It is also told that a repatriation solution is sought.
I am contacted by the assistance which announces to me that no vehicle rental solution is possible. However, it is possible to repatri"&amp;"ate by the train. A schedule is communicated to me for an XXXXX - XXXXXX route via Paris.
About an hour after the convenience store arrives there. It tells me that my vehicle is in a ditch and that it will have to carry out the winning, announcing that t"&amp;"his operation is expensive and not supported by my assistance. He also tells me that he must go and recover another troubleshooting vehicle, extending the intervention time again.
This convenience store reminds me of indicating, after verification, that "&amp;"the amount of the winch is around € 240. He tells me that payment must be made by check. Having only my bank card I tell him that this is not possible for me. As a result, the convenience store tells me that he will, after troubleshooting, transport me to"&amp;" his garage to allow me to pay by CB.
As a result, thinking of going to the XXX region, I remind the assistance to ask him to modify my repatriation from the XXXX station to that of Reims.
Around 3:00 p.m. (I don't know exactly) my vehicle came out of t"&amp;"he ditch. I therefore join the garage and carry out the payment of € 247 83 by bank card.
A taxi takes me to Reims station to take a train at 5:14 p.m. I arrive at around 4:55 p.m. and present myself at the counter to recover my transport title. At that "&amp;"time I learn that I am not at the right station. That my train leaves from Reims Center station and that I am at the second station in Reims. I also learn that it is not possible to make the trip in 15 minutes to return to this famous second station.
So "&amp;"I appeal to the assistance again and tell him the mishap which I am again victim. I indicate that you have to find a solution for I can go home. I am told that I’m going to reserve a new ticket again. Finally I am indicated the new schedules, in this case"&amp;" 6:20 p.m. for an arrival at 9:16 p.m. to XXXXX. So 01:20 am waiting at Reims station. I share my dissatisfaction and my interlocutor repeatedly repeats me ""it's like that, I can't do anything"". To date, I’m still waiting for the code for my new ticket."&amp;" I find it ""scandalous"". I managed alone with the SNCF to be able to obtain a new transport title.
These numerous dysfunctions are not up to the task that any customer can expect from their assistance. But it's not over:
Having no news as to my Audi"&amp;" TT vehicle and in particular at its discount location, I call your service again on November 28, 2017. I am indicated that it is at the ""XXXX garage at XXXXXX, 03.23. XXXXXX ”having difficulty understanding my interlocutor because of his pronounced acce"&amp;"nt, I must make him repeat.
 So I contact the communicated number. I discover that this number is not the right one. I come across an accounting cabinet, which tells me that it is not the first time that he has this kind of call !!!!!!!
I then decide to"&amp;" do internet research to find the contact details of the XXXXX garage in XXXXX. There I discover that he does not exist !!!!!!!
I then decide to call all the garages of xxxxxxx. In the end I discover that my vehicle is at the Renault garage, avenue d'E"&amp;"ssomes at XXXXXX, tel: 03.23.xxxxx, look for the error !!!!!
Conclusion: The list of multiple dysfunctions of your service is not exhaustive, I think I have forgotten. However, they are a reflection of services that are not up to the image you want to "&amp;"disseminate from your company.
I consider myself a victim in this case. First of all of the sum that I had to pay (247 € 83), I think that when a customer subscribes to assistance in the context of an automotive insurance contract, he does not expect to "&amp;"have to pay such a sum On a simple and current accident of road traffic. There was no difficulty in taking care of my vehicle. He was released and taken into account in less than 10 minutes. Then on the follow -up and the answers that have been given to m"&amp;"e, I simply believe that they are completely zero. As well as the quality of dialogue of some of my interlocutors. Indeed the tone used, the accent pronounced and the response ""I can do nothing"" are not appropriate to the situation in which I was.
So t"&amp;"o summarize I lost a full day. I waited in the cold for several hours without being able to eat. I underwent an anxiety -provoking situation, and all this for the modest sum of € 247 83 !!!!
I hope that my complaints are taken into account, that you co"&amp;"nceive that the situation is not normal and that the damage suffered consequently. With regard to any compensation proposals that you may submit to me, I reserve the right to initiate a procedure against you.
Please accept, madam, sir my sincere greeti"&amp;"ngs.
A XXXX, November 29, 2017")</f>
        <v>Here is what happened to me and the answer: it is the fault of others. Assistance to flee
Purpose: letter of complaint
Dear
By this letter I want to formulate my total dissatisfaction with your assistance service. Indeed on November 26, 2017 I call on this service following a traffic accident of which I am the victim on the XXX commune of XXX (02).
Around 1:00 p.m. - 1:30 p.m. I call through my laptop at your service. A convenience store is imposed on me, and it is indicated to me that it will only be on site in about an hour, since it is located in Reims (51). It is also told that a repatriation solution is sought.
I am contacted by the assistance which announces to me that no vehicle rental solution is possible. However, it is possible to repatriate by the train. A schedule is communicated to me for an XXXXX - XXXXXX route via Paris.
About an hour after the convenience store arrives there. It tells me that my vehicle is in a ditch and that it will have to carry out the winning, announcing that this operation is expensive and not supported by my assistance. He also tells me that he must go and recover another troubleshooting vehicle, extending the intervention time again.
This convenience store reminds me of indicating, after verification, that the amount of the winch is around € 240. He tells me that payment must be made by check. Having only my bank card I tell him that this is not possible for me. As a result, the convenience store tells me that he will, after troubleshooting, transport me to his garage to allow me to pay by CB.
As a result, thinking of going to the XXX region, I remind the assistance to ask him to modify my repatriation from the XXXX station to that of Reims.
Around 3:00 p.m. (I don't know exactly) my vehicle came out of the ditch. I therefore join the garage and carry out the payment of € 247 83 by bank card.
A taxi takes me to Reims station to take a train at 5:14 p.m. I arrive at around 4:55 p.m. and present myself at the counter to recover my transport title. At that time I learn that I am not at the right station. That my train leaves from Reims Center station and that I am at the second station in Reims. I also learn that it is not possible to make the trip in 15 minutes to return to this famous second station.
So I appeal to the assistance again and tell him the mishap which I am again victim. I indicate that you have to find a solution for I can go home. I am told that I’m going to reserve a new ticket again. Finally I am indicated the new schedules, in this case 6:20 p.m. for an arrival at 9:16 p.m. to XXXXX. So 01:20 am waiting at Reims station. I share my dissatisfaction and my interlocutor repeatedly repeats me "it's like that, I can't do anything". To date, I’m still waiting for the code for my new ticket. I find it "scandalous". I managed alone with the SNCF to be able to obtain a new transport title.
These numerous dysfunctions are not up to the task that any customer can expect from their assistance. But it's not over:
Having no news as to my Audi TT vehicle and in particular at its discount location, I call your service again on November 28, 2017. I am indicated that it is at the "XXXX garage at XXXXXX, 03.23. XXXXXX ”having difficulty understanding my interlocutor because of his pronounced accent, I must make him repeat.
 So I contact the communicated number. I discover that this number is not the right one. I come across an accounting cabinet, which tells me that it is not the first time that he has this kind of call !!!!!!!
I then decide to do internet research to find the contact details of the XXXXX garage in XXXXX. There I discover that he does not exist !!!!!!!
I then decide to call all the garages of xxxxxxx. In the end I discover that my vehicle is at the Renault garage, avenue d'Essomes at XXXXXX, tel: 03.23.xxxxx, look for the error !!!!!
Conclusion: The list of multiple dysfunctions of your service is not exhaustive, I think I have forgotten. However, they are a reflection of services that are not up to the image you want to disseminate from your company.
I consider myself a victim in this case. First of all of the sum that I had to pay (247 € 83), I think that when a customer subscribes to assistance in the context of an automotive insurance contract, he does not expect to have to pay such a sum On a simple and current accident of road traffic. There was no difficulty in taking care of my vehicle. He was released and taken into account in less than 10 minutes. Then on the follow -up and the answers that have been given to me, I simply believe that they are completely zero. As well as the quality of dialogue of some of my interlocutors. Indeed the tone used, the accent pronounced and the response "I can do nothing" are not appropriate to the situation in which I was.
So to summarize I lost a full day. I waited in the cold for several hours without being able to eat. I underwent an anxiety -provoking situation, and all this for the modest sum of € 247 83 !!!!
I hope that my complaints are taken into account, that you conceive that the situation is not normal and that the damage suffered consequently. With regard to any compensation proposals that you may submit to me, I reserve the right to initiate a procedure against you.
Please accept, madam, sir my sincere greetings.
A XXXX, November 29, 2017</v>
      </c>
    </row>
    <row r="180" ht="15.75" customHeight="1">
      <c r="B180" s="2" t="s">
        <v>588</v>
      </c>
      <c r="C180" s="2" t="s">
        <v>589</v>
      </c>
      <c r="D180" s="2" t="s">
        <v>323</v>
      </c>
      <c r="E180" s="2" t="s">
        <v>14</v>
      </c>
      <c r="F180" s="2" t="s">
        <v>15</v>
      </c>
      <c r="G180" s="2" t="s">
        <v>590</v>
      </c>
      <c r="H180" s="2" t="s">
        <v>587</v>
      </c>
      <c r="I180" s="2" t="str">
        <f>IFERROR(__xludf.DUMMYFUNCTION("GOOGLETRANSLATE(C180,""fr"",""en"")"),"An astonishing price increase when I did not have a responsible accident last year. I change my insurance! Customer service is rather competent. Unfortunately, that is not enough ...")</f>
        <v>An astonishing price increase when I did not have a responsible accident last year. I change my insurance! Customer service is rather competent. Unfortunately, that is not enough ...</v>
      </c>
    </row>
    <row r="181" ht="15.75" customHeight="1">
      <c r="B181" s="2" t="s">
        <v>591</v>
      </c>
      <c r="C181" s="2" t="s">
        <v>592</v>
      </c>
      <c r="D181" s="2" t="s">
        <v>323</v>
      </c>
      <c r="E181" s="2" t="s">
        <v>14</v>
      </c>
      <c r="F181" s="2" t="s">
        <v>15</v>
      </c>
      <c r="G181" s="2" t="s">
        <v>593</v>
      </c>
      <c r="H181" s="2" t="s">
        <v>293</v>
      </c>
      <c r="I181" s="2" t="str">
        <f>IFERROR(__xludf.DUMMYFUNCTION("GOOGLETRANSLATE(C181,""fr"",""en"")"),"11 years old insured, 0 declared sinister, until September backwards in parking, displays me in a file of insurance fraud, first claim in 11 years on a car of € 3000")</f>
        <v>11 years old insured, 0 declared sinister, until September backwards in parking, displays me in a file of insurance fraud, first claim in 11 years on a car of € 3000</v>
      </c>
    </row>
    <row r="182" ht="15.75" customHeight="1">
      <c r="B182" s="2" t="s">
        <v>594</v>
      </c>
      <c r="C182" s="2" t="s">
        <v>595</v>
      </c>
      <c r="D182" s="2" t="s">
        <v>323</v>
      </c>
      <c r="E182" s="2" t="s">
        <v>14</v>
      </c>
      <c r="F182" s="2" t="s">
        <v>15</v>
      </c>
      <c r="G182" s="2" t="s">
        <v>596</v>
      </c>
      <c r="H182" s="2" t="s">
        <v>293</v>
      </c>
      <c r="I182" s="2" t="str">
        <f>IFERROR(__xludf.DUMMYFUNCTION("GOOGLETRANSLATE(C182,""fr"",""en"")"),"Very bad service, see nonexistent! Very unhappy contacts. You absolutely do not feel in charge. On the contrary, we always have the feeling that OXA is trying to take out his obligations.
To put it simply, two small accidents in law and with omnium: AXA "&amp;"has not paid a penny ... and let's not talk about follow -up ...")</f>
        <v>Very bad service, see nonexistent! Very unhappy contacts. You absolutely do not feel in charge. On the contrary, we always have the feeling that OXA is trying to take out his obligations.
To put it simply, two small accidents in law and with omnium: AXA has not paid a penny ... and let's not talk about follow -up ...</v>
      </c>
    </row>
    <row r="183" ht="15.75" customHeight="1">
      <c r="B183" s="2" t="s">
        <v>597</v>
      </c>
      <c r="C183" s="2" t="s">
        <v>598</v>
      </c>
      <c r="D183" s="2" t="s">
        <v>323</v>
      </c>
      <c r="E183" s="2" t="s">
        <v>14</v>
      </c>
      <c r="F183" s="2" t="s">
        <v>15</v>
      </c>
      <c r="G183" s="2" t="s">
        <v>599</v>
      </c>
      <c r="H183" s="2" t="s">
        <v>297</v>
      </c>
      <c r="I183" s="2" t="str">
        <f>IFERROR(__xludf.DUMMYFUNCTION("GOOGLETRANSLATE(C183,""fr"",""en"")"),"satisfied but the file is not finished to date the repair has just been done")</f>
        <v>satisfied but the file is not finished to date the repair has just been done</v>
      </c>
    </row>
    <row r="184" ht="15.75" customHeight="1">
      <c r="B184" s="2" t="s">
        <v>600</v>
      </c>
      <c r="C184" s="2" t="s">
        <v>601</v>
      </c>
      <c r="D184" s="2" t="s">
        <v>323</v>
      </c>
      <c r="E184" s="2" t="s">
        <v>14</v>
      </c>
      <c r="F184" s="2" t="s">
        <v>15</v>
      </c>
      <c r="G184" s="2" t="s">
        <v>602</v>
      </c>
      <c r="H184" s="2" t="s">
        <v>297</v>
      </c>
      <c r="I184" s="2" t="str">
        <f>IFERROR(__xludf.DUMMYFUNCTION("GOOGLETRANSLATE(C184,""fr"",""en"")"),"Very disappointed with Axa for years at Axa 2 cars La Maison and assurance of children never of car accidents every year it does not increase, being a good driver is useless my wife has already part of wells 1 year old Axa with home insurance and children"&amp;" and his car there's only my car at Axa but in not long I will change its use to no faithful remains loyal")</f>
        <v>Very disappointed with Axa for years at Axa 2 cars La Maison and assurance of children never of car accidents every year it does not increase, being a good driver is useless my wife has already part of wells 1 year old Axa with home insurance and children and his car there's only my car at Axa but in not long I will change its use to no faithful remains loyal</v>
      </c>
    </row>
    <row r="185" ht="15.75" customHeight="1">
      <c r="B185" s="2" t="s">
        <v>603</v>
      </c>
      <c r="C185" s="2" t="s">
        <v>604</v>
      </c>
      <c r="D185" s="2" t="s">
        <v>323</v>
      </c>
      <c r="E185" s="2" t="s">
        <v>14</v>
      </c>
      <c r="F185" s="2" t="s">
        <v>15</v>
      </c>
      <c r="G185" s="2" t="s">
        <v>605</v>
      </c>
      <c r="H185" s="2" t="s">
        <v>297</v>
      </c>
      <c r="I185" s="2" t="str">
        <f>IFERROR(__xludf.DUMMYFUNCTION("GOOGLETRANSLATE(C185,""fr"",""en"")"),"Well a good assurance that meets my expectations I have no concerns with them are very efficient just the appointments a little long to my lack of availability")</f>
        <v>Well a good assurance that meets my expectations I have no concerns with them are very efficient just the appointments a little long to my lack of availability</v>
      </c>
    </row>
    <row r="186" ht="15.75" customHeight="1">
      <c r="B186" s="2" t="s">
        <v>606</v>
      </c>
      <c r="C186" s="2" t="s">
        <v>607</v>
      </c>
      <c r="D186" s="2" t="s">
        <v>323</v>
      </c>
      <c r="E186" s="2" t="s">
        <v>14</v>
      </c>
      <c r="F186" s="2" t="s">
        <v>15</v>
      </c>
      <c r="G186" s="2" t="s">
        <v>608</v>
      </c>
      <c r="H186" s="2" t="s">
        <v>297</v>
      </c>
      <c r="I186" s="2" t="str">
        <f>IFERROR(__xludf.DUMMYFUNCTION("GOOGLETRANSLATE(C186,""fr"",""en"")"),"I just received my call for subscription +45% increase.
I went to see my advisor who cannot give me the reason according to him it is the seat that makes the prices ...
In addition when I ask him for an information statement I see noted in 2016 a non -r"&amp;"esponsible material accident when it was the consequences of hail his answer is the same!
")</f>
        <v>I just received my call for subscription +45% increase.
I went to see my advisor who cannot give me the reason according to him it is the seat that makes the prices ...
In addition when I ask him for an information statement I see noted in 2016 a non -responsible material accident when it was the consequences of hail his answer is the same!
</v>
      </c>
    </row>
    <row r="187" ht="15.75" customHeight="1">
      <c r="B187" s="2" t="s">
        <v>609</v>
      </c>
      <c r="C187" s="2" t="s">
        <v>610</v>
      </c>
      <c r="D187" s="2" t="s">
        <v>323</v>
      </c>
      <c r="E187" s="2" t="s">
        <v>14</v>
      </c>
      <c r="F187" s="2" t="s">
        <v>15</v>
      </c>
      <c r="G187" s="2" t="s">
        <v>611</v>
      </c>
      <c r="H187" s="2" t="s">
        <v>297</v>
      </c>
      <c r="I187" s="2" t="str">
        <f>IFERROR(__xludf.DUMMYFUNCTION("GOOGLETRANSLATE(C187,""fr"",""en"")"),"Good times to flee urgently! A self -parking loss and we treat you as a liar. What regret to have subscribed to AXA. Termination of the first deadline. In 20 years of insurance elsewhere never any concern and an almost max bonus. Farewell axa, and I will "&amp;"do all my best so that all those around me do the same to believe me.")</f>
        <v>Good times to flee urgently! A self -parking loss and we treat you as a liar. What regret to have subscribed to AXA. Termination of the first deadline. In 20 years of insurance elsewhere never any concern and an almost max bonus. Farewell axa, and I will do all my best so that all those around me do the same to believe me.</v>
      </c>
    </row>
    <row r="188" ht="15.75" customHeight="1">
      <c r="B188" s="2" t="s">
        <v>612</v>
      </c>
      <c r="C188" s="2" t="s">
        <v>613</v>
      </c>
      <c r="D188" s="2" t="s">
        <v>323</v>
      </c>
      <c r="E188" s="2" t="s">
        <v>14</v>
      </c>
      <c r="F188" s="2" t="s">
        <v>15</v>
      </c>
      <c r="G188" s="2" t="s">
        <v>614</v>
      </c>
      <c r="H188" s="2" t="s">
        <v>297</v>
      </c>
      <c r="I188" s="2" t="str">
        <f>IFERROR(__xludf.DUMMYFUNCTION("GOOGLETRANSLATE(C188,""fr"",""en"")"),"Client at Axa, I am covered by the Greeting of Ice (sunroof included) I had a disaster on August 30 and obviously it has been waiting for this date (apparently) the opinion of the expert. Even after the latter has given his opinion and report. I rather th"&amp;"ink that AXA is a very bad assurance that seeks to respect its contract a minimim as long as you pay like sheep every month. A word of advice: flee this insurance like the plague")</f>
        <v>Client at Axa, I am covered by the Greeting of Ice (sunroof included) I had a disaster on August 30 and obviously it has been waiting for this date (apparently) the opinion of the expert. Even after the latter has given his opinion and report. I rather think that AXA is a very bad assurance that seeks to respect its contract a minimim as long as you pay like sheep every month. A word of advice: flee this insurance like the plague</v>
      </c>
    </row>
    <row r="189" ht="15.75" customHeight="1">
      <c r="B189" s="2" t="s">
        <v>615</v>
      </c>
      <c r="C189" s="2" t="s">
        <v>616</v>
      </c>
      <c r="D189" s="2" t="s">
        <v>323</v>
      </c>
      <c r="E189" s="2" t="s">
        <v>14</v>
      </c>
      <c r="F189" s="2" t="s">
        <v>15</v>
      </c>
      <c r="G189" s="2" t="s">
        <v>617</v>
      </c>
      <c r="H189" s="2" t="s">
        <v>297</v>
      </c>
      <c r="I189" s="2" t="str">
        <f>IFERROR(__xludf.DUMMYFUNCTION("GOOGLETRANSLATE(C189,""fr"",""en"")"),"It's been 2 months since I expect the appointment of an expert to repair my vehicle! It's incomprehensible. After 25 years of insurance in this compania, I will urgently have to change.")</f>
        <v>It's been 2 months since I expect the appointment of an expert to repair my vehicle! It's incomprehensible. After 25 years of insurance in this compania, I will urgently have to change.</v>
      </c>
    </row>
    <row r="190" ht="15.75" customHeight="1">
      <c r="B190" s="2" t="s">
        <v>618</v>
      </c>
      <c r="C190" s="2" t="s">
        <v>619</v>
      </c>
      <c r="D190" s="2" t="s">
        <v>323</v>
      </c>
      <c r="E190" s="2" t="s">
        <v>14</v>
      </c>
      <c r="F190" s="2" t="s">
        <v>15</v>
      </c>
      <c r="G190" s="2" t="s">
        <v>620</v>
      </c>
      <c r="H190" s="2" t="s">
        <v>297</v>
      </c>
      <c r="I190" s="2" t="str">
        <f>IFERROR(__xludf.DUMMYFUNCTION("GOOGLETRANSLATE(C190,""fr"",""en"")"),"I have been a client Axa since 1995: I have always been very satisfied; In the event of a problem, my agent is always reachable including weekends; In case of modification in my car contracts, everything is always fast and clear and the prices are advanta"&amp;"geous. Frankly for my part I have an agent and his secretary very involved and always good advice. They do everything for customers to be satisfied. My son will pass his license and I will recommend my agency for his car insurance.")</f>
        <v>I have been a client Axa since 1995: I have always been very satisfied; In the event of a problem, my agent is always reachable including weekends; In case of modification in my car contracts, everything is always fast and clear and the prices are advantageous. Frankly for my part I have an agent and his secretary very involved and always good advice. They do everything for customers to be satisfied. My son will pass his license and I will recommend my agency for his car insurance.</v>
      </c>
    </row>
    <row r="191" ht="15.75" customHeight="1">
      <c r="B191" s="2" t="s">
        <v>621</v>
      </c>
      <c r="C191" s="2" t="s">
        <v>622</v>
      </c>
      <c r="D191" s="2" t="s">
        <v>323</v>
      </c>
      <c r="E191" s="2" t="s">
        <v>14</v>
      </c>
      <c r="F191" s="2" t="s">
        <v>15</v>
      </c>
      <c r="G191" s="2" t="s">
        <v>623</v>
      </c>
      <c r="H191" s="2" t="s">
        <v>297</v>
      </c>
      <c r="I191" s="2" t="str">
        <f>IFERROR(__xludf.DUMMYFUNCTION("GOOGLETRANSLATE(C191,""fr"",""en"")"),"I really regret having taken out car insurance with them. Do not make the same mistake.")</f>
        <v>I really regret having taken out car insurance with them. Do not make the same mistake.</v>
      </c>
    </row>
    <row r="192" ht="15.75" customHeight="1">
      <c r="B192" s="2" t="s">
        <v>624</v>
      </c>
      <c r="C192" s="2" t="s">
        <v>625</v>
      </c>
      <c r="D192" s="2" t="s">
        <v>323</v>
      </c>
      <c r="E192" s="2" t="s">
        <v>14</v>
      </c>
      <c r="F192" s="2" t="s">
        <v>15</v>
      </c>
      <c r="G192" s="2" t="s">
        <v>626</v>
      </c>
      <c r="H192" s="2" t="s">
        <v>301</v>
      </c>
      <c r="I192" s="2" t="str">
        <f>IFERROR(__xludf.DUMMYFUNCTION("GOOGLETRANSLATE(C192,""fr"",""en"")"),"Paying 200 € euros per month for 2 years. I say I change my windshield and I was accused of lying in front of all the agency's clientele. A haughty manager who looks at you high and thinks that in his money.
Agency **** at *** to flee !!!")</f>
        <v>Paying 200 € euros per month for 2 years. I say I change my windshield and I was accused of lying in front of all the agency's clientele. A haughty manager who looks at you high and thinks that in his money.
Agency **** at *** to flee !!!</v>
      </c>
    </row>
    <row r="193" ht="15.75" customHeight="1">
      <c r="B193" s="2" t="s">
        <v>627</v>
      </c>
      <c r="C193" s="2" t="s">
        <v>628</v>
      </c>
      <c r="D193" s="2" t="s">
        <v>323</v>
      </c>
      <c r="E193" s="2" t="s">
        <v>14</v>
      </c>
      <c r="F193" s="2" t="s">
        <v>15</v>
      </c>
      <c r="G193" s="2" t="s">
        <v>629</v>
      </c>
      <c r="H193" s="2" t="s">
        <v>301</v>
      </c>
      <c r="I193" s="2" t="str">
        <f>IFERROR(__xludf.DUMMYFUNCTION("GOOGLETRANSLATE(C193,""fr"",""en"")"),"Very very correct insurance quite good overall with + and - ...
Convincing enough to negotiate prices and listening to these very correct insurance interlocutors")</f>
        <v>Very very correct insurance quite good overall with + and - ...
Convincing enough to negotiate prices and listening to these very correct insurance interlocutors</v>
      </c>
    </row>
    <row r="194" ht="15.75" customHeight="1">
      <c r="B194" s="2" t="s">
        <v>630</v>
      </c>
      <c r="C194" s="2" t="s">
        <v>631</v>
      </c>
      <c r="D194" s="2" t="s">
        <v>323</v>
      </c>
      <c r="E194" s="2" t="s">
        <v>14</v>
      </c>
      <c r="F194" s="2" t="s">
        <v>15</v>
      </c>
      <c r="G194" s="2" t="s">
        <v>632</v>
      </c>
      <c r="H194" s="2" t="s">
        <v>633</v>
      </c>
      <c r="I194" s="2" t="str">
        <f>IFERROR(__xludf.DUMMYFUNCTION("GOOGLETRANSLATE(C194,""fr"",""en"")"),"I have been a customer AXA Jolivet Limoges for more than 1 year with Ass school 3 A finally and Housing when I lived I made my change of address of a country city for Limoges 3mois before the renewal my insurer never told me about the 'Increase that goes "&amp;"from simple to 76 euros. By sending an amendment by email and asks me to sign it, I refused to sign this one.")</f>
        <v>I have been a customer AXA Jolivet Limoges for more than 1 year with Ass school 3 A finally and Housing when I lived I made my change of address of a country city for Limoges 3mois before the renewal my insurer never told me about the 'Increase that goes from simple to 76 euros. By sending an amendment by email and asks me to sign it, I refused to sign this one.</v>
      </c>
    </row>
    <row r="195" ht="15.75" customHeight="1">
      <c r="B195" s="2" t="s">
        <v>634</v>
      </c>
      <c r="C195" s="2" t="s">
        <v>635</v>
      </c>
      <c r="D195" s="2" t="s">
        <v>323</v>
      </c>
      <c r="E195" s="2" t="s">
        <v>14</v>
      </c>
      <c r="F195" s="2" t="s">
        <v>15</v>
      </c>
      <c r="G195" s="2" t="s">
        <v>632</v>
      </c>
      <c r="H195" s="2" t="s">
        <v>633</v>
      </c>
      <c r="I195" s="2" t="str">
        <f>IFERROR(__xludf.DUMMYFUNCTION("GOOGLETRANSLATE(C195,""fr"",""en"")"),"I have been a customer AXA Jolivet Limoges for more than 1 year with Ass school 3 A finally and Housing when I lived I made my change of address of a country city for Limoges 3mois before the renewal my insurer never told me about the 'Increase that goes "&amp;"from simple to 76 euros. By sending an amendment by email and asks me to sign it, I refused to sign this one.")</f>
        <v>I have been a customer AXA Jolivet Limoges for more than 1 year with Ass school 3 A finally and Housing when I lived I made my change of address of a country city for Limoges 3mois before the renewal my insurer never told me about the 'Increase that goes from simple to 76 euros. By sending an amendment by email and asks me to sign it, I refused to sign this one.</v>
      </c>
    </row>
    <row r="196" ht="15.75" customHeight="1">
      <c r="B196" s="2" t="s">
        <v>636</v>
      </c>
      <c r="C196" s="2" t="s">
        <v>637</v>
      </c>
      <c r="D196" s="2" t="s">
        <v>323</v>
      </c>
      <c r="E196" s="2" t="s">
        <v>14</v>
      </c>
      <c r="F196" s="2" t="s">
        <v>15</v>
      </c>
      <c r="G196" s="2" t="s">
        <v>638</v>
      </c>
      <c r="H196" s="2" t="s">
        <v>633</v>
      </c>
      <c r="I196" s="2" t="str">
        <f>IFERROR(__xludf.DUMMYFUNCTION("GOOGLETRANSLATE(C196,""fr"",""en"")"),"accident on April 13 in law of course old car !!!!! Good for breakage we had to take care of contacts with the expert ourselves, contact with the breakage to take the vehicle. Surprise not to have a refund frequent calls to the agency no response finally "&amp;"an answer, we post your check this Friday June 9 !!! nothing !!! visit to the agency it is not us it is the Center of Nanterre !!!! You will have it this week !!!!! Finally !!! hope !!!!!")</f>
        <v>accident on April 13 in law of course old car !!!!! Good for breakage we had to take care of contacts with the expert ourselves, contact with the breakage to take the vehicle. Surprise not to have a refund frequent calls to the agency no response finally an answer, we post your check this Friday June 9 !!! nothing !!! visit to the agency it is not us it is the Center of Nanterre !!!! You will have it this week !!!!! Finally !!! hope !!!!!</v>
      </c>
    </row>
    <row r="197" ht="15.75" customHeight="1">
      <c r="B197" s="2" t="s">
        <v>639</v>
      </c>
      <c r="C197" s="2" t="s">
        <v>640</v>
      </c>
      <c r="D197" s="2" t="s">
        <v>323</v>
      </c>
      <c r="E197" s="2" t="s">
        <v>14</v>
      </c>
      <c r="F197" s="2" t="s">
        <v>15</v>
      </c>
      <c r="G197" s="2" t="s">
        <v>641</v>
      </c>
      <c r="H197" s="2" t="s">
        <v>633</v>
      </c>
      <c r="I197" s="2" t="str">
        <f>IFERROR(__xludf.DUMMYFUNCTION("GOOGLETRANSLATE(C197,""fr"",""en"")"),"Please note, AXA France Internet does not provide trailer of more than 750kg. Avoid subscribing on the internet, go to an AXA agent you will not have a problem. If unfortunately you have, you can twist him in live lol !!!")</f>
        <v>Please note, AXA France Internet does not provide trailer of more than 750kg. Avoid subscribing on the internet, go to an AXA agent you will not have a problem. If unfortunately you have, you can twist him in live lol !!!</v>
      </c>
    </row>
    <row r="198" ht="15.75" customHeight="1">
      <c r="B198" s="2" t="s">
        <v>642</v>
      </c>
      <c r="C198" s="2" t="s">
        <v>643</v>
      </c>
      <c r="D198" s="2" t="s">
        <v>323</v>
      </c>
      <c r="E198" s="2" t="s">
        <v>14</v>
      </c>
      <c r="F198" s="2" t="s">
        <v>15</v>
      </c>
      <c r="G198" s="2" t="s">
        <v>641</v>
      </c>
      <c r="H198" s="2" t="s">
        <v>633</v>
      </c>
      <c r="I198" s="2" t="str">
        <f>IFERROR(__xludf.DUMMYFUNCTION("GOOGLETRANSLATE(C198,""fr"",""en"")"),"A week that I wait for your recall to repair my car, AXA is incompetent and dangerous as an insurer.
I was assisted in more than 2:30 am, call for assistance at 5:40 p.m. arrived at the garage at 8:30 p.m., the next day to have a rental car option miniva"&amp;"n not respected more than 3 hours of waiting at the rental company.")</f>
        <v>A week that I wait for your recall to repair my car, AXA is incompetent and dangerous as an insurer.
I was assisted in more than 2:30 am, call for assistance at 5:40 p.m. arrived at the garage at 8:30 p.m., the next day to have a rental car option minivan not respected more than 3 hours of waiting at the rental company.</v>
      </c>
    </row>
    <row r="199" ht="15.75" customHeight="1">
      <c r="B199" s="2" t="s">
        <v>644</v>
      </c>
      <c r="C199" s="2" t="s">
        <v>645</v>
      </c>
      <c r="D199" s="2" t="s">
        <v>323</v>
      </c>
      <c r="E199" s="2" t="s">
        <v>14</v>
      </c>
      <c r="F199" s="2" t="s">
        <v>15</v>
      </c>
      <c r="G199" s="2" t="s">
        <v>646</v>
      </c>
      <c r="H199" s="2" t="s">
        <v>647</v>
      </c>
      <c r="I199" s="2" t="str">
        <f>IFERROR(__xludf.DUMMYFUNCTION("GOOGLETRANSLATE(C199,""fr"",""en"")"),"One of the only insurers to be able to increase its prices from one year on the other by 52 % and yes, you read that right: 52 % !!! And yet without a change of guarantee. it is shameful
")</f>
        <v>One of the only insurers to be able to increase its prices from one year on the other by 52 % and yes, you read that right: 52 % !!! And yet without a change of guarantee. it is shameful
</v>
      </c>
    </row>
    <row r="200" ht="15.75" customHeight="1">
      <c r="B200" s="2" t="s">
        <v>648</v>
      </c>
      <c r="C200" s="2" t="s">
        <v>649</v>
      </c>
      <c r="D200" s="2" t="s">
        <v>323</v>
      </c>
      <c r="E200" s="2" t="s">
        <v>14</v>
      </c>
      <c r="F200" s="2" t="s">
        <v>15</v>
      </c>
      <c r="G200" s="2" t="s">
        <v>650</v>
      </c>
      <c r="H200" s="2" t="s">
        <v>651</v>
      </c>
      <c r="I200" s="2" t="str">
        <f>IFERROR(__xludf.DUMMYFUNCTION("GOOGLETRANSLATE(C200,""fr"",""en"")"),"With AXA, the pigeon hunt is open year -round! Prohibitive price, haughty advisers as possible, obstacle course in the event of claims and reduced reimbursements. We understand better that the company is doing so well.")</f>
        <v>With AXA, the pigeon hunt is open year -round! Prohibitive price, haughty advisers as possible, obstacle course in the event of claims and reduced reimbursements. We understand better that the company is doing so well.</v>
      </c>
    </row>
    <row r="201" ht="15.75" customHeight="1">
      <c r="B201" s="2" t="s">
        <v>652</v>
      </c>
      <c r="C201" s="2" t="s">
        <v>653</v>
      </c>
      <c r="D201" s="2" t="s">
        <v>323</v>
      </c>
      <c r="E201" s="2" t="s">
        <v>14</v>
      </c>
      <c r="F201" s="2" t="s">
        <v>15</v>
      </c>
      <c r="G201" s="2" t="s">
        <v>654</v>
      </c>
      <c r="H201" s="2" t="s">
        <v>309</v>
      </c>
      <c r="I201" s="2" t="str">
        <f>IFERROR(__xludf.DUMMYFUNCTION("GOOGLETRANSLATE(C201,""fr"",""en"")"),"To flee in the event of a claim in Europe! Since 12/22/2016 I await the right resolution of a claim during which a Belgian motorist stamped my car with his caravan attachment by backtracking ...). 1/Several reminders to have an appointment of expertise wh"&amp;"ich took place more than 15 days after and for telephone/email exchanges because the Department of International Regulations cannot defend its insured. The icing on the cake :-(, I have been advised to request an information statement, received this day a"&amp;"nd I see 100% responsible !!!!? My dissatisfaction is at its paroxysm ... To be continued ... The quality of the complaint service now ... I would give my opinion")</f>
        <v>To flee in the event of a claim in Europe! Since 12/22/2016 I await the right resolution of a claim during which a Belgian motorist stamped my car with his caravan attachment by backtracking ...). 1/Several reminders to have an appointment of expertise which took place more than 15 days after and for telephone/email exchanges because the Department of International Regulations cannot defend its insured. The icing on the cake :-(, I have been advised to request an information statement, received this day and I see 100% responsible !!!!? My dissatisfaction is at its paroxysm ... To be continued ... The quality of the complaint service now ... I would give my opinion</v>
      </c>
    </row>
    <row r="202" ht="15.75" customHeight="1">
      <c r="B202" s="2" t="s">
        <v>588</v>
      </c>
      <c r="C202" s="2" t="s">
        <v>655</v>
      </c>
      <c r="D202" s="2" t="s">
        <v>323</v>
      </c>
      <c r="E202" s="2" t="s">
        <v>14</v>
      </c>
      <c r="F202" s="2" t="s">
        <v>15</v>
      </c>
      <c r="G202" s="2" t="s">
        <v>656</v>
      </c>
      <c r="H202" s="2" t="s">
        <v>309</v>
      </c>
      <c r="I202" s="2" t="str">
        <f>IFERROR(__xludf.DUMMYFUNCTION("GOOGLETRANSLATE(C202,""fr"",""en"")"),"Good price level. On the other hand, a website that never works (sends email, payment of subscription, request for insurance certificate). The website is simply catastrophic. I will change insurance only for that")</f>
        <v>Good price level. On the other hand, a website that never works (sends email, payment of subscription, request for insurance certificate). The website is simply catastrophic. I will change insurance only for that</v>
      </c>
    </row>
    <row r="203" ht="15.75" customHeight="1">
      <c r="B203" s="2" t="s">
        <v>657</v>
      </c>
      <c r="C203" s="2" t="s">
        <v>658</v>
      </c>
      <c r="D203" s="2" t="s">
        <v>323</v>
      </c>
      <c r="E203" s="2" t="s">
        <v>14</v>
      </c>
      <c r="F203" s="2" t="s">
        <v>15</v>
      </c>
      <c r="G203" s="2" t="s">
        <v>659</v>
      </c>
      <c r="H203" s="2" t="s">
        <v>309</v>
      </c>
      <c r="I203" s="2" t="str">
        <f>IFERROR(__xludf.DUMMYFUNCTION("GOOGLETRANSLATE(C203,""fr"",""en"")"),"1 year that I am insured at AXA and frankly very disappointed the price to pay for an old car")</f>
        <v>1 year that I am insured at AXA and frankly very disappointed the price to pay for an old car</v>
      </c>
    </row>
    <row r="204" ht="15.75" customHeight="1">
      <c r="B204" s="2" t="s">
        <v>660</v>
      </c>
      <c r="C204" s="2" t="s">
        <v>661</v>
      </c>
      <c r="D204" s="2" t="s">
        <v>323</v>
      </c>
      <c r="E204" s="2" t="s">
        <v>14</v>
      </c>
      <c r="F204" s="2" t="s">
        <v>15</v>
      </c>
      <c r="G204" s="2" t="s">
        <v>662</v>
      </c>
      <c r="H204" s="2" t="s">
        <v>309</v>
      </c>
      <c r="I204" s="2" t="str">
        <f>IFERROR(__xludf.DUMMYFUNCTION("GOOGLETRANSLATE(C204,""fr"",""en"")"),"Correct and fast service")</f>
        <v>Correct and fast service</v>
      </c>
    </row>
    <row r="205" ht="15.75" customHeight="1">
      <c r="B205" s="2" t="s">
        <v>663</v>
      </c>
      <c r="C205" s="2" t="s">
        <v>664</v>
      </c>
      <c r="D205" s="2" t="s">
        <v>323</v>
      </c>
      <c r="E205" s="2" t="s">
        <v>14</v>
      </c>
      <c r="F205" s="2" t="s">
        <v>15</v>
      </c>
      <c r="G205" s="2" t="s">
        <v>665</v>
      </c>
      <c r="H205" s="2" t="s">
        <v>313</v>
      </c>
      <c r="I205" s="2" t="str">
        <f>IFERROR(__xludf.DUMMYFUNCTION("GOOGLETRANSLATE(C205,""fr"",""en"")"),"Very unhappy with this insurance which classifies the files without taking into account emails and photos in the event of a dispute, he considered you responsible you make you pay and depict you with their penalties.
In terms of insurance do not come to "&amp;"them")</f>
        <v>Very unhappy with this insurance which classifies the files without taking into account emails and photos in the event of a dispute, he considered you responsible you make you pay and depict you with their penalties.
In terms of insurance do not come to them</v>
      </c>
    </row>
    <row r="206" ht="15.75" customHeight="1">
      <c r="B206" s="2" t="s">
        <v>666</v>
      </c>
      <c r="C206" s="2" t="s">
        <v>667</v>
      </c>
      <c r="D206" s="2" t="s">
        <v>323</v>
      </c>
      <c r="E206" s="2" t="s">
        <v>14</v>
      </c>
      <c r="F206" s="2" t="s">
        <v>15</v>
      </c>
      <c r="G206" s="2" t="s">
        <v>668</v>
      </c>
      <c r="H206" s="2" t="s">
        <v>313</v>
      </c>
      <c r="I206" s="2" t="str">
        <f>IFERROR(__xludf.DUMMYFUNCTION("GOOGLETRANSLATE(C206,""fr"",""en"")"),"To flee like the plague. Use fallacious pretexts so as not to compensate in the event of a claim")</f>
        <v>To flee like the plague. Use fallacious pretexts so as not to compensate in the event of a claim</v>
      </c>
    </row>
    <row r="207" ht="15.75" customHeight="1">
      <c r="B207" s="2" t="s">
        <v>669</v>
      </c>
      <c r="C207" s="2" t="s">
        <v>670</v>
      </c>
      <c r="D207" s="2" t="s">
        <v>323</v>
      </c>
      <c r="E207" s="2" t="s">
        <v>14</v>
      </c>
      <c r="F207" s="2" t="s">
        <v>15</v>
      </c>
      <c r="G207" s="2" t="s">
        <v>671</v>
      </c>
      <c r="H207" s="2" t="s">
        <v>317</v>
      </c>
      <c r="I207" s="2" t="str">
        <f>IFERROR(__xludf.DUMMYFUNCTION("GOOGLETRANSLATE(C207,""fr"",""en"")"),"I am more than dissatisfied with AXA insurance for years I took all my insurance at home for in the end having in front of me only insurer imbued with their unprofessional people, no listening, no care of Files asking me limit to do the work in their plac"&amp;"e and what to misunderstand customers !!
Contracts at exorbitant prices for very few guarantees in the end. I absolutely do not recommend AXA insurance")</f>
        <v>I am more than dissatisfied with AXA insurance for years I took all my insurance at home for in the end having in front of me only insurer imbued with their unprofessional people, no listening, no care of Files asking me limit to do the work in their place and what to misunderstand customers !!
Contracts at exorbitant prices for very few guarantees in the end. I absolutely do not recommend AXA insurance</v>
      </c>
    </row>
    <row r="208" ht="15.75" customHeight="1">
      <c r="B208" s="2" t="s">
        <v>672</v>
      </c>
      <c r="C208" s="2" t="s">
        <v>673</v>
      </c>
      <c r="D208" s="2" t="s">
        <v>323</v>
      </c>
      <c r="E208" s="2" t="s">
        <v>14</v>
      </c>
      <c r="F208" s="2" t="s">
        <v>15</v>
      </c>
      <c r="G208" s="2" t="s">
        <v>671</v>
      </c>
      <c r="H208" s="2" t="s">
        <v>317</v>
      </c>
      <c r="I208" s="2" t="str">
        <f>IFERROR(__xludf.DUMMYFUNCTION("GOOGLETRANSLATE(C208,""fr"",""en"")"),"Hello
I wanted to tell you about my very bad experience at Axa.
Indeed, customer at AXA we have a lot of reimbursement concerns.
I have been on sick leave for 7 months caused by hernia discs and Axa does everything to avoid repaying my car credit.
W"&amp;"e have sent dozens of emails with each time the same documents we see a bad faith on their part they even go so far as to falsify the doctor's documents. We are in a painful situation and we feel insulted By this company which is supposed to be a symbol o"&amp;"f French success.
Each advisor to another version everything is done to avoid reimbursement.
Very angry with Axa because it has been going on for months.
")</f>
        <v>Hello
I wanted to tell you about my very bad experience at Axa.
Indeed, customer at AXA we have a lot of reimbursement concerns.
I have been on sick leave for 7 months caused by hernia discs and Axa does everything to avoid repaying my car credit.
We have sent dozens of emails with each time the same documents we see a bad faith on their part they even go so far as to falsify the doctor's documents. We are in a painful situation and we feel insulted By this company which is supposed to be a symbol of French success.
Each advisor to another version everything is done to avoid reimbursement.
Very angry with Axa because it has been going on for months.
</v>
      </c>
    </row>
    <row r="209" ht="15.75" customHeight="1">
      <c r="B209" s="2" t="s">
        <v>674</v>
      </c>
      <c r="C209" s="2" t="s">
        <v>675</v>
      </c>
      <c r="D209" s="2" t="s">
        <v>323</v>
      </c>
      <c r="E209" s="2" t="s">
        <v>14</v>
      </c>
      <c r="F209" s="2" t="s">
        <v>15</v>
      </c>
      <c r="G209" s="2" t="s">
        <v>676</v>
      </c>
      <c r="H209" s="2" t="s">
        <v>317</v>
      </c>
      <c r="I209" s="2" t="str">
        <f>IFERROR(__xludf.DUMMYFUNCTION("GOOGLETRANSLATE(C209,""fr"",""en"")"),"I have been sending me a bailiff twice when I had paid car insurance. Not listening to the customer, I wanted to change my agent, no response from AXA, even with a registered letter.
")</f>
        <v>I have been sending me a bailiff twice when I had paid car insurance. Not listening to the customer, I wanted to change my agent, no response from AXA, even with a registered letter.
</v>
      </c>
    </row>
    <row r="210" ht="15.75" customHeight="1">
      <c r="B210" s="2" t="s">
        <v>677</v>
      </c>
      <c r="C210" s="2" t="s">
        <v>678</v>
      </c>
      <c r="D210" s="2" t="s">
        <v>323</v>
      </c>
      <c r="E210" s="2" t="s">
        <v>14</v>
      </c>
      <c r="F210" s="2" t="s">
        <v>15</v>
      </c>
      <c r="G210" s="2" t="s">
        <v>679</v>
      </c>
      <c r="H210" s="2" t="s">
        <v>317</v>
      </c>
      <c r="I210" s="2" t="str">
        <f>IFERROR(__xludf.DUMMYFUNCTION("GOOGLETRANSLATE(C210,""fr"",""en"")"),"Victim of a motorcycle battery breakdown in the medoc so we are in France (Montalivet) I contact the assistance to find a solution, because pushing a 400 kg motorcycle is not easy ... and there discovery Or stupor The troubleshooting is only 150 euros so "&amp;"nobody wishes to come and help me except with payment of the supplement on my part! There is a bac to join the Honda dealer in Royan, not possible because the boat is not taken care of ... so I stay on the road to the road and find accommodation with frie"&amp;"nds. The next day the convenience store just put the cables to start and I hit the trip at my expense including the boat the lunch and evening meal and the return to change the battery .... so nice day with my spouse !!!!")</f>
        <v>Victim of a motorcycle battery breakdown in the medoc so we are in France (Montalivet) I contact the assistance to find a solution, because pushing a 400 kg motorcycle is not easy ... and there discovery Or stupor The troubleshooting is only 150 euros so nobody wishes to come and help me except with payment of the supplement on my part! There is a bac to join the Honda dealer in Royan, not possible because the boat is not taken care of ... so I stay on the road to the road and find accommodation with friends. The next day the convenience store just put the cables to start and I hit the trip at my expense including the boat the lunch and evening meal and the return to change the battery .... so nice day with my spouse !!!!</v>
      </c>
    </row>
    <row r="211" ht="15.75" customHeight="1">
      <c r="B211" s="2" t="s">
        <v>680</v>
      </c>
      <c r="C211" s="2" t="s">
        <v>681</v>
      </c>
      <c r="D211" s="2" t="s">
        <v>682</v>
      </c>
      <c r="E211" s="2" t="s">
        <v>14</v>
      </c>
      <c r="F211" s="2" t="s">
        <v>15</v>
      </c>
      <c r="G211" s="2" t="s">
        <v>683</v>
      </c>
      <c r="H211" s="2" t="s">
        <v>350</v>
      </c>
      <c r="I211" s="2" t="str">
        <f>IFERROR(__xludf.DUMMYFUNCTION("GOOGLETRANSLATE(C211,""fr"",""en"")"),"This is my opinion that was written following my personal experience and cannot therefore be Maaf's real reflection in general also this is in quotes because it is the reflection of my personal feelings. “Lack of professionalism, do not really follow busi"&amp;"ness and omit to keep you informed if you have a disaster ie as an accident on the public highway from to non -compliant metal plates. 6 months without news from my advisor who today contacts me and makes me understand that I must extract myself all alone"&amp;" ”")</f>
        <v>This is my opinion that was written following my personal experience and cannot therefore be Maaf's real reflection in general also this is in quotes because it is the reflection of my personal feelings. “Lack of professionalism, do not really follow business and omit to keep you informed if you have a disaster ie as an accident on the public highway from to non -compliant metal plates. 6 months without news from my advisor who today contacts me and makes me understand that I must extract myself all alone ”</v>
      </c>
    </row>
    <row r="212" ht="15.75" customHeight="1">
      <c r="B212" s="2" t="s">
        <v>684</v>
      </c>
      <c r="C212" s="2" t="s">
        <v>685</v>
      </c>
      <c r="D212" s="2" t="s">
        <v>682</v>
      </c>
      <c r="E212" s="2" t="s">
        <v>14</v>
      </c>
      <c r="F212" s="2" t="s">
        <v>15</v>
      </c>
      <c r="G212" s="2" t="s">
        <v>686</v>
      </c>
      <c r="H212" s="2" t="s">
        <v>325</v>
      </c>
      <c r="I212" s="2" t="str">
        <f>IFERROR(__xludf.DUMMYFUNCTION("GOOGLETRANSLATE(C212,""fr"",""en"")"),"We changed my insurer in March, cars, houses, school insurance, etc.
In September we inform the assurance that my husband designated as a second driver on the 2 cars (MR had a company vehicle) to cancel his license for defects of points (no blood alcohol"&amp;" or anything aggravating), these are Things that can happen to everyone when you drive a lot professionally.
The advisor reminded me by telling me that they will inflict me on my assurances. Something that I absolutely do not understand. A deadline has g"&amp;"one from around 40 euros to more than 150 euros, I did not leave this vehicle insured at home since the vehicle was recently, on the other hand I have no choice but to leave my other contracts . All this by telling me that I am made a flower because norma"&amp;"lly the insurance could terminate all my contracts when these contracts are precisely all in my name and not in the name of my husband, as well as the gray cards of the vehicles.
They are strong to get us to change all our insurance to come to their home"&amp;"s but after there is no one left, we are treated as less than nothing. Extremely disappointed I never had a problem with my old insurance. As soon as I can put an end to all my contracts I will do it without hesitation, I no longer have confidence in this"&amp;" insurance and still I did not tell you about the amount of samples before this increased story of 30 euros as per magic!
It is unacceptable to treat customers in this way ... Insurance to flee!
")</f>
        <v>We changed my insurer in March, cars, houses, school insurance, etc.
In September we inform the assurance that my husband designated as a second driver on the 2 cars (MR had a company vehicle) to cancel his license for defects of points (no blood alcohol or anything aggravating), these are Things that can happen to everyone when you drive a lot professionally.
The advisor reminded me by telling me that they will inflict me on my assurances. Something that I absolutely do not understand. A deadline has gone from around 40 euros to more than 150 euros, I did not leave this vehicle insured at home since the vehicle was recently, on the other hand I have no choice but to leave my other contracts . All this by telling me that I am made a flower because normally the insurance could terminate all my contracts when these contracts are precisely all in my name and not in the name of my husband, as well as the gray cards of the vehicles.
They are strong to get us to change all our insurance to come to their homes but after there is no one left, we are treated as less than nothing. Extremely disappointed I never had a problem with my old insurance. As soon as I can put an end to all my contracts I will do it without hesitation, I no longer have confidence in this insurance and still I did not tell you about the amount of samples before this increased story of 30 euros as per magic!
It is unacceptable to treat customers in this way ... Insurance to flee!
</v>
      </c>
    </row>
    <row r="213" ht="15.75" customHeight="1">
      <c r="B213" s="2" t="s">
        <v>687</v>
      </c>
      <c r="C213" s="2" t="s">
        <v>688</v>
      </c>
      <c r="D213" s="2" t="s">
        <v>682</v>
      </c>
      <c r="E213" s="2" t="s">
        <v>14</v>
      </c>
      <c r="F213" s="2" t="s">
        <v>15</v>
      </c>
      <c r="G213" s="2" t="s">
        <v>689</v>
      </c>
      <c r="H213" s="2" t="s">
        <v>329</v>
      </c>
      <c r="I213" s="2" t="str">
        <f>IFERROR(__xludf.DUMMYFUNCTION("GOOGLETRANSLATE(C213,""fr"",""en"")"),"25 years in this I insurance I had in 2020 1RETRO HS 1 a break of ice per breeze
      2021 A Radier sheet metal at the end of 2021 we have all the insurance at Maaf house car car insurance well we will leave so")</f>
        <v>25 years in this I insurance I had in 2020 1RETRO HS 1 a break of ice per breeze
      2021 A Radier sheet metal at the end of 2021 we have all the insurance at Maaf house car car insurance well we will leave so</v>
      </c>
    </row>
    <row r="214" ht="15.75" customHeight="1">
      <c r="B214" s="2" t="s">
        <v>690</v>
      </c>
      <c r="C214" s="2" t="s">
        <v>691</v>
      </c>
      <c r="D214" s="2" t="s">
        <v>682</v>
      </c>
      <c r="E214" s="2" t="s">
        <v>14</v>
      </c>
      <c r="F214" s="2" t="s">
        <v>15</v>
      </c>
      <c r="G214" s="2" t="s">
        <v>692</v>
      </c>
      <c r="H214" s="2" t="s">
        <v>693</v>
      </c>
      <c r="I214" s="2" t="str">
        <f>IFERROR(__xludf.DUMMYFUNCTION("GOOGLETRANSLATE(C214,""fr"",""en"")"),"Hello
We had 3 non -responsible accidents.
On the day I replaced my vehicle or on August 26, 2021, the MAAF refused to assure me.
Customer at home for over 10 years, they did not even want to give me temporary insurance so that I can recover my new veh"&amp;"icle.
""Do you manage to find another insurer"" at 5 p.m. in the evening.
Since then, I have been looking to terminate my old vehicle but they have an ear soda.
However, I sent an email, they acknowledged receipt, but no news.
As long as nothing happe"&amp;"ns they are great, the day you have a problem there is no one left
Since I have found another insurer and more expensive
It remains to terminate my old car and I will also terminate home, school, scooter ....
Thank you the maaf !!!!!!!
 ")</f>
        <v>Hello
We had 3 non -responsible accidents.
On the day I replaced my vehicle or on August 26, 2021, the MAAF refused to assure me.
Customer at home for over 10 years, they did not even want to give me temporary insurance so that I can recover my new vehicle.
"Do you manage to find another insurer" at 5 p.m. in the evening.
Since then, I have been looking to terminate my old vehicle but they have an ear soda.
However, I sent an email, they acknowledged receipt, but no news.
As long as nothing happens they are great, the day you have a problem there is no one left
Since I have found another insurer and more expensive
It remains to terminate my old car and I will also terminate home, school, scooter ....
Thank you the maaf !!!!!!!
 </v>
      </c>
    </row>
    <row r="215" ht="15.75" customHeight="1">
      <c r="B215" s="2" t="s">
        <v>694</v>
      </c>
      <c r="C215" s="2" t="s">
        <v>695</v>
      </c>
      <c r="D215" s="2" t="s">
        <v>682</v>
      </c>
      <c r="E215" s="2" t="s">
        <v>14</v>
      </c>
      <c r="F215" s="2" t="s">
        <v>15</v>
      </c>
      <c r="G215" s="2" t="s">
        <v>696</v>
      </c>
      <c r="H215" s="2" t="s">
        <v>693</v>
      </c>
      <c r="I215" s="2" t="str">
        <f>IFERROR(__xludf.DUMMYFUNCTION("GOOGLETRANSLATE(C215,""fr"",""en"")"),"Car accident on July 17. We are the 17 aoput and I am always at the same point, that is to say anywhere!
- Sending photos via their software to the expert, accused of good reception well received. 1 week later, and after having contacted them because not"&amp;"hing moved: Ah bah actually no, the photos never arrived, supposedly a computer bug (well see)
- Meeting at the garage so that they take the photos themselves: Ah bah in fact the expert cannot estimate the cost of the damage with these photos, must bring"&amp;" the car back to the garage so that he would examine it himself
- Of course you have to move to an agency or call, otherwise the situation does not advance and no one seems to worry about it. After calling for the garage and then the expert, they do not "&amp;"agree with each other. Enant call to the agency to learn that the file has started in litigation at the head office. New call, the file is a priority.
And there you go, still nothing.
I now plan to resort to a consumer association and terminate my 2 Aut"&amp;"o and Housing Contracts from the MAAF. Not sure anyway that they realize it given that as disaster victims, we seem very transparent ...")</f>
        <v>Car accident on July 17. We are the 17 aoput and I am always at the same point, that is to say anywhere!
- Sending photos via their software to the expert, accused of good reception well received. 1 week later, and after having contacted them because nothing moved: Ah bah actually no, the photos never arrived, supposedly a computer bug (well see)
- Meeting at the garage so that they take the photos themselves: Ah bah in fact the expert cannot estimate the cost of the damage with these photos, must bring the car back to the garage so that he would examine it himself
- Of course you have to move to an agency or call, otherwise the situation does not advance and no one seems to worry about it. After calling for the garage and then the expert, they do not agree with each other. Enant call to the agency to learn that the file has started in litigation at the head office. New call, the file is a priority.
And there you go, still nothing.
I now plan to resort to a consumer association and terminate my 2 Auto and Housing Contracts from the MAAF. Not sure anyway that they realize it given that as disaster victims, we seem very transparent ...</v>
      </c>
    </row>
    <row r="216" ht="15.75" customHeight="1">
      <c r="B216" s="2" t="s">
        <v>697</v>
      </c>
      <c r="C216" s="2" t="s">
        <v>698</v>
      </c>
      <c r="D216" s="2" t="s">
        <v>682</v>
      </c>
      <c r="E216" s="2" t="s">
        <v>14</v>
      </c>
      <c r="F216" s="2" t="s">
        <v>15</v>
      </c>
      <c r="G216" s="2" t="s">
        <v>699</v>
      </c>
      <c r="H216" s="2" t="s">
        <v>693</v>
      </c>
      <c r="I216" s="2" t="str">
        <f>IFERROR(__xludf.DUMMYFUNCTION("GOOGLETRANSLATE(C216,""fr"",""en"")"),"Good evening,
For 20 years with this insurer with a bonus at 0.50 and on the pretext that I had a disaster in which I was responsible and 2 non -responsible claims, I am canceled ??
What a pain!")</f>
        <v>Good evening,
For 20 years with this insurer with a bonus at 0.50 and on the pretext that I had a disaster in which I was responsible and 2 non -responsible claims, I am canceled ??
What a pain!</v>
      </c>
    </row>
    <row r="217" ht="15.75" customHeight="1">
      <c r="B217" s="2" t="s">
        <v>700</v>
      </c>
      <c r="C217" s="2" t="s">
        <v>701</v>
      </c>
      <c r="D217" s="2" t="s">
        <v>682</v>
      </c>
      <c r="E217" s="2" t="s">
        <v>14</v>
      </c>
      <c r="F217" s="2" t="s">
        <v>15</v>
      </c>
      <c r="G217" s="2" t="s">
        <v>702</v>
      </c>
      <c r="H217" s="2" t="s">
        <v>693</v>
      </c>
      <c r="I217" s="2" t="str">
        <f>IFERROR(__xludf.DUMMYFUNCTION("GOOGLETRANSLATE(C217,""fr"",""en"")"),"Following a violent Grele storm in the south of the Aisne my car a 308 HDI of 2012 135000klm was very damaged
Rating € 5000 by the expert € 6,200 in repair according to its reparable car expertise but not economically
So preserved that kept to have it r"&amp;"epaired the maaf M deduced € 650 EPAVE and € 300 de franchise I have € 4050 No possible negotiation of the genus parts of used
An approved coachbuilder made me a quote for € 2900 I asked the question to the maaf on such a price eccart no answer ??")</f>
        <v>Following a violent Grele storm in the south of the Aisne my car a 308 HDI of 2012 135000klm was very damaged
Rating € 5000 by the expert € 6,200 in repair according to its reparable car expertise but not economically
So preserved that kept to have it repaired the maaf M deduced € 650 EPAVE and € 300 de franchise I have € 4050 No possible negotiation of the genus parts of used
An approved coachbuilder made me a quote for € 2900 I asked the question to the maaf on such a price eccart no answer ??</v>
      </c>
    </row>
    <row r="218" ht="15.75" customHeight="1">
      <c r="B218" s="2" t="s">
        <v>703</v>
      </c>
      <c r="C218" s="2" t="s">
        <v>704</v>
      </c>
      <c r="D218" s="2" t="s">
        <v>682</v>
      </c>
      <c r="E218" s="2" t="s">
        <v>14</v>
      </c>
      <c r="F218" s="2" t="s">
        <v>15</v>
      </c>
      <c r="G218" s="2" t="s">
        <v>705</v>
      </c>
      <c r="H218" s="2" t="s">
        <v>333</v>
      </c>
      <c r="I218" s="2" t="str">
        <f>IFERROR(__xludf.DUMMYFUNCTION("GOOGLETRANSLATE(C218,""fr"",""en"")"),"Hello everyone, I would like to tell you about my horrible experience in the Maaf. Do not pay attention to the TV spot, it is false, there is cheaper elsewhere and the employees are very very cold ... Finally, not at the start. When you push the door for "&amp;"the first time, it's a big smile from the director (Ivry Sur Seine in my case), your reassuring. In early 2015, driver for 1 year, we offer correct prices. Then the years go by, and in 5 years at the MAAF, I had: 1 front right window broken by vandalism ("&amp;"2018), a lighthouse before breaking by a pebble by driving (2019) (for the moment, not responsible), A friend who drives the car raye 5 centimeters of painting from another vehicle (for lack of my friend, manager), April 2019. To avoid trouble with Maaf, "&amp;"I tell them that there is no need to bring An expert (because paying for the maaf), that I will not repaint the two a few centimeters of jail (also paying for the maaf) ... My friend comes to agency with me and brings her license, the director makes it a "&amp;"photocopy then Starting from there, the start of the watchtow of Maaf Assurance. They tell me that to start, they will unhappn me with 20% (from 0.70 to 0.90) so I always stay as a bonus but 10% ... Come on, I tell myself that it is their policy to punish"&amp;" those who use their contract any risk in charge. The loss responsible therefore happened in April 2019 ... Then nothing, I pay my contributions normally until July 2020 where I receive a call in disaster of the director of Ivry sur Seine (facing the town"&amp;" hall) telling me that I was going to be terminated and that I had to leave elsewhere! More than a year after the responsible disaster and the monthly penalty and (5 centimeters of striped jail). Incomprehensible, the Maaf is cleaning up in its least prof"&amp;"itable customers, and that's how it is every year. At the start I refuse to terminate and we threaten by saying ""if you refuse to terminate, we put you on the black list of insurance"", a list available by all French insurances ranking you as a driver. I"&amp;" had to terminate with disgust for Maaf. Run away")</f>
        <v>Hello everyone, I would like to tell you about my horrible experience in the Maaf. Do not pay attention to the TV spot, it is false, there is cheaper elsewhere and the employees are very very cold ... Finally, not at the start. When you push the door for the first time, it's a big smile from the director (Ivry Sur Seine in my case), your reassuring. In early 2015, driver for 1 year, we offer correct prices. Then the years go by, and in 5 years at the MAAF, I had: 1 front right window broken by vandalism (2018), a lighthouse before breaking by a pebble by driving (2019) (for the moment, not responsible), A friend who drives the car raye 5 centimeters of painting from another vehicle (for lack of my friend, manager), April 2019. To avoid trouble with Maaf, I tell them that there is no need to bring An expert (because paying for the maaf), that I will not repaint the two a few centimeters of jail (also paying for the maaf) ... My friend comes to agency with me and brings her license, the director makes it a photocopy then Starting from there, the start of the watchtow of Maaf Assurance. They tell me that to start, they will unhappn me with 20% (from 0.70 to 0.90) so I always stay as a bonus but 10% ... Come on, I tell myself that it is their policy to punish those who use their contract any risk in charge. The loss responsible therefore happened in April 2019 ... Then nothing, I pay my contributions normally until July 2020 where I receive a call in disaster of the director of Ivry sur Seine (facing the town hall) telling me that I was going to be terminated and that I had to leave elsewhere! More than a year after the responsible disaster and the monthly penalty and (5 centimeters of striped jail). Incomprehensible, the Maaf is cleaning up in its least profitable customers, and that's how it is every year. At the start I refuse to terminate and we threaten by saying "if you refuse to terminate, we put you on the black list of insurance", a list available by all French insurances ranking you as a driver. I had to terminate with disgust for Maaf. Run away</v>
      </c>
    </row>
    <row r="219" ht="15.75" customHeight="1">
      <c r="B219" s="2" t="s">
        <v>706</v>
      </c>
      <c r="C219" s="2" t="s">
        <v>707</v>
      </c>
      <c r="D219" s="2" t="s">
        <v>682</v>
      </c>
      <c r="E219" s="2" t="s">
        <v>14</v>
      </c>
      <c r="F219" s="2" t="s">
        <v>15</v>
      </c>
      <c r="G219" s="2" t="s">
        <v>708</v>
      </c>
      <c r="H219" s="2" t="s">
        <v>333</v>
      </c>
      <c r="I219" s="2" t="str">
        <f>IFERROR(__xludf.DUMMYFUNCTION("GOOGLETRANSLATE(C219,""fr"",""en"")"),"After more than 30 years of loyalty where I have all my contracts he phones me to tell me that he is solving my car insurance at 12/31/21 because I had 2 sinister including a manager and 1 not responsible and that material.
Inadmissible.
Reynald God")</f>
        <v>After more than 30 years of loyalty where I have all my contracts he phones me to tell me that he is solving my car insurance at 12/31/21 because I had 2 sinister including a manager and 1 not responsible and that material.
Inadmissible.
Reynald God</v>
      </c>
    </row>
    <row r="220" ht="15.75" customHeight="1">
      <c r="B220" s="2" t="s">
        <v>709</v>
      </c>
      <c r="C220" s="2" t="s">
        <v>710</v>
      </c>
      <c r="D220" s="2" t="s">
        <v>682</v>
      </c>
      <c r="E220" s="2" t="s">
        <v>14</v>
      </c>
      <c r="F220" s="2" t="s">
        <v>15</v>
      </c>
      <c r="G220" s="2" t="s">
        <v>333</v>
      </c>
      <c r="H220" s="2" t="s">
        <v>333</v>
      </c>
      <c r="I220" s="2" t="str">
        <f>IFERROR(__xludf.DUMMYFUNCTION("GOOGLETRANSLATE(C220,""fr"",""en"")"),"Not the cheapest, but very effective, nothing to say for the rest, customer for 20 years, 4 cars, 2 houses, a health mutual, 12 contracts at home, answers and acts generally within 24 hours, someone on the phone and at the agency, easy and quick meetings,"&amp;" for the service they present")</f>
        <v>Not the cheapest, but very effective, nothing to say for the rest, customer for 20 years, 4 cars, 2 houses, a health mutual, 12 contracts at home, answers and acts generally within 24 hours, someone on the phone and at the agency, easy and quick meetings, for the service they present</v>
      </c>
    </row>
    <row r="221" ht="15.75" customHeight="1">
      <c r="B221" s="2" t="s">
        <v>711</v>
      </c>
      <c r="C221" s="2" t="s">
        <v>712</v>
      </c>
      <c r="D221" s="2" t="s">
        <v>682</v>
      </c>
      <c r="E221" s="2" t="s">
        <v>14</v>
      </c>
      <c r="F221" s="2" t="s">
        <v>15</v>
      </c>
      <c r="G221" s="2" t="s">
        <v>713</v>
      </c>
      <c r="H221" s="2" t="s">
        <v>340</v>
      </c>
      <c r="I221" s="2" t="str">
        <f>IFERROR(__xludf.DUMMYFUNCTION("GOOGLETRANSLATE(C221,""fr"",""en"")"),"After two accidents that have not been my fault and being assured of all risks, this dear group still allows itself to end my contract, you find it normal at the price or are the contributions….
What society do we live in?
We have never encountered a pr"&amp;"oblem like that with the old insurance….
But now those are big groups and of course there is only the money that counts.
On the other hand to offer options with a surplus contribution, they are number 1")</f>
        <v>After two accidents that have not been my fault and being assured of all risks, this dear group still allows itself to end my contract, you find it normal at the price or are the contributions….
What society do we live in?
We have never encountered a problem like that with the old insurance….
But now those are big groups and of course there is only the money that counts.
On the other hand to offer options with a surplus contribution, they are number 1</v>
      </c>
    </row>
    <row r="222" ht="15.75" customHeight="1">
      <c r="B222" s="2" t="s">
        <v>714</v>
      </c>
      <c r="C222" s="2" t="s">
        <v>715</v>
      </c>
      <c r="D222" s="2" t="s">
        <v>682</v>
      </c>
      <c r="E222" s="2" t="s">
        <v>14</v>
      </c>
      <c r="F222" s="2" t="s">
        <v>15</v>
      </c>
      <c r="G222" s="2" t="s">
        <v>716</v>
      </c>
      <c r="H222" s="2" t="s">
        <v>340</v>
      </c>
      <c r="I222" s="2" t="str">
        <f>IFERROR(__xludf.DUMMYFUNCTION("GOOGLETRANSLATE(C222,""fr"",""en"")"),"We are insured at the Matmut, a third person insured at the MAAF returned to our residential wall by car in January 2021, all the experts have passed and we quantify the damage, however the insurer Maaf still has Not compensated for our insurer, a shame ."&amp;".. He uses all the appeals so as not to reimburse, despite the many reminders which were made by the Matmut,
What interest in them to drag compensation and what image for this insurer ... ??")</f>
        <v>We are insured at the Matmut, a third person insured at the MAAF returned to our residential wall by car in January 2021, all the experts have passed and we quantify the damage, however the insurer Maaf still has Not compensated for our insurer, a shame ... He uses all the appeals so as not to reimburse, despite the many reminders which were made by the Matmut,
What interest in them to drag compensation and what image for this insurer ... ??</v>
      </c>
    </row>
    <row r="223" ht="15.75" customHeight="1">
      <c r="B223" s="2" t="s">
        <v>717</v>
      </c>
      <c r="C223" s="2" t="s">
        <v>718</v>
      </c>
      <c r="D223" s="2" t="s">
        <v>682</v>
      </c>
      <c r="E223" s="2" t="s">
        <v>14</v>
      </c>
      <c r="F223" s="2" t="s">
        <v>15</v>
      </c>
      <c r="G223" s="2" t="s">
        <v>719</v>
      </c>
      <c r="H223" s="2" t="s">
        <v>350</v>
      </c>
      <c r="I223" s="2" t="str">
        <f>IFERROR(__xludf.DUMMYFUNCTION("GOOGLETRANSLATE(C223,""fr"",""en"")"),"Employed on the phone: vindictive, aggressive, threatening. Do not listen, covers my words with his vociferations. I will no longer call the MAAF, for fear of falling back on this person who, in my opinion, has nothing to do in this place.")</f>
        <v>Employed on the phone: vindictive, aggressive, threatening. Do not listen, covers my words with his vociferations. I will no longer call the MAAF, for fear of falling back on this person who, in my opinion, has nothing to do in this place.</v>
      </c>
    </row>
    <row r="224" ht="15.75" customHeight="1">
      <c r="B224" s="2" t="s">
        <v>720</v>
      </c>
      <c r="C224" s="2" t="s">
        <v>721</v>
      </c>
      <c r="D224" s="2" t="s">
        <v>682</v>
      </c>
      <c r="E224" s="2" t="s">
        <v>14</v>
      </c>
      <c r="F224" s="2" t="s">
        <v>15</v>
      </c>
      <c r="G224" s="2" t="s">
        <v>353</v>
      </c>
      <c r="H224" s="2" t="s">
        <v>350</v>
      </c>
      <c r="I224" s="2" t="str">
        <f>IFERROR(__xludf.DUMMYFUNCTION("GOOGLETRANSLATE(C224,""fr"",""en"")"),"Hello
I phone at 3015 to point out that I would like to resume 2 contracts in my name when at the start they were in the name of my partner ... In short, I came across an operator not very kind with a very dry tone of voice. The conversation did not succ"&amp;"eed I told him that the tone used was very unpleasant no pedagogy of this fact I told her about it as it allowed itself to do ... I say Bravo the reception Maaf. I spent the age of being in school and I try to understand if the person opposite explains it"&amp;" correctly and kindness there it is not the case frankly I am very very disappointed with the maaf. I say to the maaf if this person does not flourish in his work that he does something else, in certain sectors they are looking for staff ...... a very unh"&amp;"appy insured and who is not just A file number ........")</f>
        <v>Hello
I phone at 3015 to point out that I would like to resume 2 contracts in my name when at the start they were in the name of my partner ... In short, I came across an operator not very kind with a very dry tone of voice. The conversation did not succeed I told him that the tone used was very unpleasant no pedagogy of this fact I told her about it as it allowed itself to do ... I say Bravo the reception Maaf. I spent the age of being in school and I try to understand if the person opposite explains it correctly and kindness there it is not the case frankly I am very very disappointed with the maaf. I say to the maaf if this person does not flourish in his work that he does something else, in certain sectors they are looking for staff ...... a very unhappy insured and who is not just A file number ........</v>
      </c>
    </row>
    <row r="225" ht="15.75" customHeight="1">
      <c r="B225" s="2" t="s">
        <v>722</v>
      </c>
      <c r="C225" s="2" t="s">
        <v>723</v>
      </c>
      <c r="D225" s="2" t="s">
        <v>682</v>
      </c>
      <c r="E225" s="2" t="s">
        <v>14</v>
      </c>
      <c r="F225" s="2" t="s">
        <v>15</v>
      </c>
      <c r="G225" s="2" t="s">
        <v>724</v>
      </c>
      <c r="H225" s="2" t="s">
        <v>360</v>
      </c>
      <c r="I225" s="2" t="str">
        <f>IFERROR(__xludf.DUMMYFUNCTION("GOOGLETRANSLATE(C225,""fr"",""en"")"),"Their motto with Maaf zero hassle that is valid to pay its subscription on the other hand the day you have a very responsible problem their motto becomes a downside yourself for everything.")</f>
        <v>Their motto with Maaf zero hassle that is valid to pay its subscription on the other hand the day you have a very responsible problem their motto becomes a downside yourself for everything.</v>
      </c>
    </row>
    <row r="226" ht="15.75" customHeight="1">
      <c r="B226" s="2" t="s">
        <v>725</v>
      </c>
      <c r="C226" s="2" t="s">
        <v>726</v>
      </c>
      <c r="D226" s="2" t="s">
        <v>682</v>
      </c>
      <c r="E226" s="2" t="s">
        <v>14</v>
      </c>
      <c r="F226" s="2" t="s">
        <v>15</v>
      </c>
      <c r="G226" s="2" t="s">
        <v>727</v>
      </c>
      <c r="H226" s="2" t="s">
        <v>364</v>
      </c>
      <c r="I226" s="2" t="str">
        <f>IFERROR(__xludf.DUMMYFUNCTION("GOOGLETRANSLATE(C226,""fr"",""en"")"),"No one .15 years at home never had a responsible accident. Having broken down in ice want to insure the worst more is that I have not even repaired my car yet. Really to flee")</f>
        <v>No one .15 years at home never had a responsible accident. Having broken down in ice want to insure the worst more is that I have not even repaired my car yet. Really to flee</v>
      </c>
    </row>
    <row r="227" ht="15.75" customHeight="1">
      <c r="B227" s="2" t="s">
        <v>728</v>
      </c>
      <c r="C227" s="2" t="s">
        <v>729</v>
      </c>
      <c r="D227" s="2" t="s">
        <v>682</v>
      </c>
      <c r="E227" s="2" t="s">
        <v>14</v>
      </c>
      <c r="F227" s="2" t="s">
        <v>15</v>
      </c>
      <c r="G227" s="2" t="s">
        <v>730</v>
      </c>
      <c r="H227" s="2" t="s">
        <v>364</v>
      </c>
      <c r="I227" s="2" t="str">
        <f>IFERROR(__xludf.DUMMYFUNCTION("GOOGLETRANSLATE(C227,""fr"",""en"")"),"Very disappointed.
The price to be paid does not correspond to the quote made or the contract elsewhere.
I pay 70 euros more than planned for the year and no valid explanations.
1 month that I am waiting for my green card despite 2 calls.
Lamentable, "&amp;"I go as soon as I can ...")</f>
        <v>Very disappointed.
The price to be paid does not correspond to the quote made or the contract elsewhere.
I pay 70 euros more than planned for the year and no valid explanations.
1 month that I am waiting for my green card despite 2 calls.
Lamentable, I go as soon as I can ...</v>
      </c>
    </row>
    <row r="228" ht="15.75" customHeight="1">
      <c r="B228" s="2" t="s">
        <v>731</v>
      </c>
      <c r="C228" s="2" t="s">
        <v>732</v>
      </c>
      <c r="D228" s="2" t="s">
        <v>682</v>
      </c>
      <c r="E228" s="2" t="s">
        <v>14</v>
      </c>
      <c r="F228" s="2" t="s">
        <v>15</v>
      </c>
      <c r="G228" s="2" t="s">
        <v>733</v>
      </c>
      <c r="H228" s="2" t="s">
        <v>364</v>
      </c>
      <c r="I228" s="2" t="str">
        <f>IFERROR(__xludf.DUMMYFUNCTION("GOOGLETRANSLATE(C228,""fr"",""en"")"),"I had only one incident which was covered 100% by the MAAF; So no complaints, but I understand that my experience is, in fact, quite reduced.")</f>
        <v>I had only one incident which was covered 100% by the MAAF; So no complaints, but I understand that my experience is, in fact, quite reduced.</v>
      </c>
    </row>
    <row r="229" ht="15.75" customHeight="1">
      <c r="B229" s="2" t="s">
        <v>734</v>
      </c>
      <c r="C229" s="2" t="s">
        <v>735</v>
      </c>
      <c r="D229" s="2" t="s">
        <v>682</v>
      </c>
      <c r="E229" s="2" t="s">
        <v>14</v>
      </c>
      <c r="F229" s="2" t="s">
        <v>15</v>
      </c>
      <c r="G229" s="2" t="s">
        <v>736</v>
      </c>
      <c r="H229" s="2" t="s">
        <v>364</v>
      </c>
      <c r="I229" s="2" t="str">
        <f>IFERROR(__xludf.DUMMYFUNCTION("GOOGLETRANSLATE(C229,""fr"",""en"")"),"Very good insurance, friendly welcome from advisers, no problem for supporting reimbursements that are made directly from the repairer, I strongly recommend this insurance mutual.")</f>
        <v>Very good insurance, friendly welcome from advisers, no problem for supporting reimbursements that are made directly from the repairer, I strongly recommend this insurance mutual.</v>
      </c>
    </row>
    <row r="230" ht="15.75" customHeight="1">
      <c r="B230" s="2" t="s">
        <v>737</v>
      </c>
      <c r="C230" s="2" t="s">
        <v>738</v>
      </c>
      <c r="D230" s="2" t="s">
        <v>682</v>
      </c>
      <c r="E230" s="2" t="s">
        <v>14</v>
      </c>
      <c r="F230" s="2" t="s">
        <v>15</v>
      </c>
      <c r="G230" s="2" t="s">
        <v>739</v>
      </c>
      <c r="H230" s="2" t="s">
        <v>364</v>
      </c>
      <c r="I230" s="2" t="str">
        <f>IFERROR(__xludf.DUMMYFUNCTION("GOOGLETRANSLATE(C230,""fr"",""en"")"),"Hello,
Customer for 22 years, I have only satisfaction with the MAAF.
Last week I called to make a modification on a car contract, and at the same time I had a reduction on my other car contract.
This means that I can be insured for a completely reason"&amp;"able rate.
It is also true that I almost never have a claim.
Fully satisfied with the maaf
")</f>
        <v>Hello,
Customer for 22 years, I have only satisfaction with the MAAF.
Last week I called to make a modification on a car contract, and at the same time I had a reduction on my other car contract.
This means that I can be insured for a completely reasonable rate.
It is also true that I almost never have a claim.
Fully satisfied with the maaf
</v>
      </c>
    </row>
    <row r="231" ht="15.75" customHeight="1">
      <c r="B231" s="2" t="s">
        <v>740</v>
      </c>
      <c r="C231" s="2" t="s">
        <v>741</v>
      </c>
      <c r="D231" s="2" t="s">
        <v>682</v>
      </c>
      <c r="E231" s="2" t="s">
        <v>14</v>
      </c>
      <c r="F231" s="2" t="s">
        <v>15</v>
      </c>
      <c r="G231" s="2" t="s">
        <v>742</v>
      </c>
      <c r="H231" s="2" t="s">
        <v>364</v>
      </c>
      <c r="I231" s="2" t="str">
        <f>IFERROR(__xludf.DUMMYFUNCTION("GOOGLETRANSLATE(C231,""fr"",""en"")"),"Beware several years at the MAAF with the Maaf bonus for life !!! A boar (not even faulty) and of course proven and proven ... No consideration because I have several contracts with them ... 5 months and the claim is not always settled. Good to pay but no"&amp;" humanity in return ... I am disappointed to meditate despite the attractive price")</f>
        <v>Beware several years at the MAAF with the Maaf bonus for life !!! A boar (not even faulty) and of course proven and proven ... No consideration because I have several contracts with them ... 5 months and the claim is not always settled. Good to pay but no humanity in return ... I am disappointed to meditate despite the attractive price</v>
      </c>
    </row>
    <row r="232" ht="15.75" customHeight="1">
      <c r="B232" s="2" t="s">
        <v>743</v>
      </c>
      <c r="C232" s="2" t="s">
        <v>744</v>
      </c>
      <c r="D232" s="2" t="s">
        <v>682</v>
      </c>
      <c r="E232" s="2" t="s">
        <v>14</v>
      </c>
      <c r="F232" s="2" t="s">
        <v>15</v>
      </c>
      <c r="G232" s="2" t="s">
        <v>745</v>
      </c>
      <c r="H232" s="2" t="s">
        <v>371</v>
      </c>
      <c r="I232" s="2" t="str">
        <f>IFERROR(__xludf.DUMMYFUNCTION("GOOGLETRANSLATE(C232,""fr"",""en"")"),"Personnel who has no serious fixed appointments unable to respect and ask you to leave because they are too early to be on weekends.
Without forgetting it resists you when you have too much disaster although you are up to date in your regulations on the "&amp;"pretext that you are profitable.
I strongly recommend it that of St Ouen 93400 Garibaldi.")</f>
        <v>Personnel who has no serious fixed appointments unable to respect and ask you to leave because they are too early to be on weekends.
Without forgetting it resists you when you have too much disaster although you are up to date in your regulations on the pretext that you are profitable.
I strongly recommend it that of St Ouen 93400 Garibaldi.</v>
      </c>
    </row>
    <row r="233" ht="15.75" customHeight="1">
      <c r="B233" s="2" t="s">
        <v>746</v>
      </c>
      <c r="C233" s="2" t="s">
        <v>747</v>
      </c>
      <c r="D233" s="2" t="s">
        <v>682</v>
      </c>
      <c r="E233" s="2" t="s">
        <v>14</v>
      </c>
      <c r="F233" s="2" t="s">
        <v>15</v>
      </c>
      <c r="G233" s="2" t="s">
        <v>748</v>
      </c>
      <c r="H233" s="2" t="s">
        <v>371</v>
      </c>
      <c r="I233" s="2" t="str">
        <f>IFERROR(__xludf.DUMMYFUNCTION("GOOGLETRANSLATE(C233,""fr"",""en"")"),"I have used my insurance several times and the latter has always been present. Auto, home ...
Refund, assistance in the event of a claim, and correct price")</f>
        <v>I have used my insurance several times and the latter has always been present. Auto, home ...
Refund, assistance in the event of a claim, and correct price</v>
      </c>
    </row>
    <row r="234" ht="15.75" customHeight="1">
      <c r="B234" s="2" t="s">
        <v>749</v>
      </c>
      <c r="C234" s="2" t="s">
        <v>750</v>
      </c>
      <c r="D234" s="2" t="s">
        <v>682</v>
      </c>
      <c r="E234" s="2" t="s">
        <v>14</v>
      </c>
      <c r="F234" s="2" t="s">
        <v>15</v>
      </c>
      <c r="G234" s="2" t="s">
        <v>751</v>
      </c>
      <c r="H234" s="2" t="s">
        <v>17</v>
      </c>
      <c r="I234" s="2" t="str">
        <f>IFERROR(__xludf.DUMMYFUNCTION("GOOGLETRANSLATE(C234,""fr"",""en"")"),"35 years old at the maaf 5 contract 1 slight hanging alone in 2016 and 1 vandalism in 2019 and we no longer want to hide jais calculate I and give them 50 thousand euros in 30 years super la maaf and in addition to bad liver")</f>
        <v>35 years old at the maaf 5 contract 1 slight hanging alone in 2016 and 1 vandalism in 2019 and we no longer want to hide jais calculate I and give them 50 thousand euros in 30 years super la maaf and in addition to bad liver</v>
      </c>
    </row>
    <row r="235" ht="15.75" customHeight="1">
      <c r="B235" s="2" t="s">
        <v>752</v>
      </c>
      <c r="C235" s="2" t="s">
        <v>753</v>
      </c>
      <c r="D235" s="2" t="s">
        <v>682</v>
      </c>
      <c r="E235" s="2" t="s">
        <v>14</v>
      </c>
      <c r="F235" s="2" t="s">
        <v>15</v>
      </c>
      <c r="G235" s="2" t="s">
        <v>754</v>
      </c>
      <c r="H235" s="2" t="s">
        <v>17</v>
      </c>
      <c r="I235" s="2" t="str">
        <f>IFERROR(__xludf.DUMMYFUNCTION("GOOGLETRANSLATE(C235,""fr"",""en"")"),"Very good service qualities in the event of a claim. Very responsive and good level of compensation. Quick telephone platform to support calls, friendly and professional interlocutor, good listening to the needs and answers provided adapted. I recommend t"&amp;"he MAAF. 2 vehicles and 6 insured buildings.")</f>
        <v>Very good service qualities in the event of a claim. Very responsive and good level of compensation. Quick telephone platform to support calls, friendly and professional interlocutor, good listening to the needs and answers provided adapted. I recommend the MAAF. 2 vehicles and 6 insured buildings.</v>
      </c>
    </row>
    <row r="236" ht="15.75" customHeight="1">
      <c r="B236" s="2" t="s">
        <v>755</v>
      </c>
      <c r="C236" s="2" t="s">
        <v>756</v>
      </c>
      <c r="D236" s="2" t="s">
        <v>682</v>
      </c>
      <c r="E236" s="2" t="s">
        <v>14</v>
      </c>
      <c r="F236" s="2" t="s">
        <v>15</v>
      </c>
      <c r="G236" s="2" t="s">
        <v>757</v>
      </c>
      <c r="H236" s="2" t="s">
        <v>17</v>
      </c>
      <c r="I236" s="2" t="str">
        <f>IFERROR(__xludf.DUMMYFUNCTION("GOOGLETRANSLATE(C236,""fr"",""en"")"),"Not competent and whatever happens they always find the fail to pay nothing in the event of an accident. Jai had an accident to my domicil (scooter) and no care on their part because he always finds himself")</f>
        <v>Not competent and whatever happens they always find the fail to pay nothing in the event of an accident. Jai had an accident to my domicil (scooter) and no care on their part because he always finds himself</v>
      </c>
    </row>
    <row r="237" ht="15.75" customHeight="1">
      <c r="B237" s="2" t="s">
        <v>758</v>
      </c>
      <c r="C237" s="2" t="s">
        <v>759</v>
      </c>
      <c r="D237" s="2" t="s">
        <v>682</v>
      </c>
      <c r="E237" s="2" t="s">
        <v>14</v>
      </c>
      <c r="F237" s="2" t="s">
        <v>15</v>
      </c>
      <c r="G237" s="2" t="s">
        <v>17</v>
      </c>
      <c r="H237" s="2" t="s">
        <v>17</v>
      </c>
      <c r="I237" s="2" t="str">
        <f>IFERROR(__xludf.DUMMYFUNCTION("GOOGLETRANSLATE(C237,""fr"",""en"")"),"I would have preferred 0 star to the Maaf ""bad French approved insurance"". Overseas correspondents as much by phone as in agency, even with appointment.
Nullissime in the management of your contracts.")</f>
        <v>I would have preferred 0 star to the Maaf "bad French approved insurance". Overseas correspondents as much by phone as in agency, even with appointment.
Nullissime in the management of your contracts.</v>
      </c>
    </row>
    <row r="238" ht="15.75" customHeight="1">
      <c r="B238" s="2" t="s">
        <v>760</v>
      </c>
      <c r="C238" s="2" t="s">
        <v>761</v>
      </c>
      <c r="D238" s="2" t="s">
        <v>682</v>
      </c>
      <c r="E238" s="2" t="s">
        <v>14</v>
      </c>
      <c r="F238" s="2" t="s">
        <v>15</v>
      </c>
      <c r="G238" s="2" t="s">
        <v>762</v>
      </c>
      <c r="H238" s="2" t="s">
        <v>21</v>
      </c>
      <c r="I238" s="2" t="str">
        <f>IFERROR(__xludf.DUMMYFUNCTION("GOOGLETRANSLATE(C238,""fr"",""en"")"),"I had an accident in which I can prove that there was an abuse of priority but there Maaf does not defend my file. She does not defend my file. The damage is minimal but I do not want to accept that I am charged 50% of my responsibility")</f>
        <v>I had an accident in which I can prove that there was an abuse of priority but there Maaf does not defend my file. She does not defend my file. The damage is minimal but I do not want to accept that I am charged 50% of my responsibility</v>
      </c>
    </row>
    <row r="239" ht="15.75" customHeight="1">
      <c r="B239" s="2" t="s">
        <v>763</v>
      </c>
      <c r="C239" s="2" t="s">
        <v>764</v>
      </c>
      <c r="D239" s="2" t="s">
        <v>682</v>
      </c>
      <c r="E239" s="2" t="s">
        <v>14</v>
      </c>
      <c r="F239" s="2" t="s">
        <v>15</v>
      </c>
      <c r="G239" s="2" t="s">
        <v>20</v>
      </c>
      <c r="H239" s="2" t="s">
        <v>21</v>
      </c>
      <c r="I239" s="2" t="str">
        <f>IFERROR(__xludf.DUMMYFUNCTION("GOOGLETRANSLATE(C239,""fr"",""en"")"),"Following a change of vehicle on December 10, I called the MAAF and I was told that the documents would be transmitted by email.
Instead of the green card I am transmitted a simple mail stipulating the guarantees of the vehicle.
I recall and obtains aft"&amp;"er a wait of 20 minutes the answer: ""No green card by email The mail is proof. No problem if control of the gendarmes.
10 days after nothing in my mailbox. I recall and the same answer.
I ask for a duplicate on the site on December 17.
Nothing receive"&amp;"d on 12/21 and I asked for a duplicate. Received today on 24/12. Merry Christmas !!!! except that the green card is only valid from the 1/01/2021. Incredible eh. But true.
I had tried to go to an agency but it's only on RV")</f>
        <v>Following a change of vehicle on December 10, I called the MAAF and I was told that the documents would be transmitted by email.
Instead of the green card I am transmitted a simple mail stipulating the guarantees of the vehicle.
I recall and obtains after a wait of 20 minutes the answer: "No green card by email The mail is proof. No problem if control of the gendarmes.
10 days after nothing in my mailbox. I recall and the same answer.
I ask for a duplicate on the site on December 17.
Nothing received on 12/21 and I asked for a duplicate. Received today on 24/12. Merry Christmas !!!! except that the green card is only valid from the 1/01/2021. Incredible eh. But true.
I had tried to go to an agency but it's only on RV</v>
      </c>
    </row>
    <row r="240" ht="15.75" customHeight="1">
      <c r="B240" s="2" t="s">
        <v>765</v>
      </c>
      <c r="C240" s="2" t="s">
        <v>766</v>
      </c>
      <c r="D240" s="2" t="s">
        <v>682</v>
      </c>
      <c r="E240" s="2" t="s">
        <v>14</v>
      </c>
      <c r="F240" s="2" t="s">
        <v>15</v>
      </c>
      <c r="G240" s="2" t="s">
        <v>767</v>
      </c>
      <c r="H240" s="2" t="s">
        <v>21</v>
      </c>
      <c r="I240" s="2" t="str">
        <f>IFERROR(__xludf.DUMMYFUNCTION("GOOGLETRANSLATE(C240,""fr"",""en"")"),"Hello, Problem to pay online
I thought I had an exceptional decrease because with confinement, I am not rolled for several months
 The advantage is only for you, but not for very good customers
I await a quick response from you and act as your colleagu"&amp;"es which are more correct for certain
Sir, my respectful greetings")</f>
        <v>Hello, Problem to pay online
I thought I had an exceptional decrease because with confinement, I am not rolled for several months
 The advantage is only for you, but not for very good customers
I await a quick response from you and act as your colleagues which are more correct for certain
Sir, my respectful greetings</v>
      </c>
    </row>
    <row r="241" ht="15.75" customHeight="1">
      <c r="B241" s="2" t="s">
        <v>768</v>
      </c>
      <c r="C241" s="2" t="s">
        <v>769</v>
      </c>
      <c r="D241" s="2" t="s">
        <v>682</v>
      </c>
      <c r="E241" s="2" t="s">
        <v>14</v>
      </c>
      <c r="F241" s="2" t="s">
        <v>15</v>
      </c>
      <c r="G241" s="2" t="s">
        <v>770</v>
      </c>
      <c r="H241" s="2" t="s">
        <v>21</v>
      </c>
      <c r="I241" s="2" t="str">
        <f>IFERROR(__xludf.DUMMYFUNCTION("GOOGLETRANSLATE(C241,""fr"",""en"")"),"Insurance that has been turning you while since 2016 that a claim thank you ..., .................................. ...............................................")</f>
        <v>Insurance that has been turning you while since 2016 that a claim thank you ..., .................................. ...............................................</v>
      </c>
    </row>
    <row r="242" ht="15.75" customHeight="1">
      <c r="B242" s="2" t="s">
        <v>771</v>
      </c>
      <c r="C242" s="2" t="s">
        <v>772</v>
      </c>
      <c r="D242" s="2" t="s">
        <v>682</v>
      </c>
      <c r="E242" s="2" t="s">
        <v>14</v>
      </c>
      <c r="F242" s="2" t="s">
        <v>15</v>
      </c>
      <c r="G242" s="2" t="s">
        <v>408</v>
      </c>
      <c r="H242" s="2" t="s">
        <v>21</v>
      </c>
      <c r="I242" s="2" t="str">
        <f>IFERROR(__xludf.DUMMYFUNCTION("GOOGLETRANSLATE(C242,""fr"",""en"")"),"I was able to negotiate a reduction on my car contract and well I still pay more than the year 2020
I am very penalized following 1 responsible declaration. But 2 others where I was not there for nothing
I was thinking of putting motorcycle insurance. I"&amp;" will see elsewhere")</f>
        <v>I was able to negotiate a reduction on my car contract and well I still pay more than the year 2020
I am very penalized following 1 responsible declaration. But 2 others where I was not there for nothing
I was thinking of putting motorcycle insurance. I will see elsewhere</v>
      </c>
    </row>
    <row r="243" ht="15.75" customHeight="1">
      <c r="B243" s="2" t="s">
        <v>773</v>
      </c>
      <c r="C243" s="2" t="s">
        <v>774</v>
      </c>
      <c r="D243" s="2" t="s">
        <v>682</v>
      </c>
      <c r="E243" s="2" t="s">
        <v>14</v>
      </c>
      <c r="F243" s="2" t="s">
        <v>15</v>
      </c>
      <c r="G243" s="2" t="s">
        <v>408</v>
      </c>
      <c r="H243" s="2" t="s">
        <v>21</v>
      </c>
      <c r="I243" s="2" t="str">
        <f>IFERROR(__xludf.DUMMYFUNCTION("GOOGLETRANSLATE(C243,""fr"",""en"")"),"The opinions posted on this insurer confirms me in my last experience. I have been a customer of the MAAF for over 30 years. Following a hanging last October, no observation could have been made, I am declared 100%responsible. To avoid a penalty, the pers"&amp;"on in charge of the file at the MAAF encourages me not to make repairs on my vehicle, ensured any risk. To date, the opposing party has still declared anything but a penalty has just been applied to my contract despite the assertions of my interlocutor, w"&amp;"hich I had had several times between October 4 and 5 and who had confirmed to me after Verification that the file was well classified pending so that the penalty was not applied, she had also asked me to send him an email confirming that we undertake not "&amp;"to have reparations. Impossible to reach a claim manager. This insurer is not only incompetent in its customer relationship but also in the advice provided by its employees.")</f>
        <v>The opinions posted on this insurer confirms me in my last experience. I have been a customer of the MAAF for over 30 years. Following a hanging last October, no observation could have been made, I am declared 100%responsible. To avoid a penalty, the person in charge of the file at the MAAF encourages me not to make repairs on my vehicle, ensured any risk. To date, the opposing party has still declared anything but a penalty has just been applied to my contract despite the assertions of my interlocutor, which I had had several times between October 4 and 5 and who had confirmed to me after Verification that the file was well classified pending so that the penalty was not applied, she had also asked me to send him an email confirming that we undertake not to have reparations. Impossible to reach a claim manager. This insurer is not only incompetent in its customer relationship but also in the advice provided by its employees.</v>
      </c>
    </row>
    <row r="244" ht="15.75" customHeight="1">
      <c r="B244" s="2" t="s">
        <v>775</v>
      </c>
      <c r="C244" s="2" t="s">
        <v>776</v>
      </c>
      <c r="D244" s="2" t="s">
        <v>682</v>
      </c>
      <c r="E244" s="2" t="s">
        <v>14</v>
      </c>
      <c r="F244" s="2" t="s">
        <v>15</v>
      </c>
      <c r="G244" s="2" t="s">
        <v>408</v>
      </c>
      <c r="H244" s="2" t="s">
        <v>21</v>
      </c>
      <c r="I244" s="2" t="str">
        <f>IFERROR(__xludf.DUMMYFUNCTION("GOOGLETRANSLATE(C244,""fr"",""en"")"),"Customer for 20 years, without accident, bonus 50% for + 10 years, and winner bonuses. I had the toupet to ask them, following almost immobilization of my vehicle (containment imposed following the COVID19, a small discount on my deadline. (While some com"&amp;"panies have done it automatically). = Blackmail: ""Yes , but if you increase the coverage of your home police. ""Gentlemen, it will not be the other or the other, I will see elsewhere!")</f>
        <v>Customer for 20 years, without accident, bonus 50% for + 10 years, and winner bonuses. I had the toupet to ask them, following almost immobilization of my vehicle (containment imposed following the COVID19, a small discount on my deadline. (While some companies have done it automatically). = Blackmail: "Yes , but if you increase the coverage of your home police. "Gentlemen, it will not be the other or the other, I will see elsewhere!</v>
      </c>
    </row>
    <row r="245" ht="15.75" customHeight="1">
      <c r="B245" s="2" t="s">
        <v>777</v>
      </c>
      <c r="C245" s="2" t="s">
        <v>778</v>
      </c>
      <c r="D245" s="2" t="s">
        <v>682</v>
      </c>
      <c r="E245" s="2" t="s">
        <v>14</v>
      </c>
      <c r="F245" s="2" t="s">
        <v>15</v>
      </c>
      <c r="G245" s="2" t="s">
        <v>27</v>
      </c>
      <c r="H245" s="2" t="s">
        <v>21</v>
      </c>
      <c r="I245" s="2" t="str">
        <f>IFERROR(__xludf.DUMMYFUNCTION("GOOGLETRANSLATE(C245,""fr"",""en"")"),"Increasing the price of my Toyota Aygo insurance, which has practically not rolled, while we are still in pandemic is really unfair.
I specify that several insurance companies, the MAIF for example, proposed a credit to their members.
It is for this rea"&amp;"son that I asked to transform the third party contract to the third party.")</f>
        <v>Increasing the price of my Toyota Aygo insurance, which has practically not rolled, while we are still in pandemic is really unfair.
I specify that several insurance companies, the MAIF for example, proposed a credit to their members.
It is for this reason that I asked to transform the third party contract to the third party.</v>
      </c>
    </row>
    <row r="246" ht="15.75" customHeight="1">
      <c r="B246" s="2" t="s">
        <v>779</v>
      </c>
      <c r="C246" s="2" t="s">
        <v>780</v>
      </c>
      <c r="D246" s="2" t="s">
        <v>682</v>
      </c>
      <c r="E246" s="2" t="s">
        <v>14</v>
      </c>
      <c r="F246" s="2" t="s">
        <v>15</v>
      </c>
      <c r="G246" s="2" t="s">
        <v>781</v>
      </c>
      <c r="H246" s="2" t="s">
        <v>31</v>
      </c>
      <c r="I246" s="2" t="str">
        <f>IFERROR(__xludf.DUMMYFUNCTION("GOOGLETRANSLATE(C246,""fr"",""en"")"),"car contract
Certainly very fast to make you a quote and collect your subscription.
But also very fast to increase the subscription: at Maaf, the auto contract leaves in early January. So, the method is simple: Maaf offers you an attractive contract at "&amp;"X euros for a car purchased in September 2020 for example. But in November you receive the contribution call for the year 2021 to X euros + a good increase ( + € 50 in my case). Perhaps this is a welcome gift, just to thank you for coming to Maaf two mont"&amp;"hs earlier and congratulating you on the passage for not having a disaster ...
Very slow to remind you on the phone- we are still waiting
Very slow to answer you by email- we are still waiting
So tired of these methods, I am now waiting for the anniver"&amp;"sary of the contract to change ...")</f>
        <v>car contract
Certainly very fast to make you a quote and collect your subscription.
But also very fast to increase the subscription: at Maaf, the auto contract leaves in early January. So, the method is simple: Maaf offers you an attractive contract at X euros for a car purchased in September 2020 for example. But in November you receive the contribution call for the year 2021 to X euros + a good increase ( + € 50 in my case). Perhaps this is a welcome gift, just to thank you for coming to Maaf two months earlier and congratulating you on the passage for not having a disaster ...
Very slow to remind you on the phone- we are still waiting
Very slow to answer you by email- we are still waiting
So tired of these methods, I am now waiting for the anniversary of the contract to change ...</v>
      </c>
    </row>
    <row r="247" ht="15.75" customHeight="1">
      <c r="B247" s="2" t="s">
        <v>782</v>
      </c>
      <c r="C247" s="2" t="s">
        <v>783</v>
      </c>
      <c r="D247" s="2" t="s">
        <v>682</v>
      </c>
      <c r="E247" s="2" t="s">
        <v>14</v>
      </c>
      <c r="F247" s="2" t="s">
        <v>15</v>
      </c>
      <c r="G247" s="2" t="s">
        <v>37</v>
      </c>
      <c r="H247" s="2" t="s">
        <v>31</v>
      </c>
      <c r="I247" s="2" t="str">
        <f>IFERROR(__xludf.DUMMYFUNCTION("GOOGLETRANSLATE(C247,""fr"",""en"")"),"I was insured at the MAAF for 3 years, I needed a MUAF Mutual sold me a mutual ghost !!!!
It is unacceptable to make fun of an insured person. I strongly advise against ensuring at home. They are liars for commercial purposes.")</f>
        <v>I was insured at the MAAF for 3 years, I needed a MUAF Mutual sold me a mutual ghost !!!!
It is unacceptable to make fun of an insured person. I strongly advise against ensuring at home. They are liars for commercial purposes.</v>
      </c>
    </row>
    <row r="248" ht="15.75" customHeight="1">
      <c r="B248" s="2" t="s">
        <v>784</v>
      </c>
      <c r="C248" s="2" t="s">
        <v>785</v>
      </c>
      <c r="D248" s="2" t="s">
        <v>682</v>
      </c>
      <c r="E248" s="2" t="s">
        <v>14</v>
      </c>
      <c r="F248" s="2" t="s">
        <v>15</v>
      </c>
      <c r="G248" s="2" t="s">
        <v>786</v>
      </c>
      <c r="H248" s="2" t="s">
        <v>31</v>
      </c>
      <c r="I248" s="2" t="str">
        <f>IFERROR(__xludf.DUMMYFUNCTION("GOOGLETRANSLATE(C248,""fr"",""en"")"),"That Maaf did not reflect the benefits made during confinements unlike other insurances is a fault!
The too loyal customers do not win, despite the Max bonus for life.")</f>
        <v>That Maaf did not reflect the benefits made during confinements unlike other insurances is a fault!
The too loyal customers do not win, despite the Max bonus for life.</v>
      </c>
    </row>
    <row r="249" ht="15.75" customHeight="1">
      <c r="B249" s="2" t="s">
        <v>787</v>
      </c>
      <c r="C249" s="2" t="s">
        <v>788</v>
      </c>
      <c r="D249" s="2" t="s">
        <v>682</v>
      </c>
      <c r="E249" s="2" t="s">
        <v>14</v>
      </c>
      <c r="F249" s="2" t="s">
        <v>15</v>
      </c>
      <c r="G249" s="2" t="s">
        <v>789</v>
      </c>
      <c r="H249" s="2" t="s">
        <v>31</v>
      </c>
      <c r="I249" s="2" t="str">
        <f>IFERROR(__xludf.DUMMYFUNCTION("GOOGLETRANSLATE(C249,""fr"",""en"")"),"Hello
After consulting an E insurance comparator site after having entered all the contact details The online MAFF site told me a price for my vehicle of 483 euros ,,,, for all -risk insurance
I have just received my deadline for the same vehicle as the"&amp;" one I had indicated on the comparator and despite an additional bonis of 6% the cost is 614 euros
Contact the correspondent MAFF explained to me that in my contract I had + some additional options, especially in deductible level and an additional warran"&amp;"ty of 1 million in the event of physical damage to the 500,000 euros in the. Comparator proposal
I asked that I am made a proposal by putting this amount in my current contract that of the 614 euros, which would seem impossible
As a purpose I find that "&amp;"your offer on the internet /comparator is quite truncated or the real that I pay is quite expensive, see can be competitive above all pure a contract of less than 8000 kilometers annual especially that I do less than 4000 kilometers per year
Here is the "&amp;"assessment that I draw from this procedure
Cordially
Milan Daniel")</f>
        <v>Hello
After consulting an E insurance comparator site after having entered all the contact details The online MAFF site told me a price for my vehicle of 483 euros ,,,, for all -risk insurance
I have just received my deadline for the same vehicle as the one I had indicated on the comparator and despite an additional bonis of 6% the cost is 614 euros
Contact the correspondent MAFF explained to me that in my contract I had + some additional options, especially in deductible level and an additional warranty of 1 million in the event of physical damage to the 500,000 euros in the. Comparator proposal
I asked that I am made a proposal by putting this amount in my current contract that of the 614 euros, which would seem impossible
As a purpose I find that your offer on the internet /comparator is quite truncated or the real that I pay is quite expensive, see can be competitive above all pure a contract of less than 8000 kilometers annual especially that I do less than 4000 kilometers per year
Here is the assessment that I draw from this procedure
Cordially
Milan Daniel</v>
      </c>
    </row>
    <row r="250" ht="15.75" customHeight="1">
      <c r="B250" s="2" t="s">
        <v>790</v>
      </c>
      <c r="C250" s="2" t="s">
        <v>791</v>
      </c>
      <c r="D250" s="2" t="s">
        <v>682</v>
      </c>
      <c r="E250" s="2" t="s">
        <v>14</v>
      </c>
      <c r="F250" s="2" t="s">
        <v>15</v>
      </c>
      <c r="G250" s="2" t="s">
        <v>419</v>
      </c>
      <c r="H250" s="2" t="s">
        <v>31</v>
      </c>
      <c r="I250" s="2" t="str">
        <f>IFERROR(__xludf.DUMMYFUNCTION("GOOGLETRANSLATE(C250,""fr"",""en"")"),"For 2021Cinq percent on my car insurance thank you the maaf !!! Knowing that we had 3 months of confinement there was necessarily less accident.")</f>
        <v>For 2021Cinq percent on my car insurance thank you the maaf !!! Knowing that we had 3 months of confinement there was necessarily less accident.</v>
      </c>
    </row>
    <row r="251" ht="15.75" customHeight="1">
      <c r="B251" s="2" t="s">
        <v>792</v>
      </c>
      <c r="C251" s="2" t="s">
        <v>793</v>
      </c>
      <c r="D251" s="2" t="s">
        <v>682</v>
      </c>
      <c r="E251" s="2" t="s">
        <v>14</v>
      </c>
      <c r="F251" s="2" t="s">
        <v>15</v>
      </c>
      <c r="G251" s="2" t="s">
        <v>794</v>
      </c>
      <c r="H251" s="2" t="s">
        <v>31</v>
      </c>
      <c r="I251" s="2" t="str">
        <f>IFERROR(__xludf.DUMMYFUNCTION("GOOGLETRANSLATE(C251,""fr"",""en"")"),"The prices are still clearly increasing for no reason. I wonder where they will seek that the prices do not increase (I have been a customer for 30 years, maximum bonus, good driver, no liable liable for 30 years, etc ...)")</f>
        <v>The prices are still clearly increasing for no reason. I wonder where they will seek that the prices do not increase (I have been a customer for 30 years, maximum bonus, good driver, no liable liable for 30 years, etc ...)</v>
      </c>
    </row>
    <row r="252" ht="15.75" customHeight="1">
      <c r="B252" s="2" t="s">
        <v>795</v>
      </c>
      <c r="C252" s="2" t="s">
        <v>796</v>
      </c>
      <c r="D252" s="2" t="s">
        <v>682</v>
      </c>
      <c r="E252" s="2" t="s">
        <v>14</v>
      </c>
      <c r="F252" s="2" t="s">
        <v>15</v>
      </c>
      <c r="G252" s="2" t="s">
        <v>797</v>
      </c>
      <c r="H252" s="2" t="s">
        <v>31</v>
      </c>
      <c r="I252" s="2" t="str">
        <f>IFERROR(__xludf.DUMMYFUNCTION("GOOGLETRANSLATE(C252,""fr"",""en"")"),"After 10 years at Maaf where they took my money without I had an accident, it was enough for 2 responsible accidents for me to turn. No recognition of this insurance for loyalty, moreover, all our other contracts I will withdraw them")</f>
        <v>After 10 years at Maaf where they took my money without I had an accident, it was enough for 2 responsible accidents for me to turn. No recognition of this insurance for loyalty, moreover, all our other contracts I will withdraw them</v>
      </c>
    </row>
    <row r="253" ht="15.75" customHeight="1">
      <c r="B253" s="2" t="s">
        <v>798</v>
      </c>
      <c r="C253" s="2" t="s">
        <v>799</v>
      </c>
      <c r="D253" s="2" t="s">
        <v>682</v>
      </c>
      <c r="E253" s="2" t="s">
        <v>14</v>
      </c>
      <c r="F253" s="2" t="s">
        <v>15</v>
      </c>
      <c r="G253" s="2" t="s">
        <v>800</v>
      </c>
      <c r="H253" s="2" t="s">
        <v>31</v>
      </c>
      <c r="I253" s="2" t="str">
        <f>IFERROR(__xludf.DUMMYFUNCTION("GOOGLETRANSLATE(C253,""fr"",""en"")"),"Overall I never had any problems, I sometimes had to insist, each of my requests was heard and I must say that I am rather satisfied.")</f>
        <v>Overall I never had any problems, I sometimes had to insist, each of my requests was heard and I must say that I am rather satisfied.</v>
      </c>
    </row>
    <row r="254" ht="15.75" customHeight="1">
      <c r="B254" s="2" t="s">
        <v>801</v>
      </c>
      <c r="C254" s="2" t="s">
        <v>802</v>
      </c>
      <c r="D254" s="2" t="s">
        <v>682</v>
      </c>
      <c r="E254" s="2" t="s">
        <v>14</v>
      </c>
      <c r="F254" s="2" t="s">
        <v>15</v>
      </c>
      <c r="G254" s="2" t="s">
        <v>43</v>
      </c>
      <c r="H254" s="2" t="s">
        <v>31</v>
      </c>
      <c r="I254" s="2" t="str">
        <f>IFERROR(__xludf.DUMMYFUNCTION("GOOGLETRANSLATE(C254,""fr"",""en"")"),"Not had to appreciate the negative response, also followed, was long overdue, concerning my request ""Delivery on car insurance premium"" following the 1st coronavirus confinement.
Other companies have made this premium reduction gesture.")</f>
        <v>Not had to appreciate the negative response, also followed, was long overdue, concerning my request "Delivery on car insurance premium" following the 1st coronavirus confinement.
Other companies have made this premium reduction gesture.</v>
      </c>
    </row>
    <row r="255" ht="15.75" customHeight="1">
      <c r="B255" s="2" t="s">
        <v>803</v>
      </c>
      <c r="C255" s="2" t="s">
        <v>804</v>
      </c>
      <c r="D255" s="2" t="s">
        <v>682</v>
      </c>
      <c r="E255" s="2" t="s">
        <v>14</v>
      </c>
      <c r="F255" s="2" t="s">
        <v>15</v>
      </c>
      <c r="G255" s="2" t="s">
        <v>805</v>
      </c>
      <c r="H255" s="2" t="s">
        <v>49</v>
      </c>
      <c r="I255" s="2" t="str">
        <f>IFERROR(__xludf.DUMMYFUNCTION("GOOGLETRANSLATE(C255,""fr"",""en"")"),"To avoid. Insured for 8 years at home, I had a disaster in which I am not responsible.
The observation made and the appointment made from the mechanic for repair, no call or written, no information concerning the file and on the progress of certain costs"&amp;" is made. Today I have to adjust an astronomical sum to the mechanic without being aware of it. I had to harass the insurance of many calls to take into account the file and their wrongs on the non -transparency of information, but apart from telling me t"&amp;"hat it was a shame for me, nothing was done from them.
In short, as long as we have no accident it goes well and when we need them, they are not there for us despite everything the money we pay to them.")</f>
        <v>To avoid. Insured for 8 years at home, I had a disaster in which I am not responsible.
The observation made and the appointment made from the mechanic for repair, no call or written, no information concerning the file and on the progress of certain costs is made. Today I have to adjust an astronomical sum to the mechanic without being aware of it. I had to harass the insurance of many calls to take into account the file and their wrongs on the non -transparency of information, but apart from telling me that it was a shame for me, nothing was done from them.
In short, as long as we have no accident it goes well and when we need them, they are not there for us despite everything the money we pay to them.</v>
      </c>
    </row>
    <row r="256" ht="15.75" customHeight="1">
      <c r="B256" s="2" t="s">
        <v>806</v>
      </c>
      <c r="C256" s="2" t="s">
        <v>807</v>
      </c>
      <c r="D256" s="2" t="s">
        <v>682</v>
      </c>
      <c r="E256" s="2" t="s">
        <v>14</v>
      </c>
      <c r="F256" s="2" t="s">
        <v>15</v>
      </c>
      <c r="G256" s="2" t="s">
        <v>808</v>
      </c>
      <c r="H256" s="2" t="s">
        <v>56</v>
      </c>
      <c r="I256" s="2" t="str">
        <f>IFERROR(__xludf.DUMMYFUNCTION("GOOGLETRANSLATE(C256,""fr"",""en"")"),"They just forget to say to a little girl to whom they made a quote by phone that if she wants to pay monthly she will have 50 € more to pay and when she receives her contract and that she calls the advisers of the maaf are incapable To explain to him the "&amp;"price difference between the quote and the final contract. She was forced to go to an agency (Pessac) to have the answer. No commercial discount ... At this price she had found another insurance which seemed more professional but too late she was engaged "&amp;"with the MAAF for 1 year without having signed any contract.
Young student, 50 € of price difference is a lot.
The director of the Pessac agency clearly told us that if there were too many claims it could be radiated.
It's just lamentable.
My daughter"&amp;" will not stay there over a year and her father and I will allege all our MAAF contracts.
")</f>
        <v>They just forget to say to a little girl to whom they made a quote by phone that if she wants to pay monthly she will have 50 € more to pay and when she receives her contract and that she calls the advisers of the maaf are incapable To explain to him the price difference between the quote and the final contract. She was forced to go to an agency (Pessac) to have the answer. No commercial discount ... At this price she had found another insurance which seemed more professional but too late she was engaged with the MAAF for 1 year without having signed any contract.
Young student, 50 € of price difference is a lot.
The director of the Pessac agency clearly told us that if there were too many claims it could be radiated.
It's just lamentable.
My daughter will not stay there over a year and her father and I will allege all our MAAF contracts.
</v>
      </c>
    </row>
    <row r="257" ht="15.75" customHeight="1">
      <c r="B257" s="2" t="s">
        <v>809</v>
      </c>
      <c r="C257" s="2" t="s">
        <v>810</v>
      </c>
      <c r="D257" s="2" t="s">
        <v>682</v>
      </c>
      <c r="E257" s="2" t="s">
        <v>14</v>
      </c>
      <c r="F257" s="2" t="s">
        <v>15</v>
      </c>
      <c r="G257" s="2" t="s">
        <v>68</v>
      </c>
      <c r="H257" s="2" t="s">
        <v>56</v>
      </c>
      <c r="I257" s="2" t="str">
        <f>IFERROR(__xludf.DUMMYFUNCTION("GOOGLETRANSLATE(C257,""fr"",""en"")"),"Implementation assistance after incident.
Flealed tire .... a Friday evening.
Immediate and professional care by the assistance service with intervention of a tray truck responsible for taking my vehicle to the mechanic of my choice.
(Too bad not to be"&amp;" able to involve the chosen mechanic directly, with a tray and located 1km from the place of my breakdown and to wait for the intervention of an approved third -party convenience store located at 20kms)
As part of the provision of a substitution vehicle,"&amp;" the management of my request was also rapid and efficient.
This was not, unfortunately the case of the provider requested for the provision of a vehicle.
First of all no question of fast management, nor provision of a taxi to reach the rental agency. I"&amp;" had to wait for the return of an employee engaged on a mission to sixty kms.
In addition, this Friday evening, the agency no longer has vehicles corresponding to that planned as part of my assistance.
And I am offered a kangoo-fougon or a minibus ....."&amp;"... why not a battle tank or a hot air balloon ???????
So I declined the proposal and therefore feared it differently. !!.
I find it distressing the fact of having to set an additional contribution for an option ...... not operational.
Aware that the l"&amp;"ack of care is the fact of the rental provider and not the MAAF. The assistance service should still ensure the possibility of implementing this service by the designated service provider and the MAAF allow the applicant to go through another agency or to"&amp;" pay the various costs that may be incurred.
Complaint committed to Maaf ... awaiting possible consequences.
")</f>
        <v>Implementation assistance after incident.
Flealed tire .... a Friday evening.
Immediate and professional care by the assistance service with intervention of a tray truck responsible for taking my vehicle to the mechanic of my choice.
(Too bad not to be able to involve the chosen mechanic directly, with a tray and located 1km from the place of my breakdown and to wait for the intervention of an approved third -party convenience store located at 20kms)
As part of the provision of a substitution vehicle, the management of my request was also rapid and efficient.
This was not, unfortunately the case of the provider requested for the provision of a vehicle.
First of all no question of fast management, nor provision of a taxi to reach the rental agency. I had to wait for the return of an employee engaged on a mission to sixty kms.
In addition, this Friday evening, the agency no longer has vehicles corresponding to that planned as part of my assistance.
And I am offered a kangoo-fougon or a minibus ........ why not a battle tank or a hot air balloon ???????
So I declined the proposal and therefore feared it differently. !!.
I find it distressing the fact of having to set an additional contribution for an option ...... not operational.
Aware that the lack of care is the fact of the rental provider and not the MAAF. The assistance service should still ensure the possibility of implementing this service by the designated service provider and the MAAF allow the applicant to go through another agency or to pay the various costs that may be incurred.
Complaint committed to Maaf ... awaiting possible consequences.
</v>
      </c>
    </row>
    <row r="258" ht="15.75" customHeight="1">
      <c r="B258" s="2" t="s">
        <v>811</v>
      </c>
      <c r="C258" s="2" t="s">
        <v>812</v>
      </c>
      <c r="D258" s="2" t="s">
        <v>682</v>
      </c>
      <c r="E258" s="2" t="s">
        <v>14</v>
      </c>
      <c r="F258" s="2" t="s">
        <v>15</v>
      </c>
      <c r="G258" s="2" t="s">
        <v>813</v>
      </c>
      <c r="H258" s="2" t="s">
        <v>56</v>
      </c>
      <c r="I258" s="2" t="str">
        <f>IFERROR(__xludf.DUMMYFUNCTION("GOOGLETRANSLATE(C258,""fr"",""en"")"),"Very satisfied with their service and their commercial gesture during confinement
I do not intend to change my insurance company
Therefore I recommend Maaf")</f>
        <v>Very satisfied with their service and their commercial gesture during confinement
I do not intend to change my insurance company
Therefore I recommend Maaf</v>
      </c>
    </row>
    <row r="259" ht="15.75" customHeight="1">
      <c r="B259" s="2" t="s">
        <v>814</v>
      </c>
      <c r="C259" s="2" t="s">
        <v>815</v>
      </c>
      <c r="D259" s="2" t="s">
        <v>682</v>
      </c>
      <c r="E259" s="2" t="s">
        <v>14</v>
      </c>
      <c r="F259" s="2" t="s">
        <v>15</v>
      </c>
      <c r="G259" s="2" t="s">
        <v>816</v>
      </c>
      <c r="H259" s="2" t="s">
        <v>56</v>
      </c>
      <c r="I259" s="2" t="str">
        <f>IFERROR(__xludf.DUMMYFUNCTION("GOOGLETRANSLATE(C259,""fr"",""en"")"),"An attractive offer, but a mediocre service.
An insurance company that does not receive any online document, but does not do the necessary for you to be informed of the documents you have to file, and to agree on an appointment (an unanswered telephone c"&amp;"all Not enough).")</f>
        <v>An attractive offer, but a mediocre service.
An insurance company that does not receive any online document, but does not do the necessary for you to be informed of the documents you have to file, and to agree on an appointment (an unanswered telephone call Not enough).</v>
      </c>
    </row>
    <row r="260" ht="15.75" customHeight="1">
      <c r="B260" s="2" t="s">
        <v>817</v>
      </c>
      <c r="C260" s="2" t="s">
        <v>818</v>
      </c>
      <c r="D260" s="2" t="s">
        <v>682</v>
      </c>
      <c r="E260" s="2" t="s">
        <v>14</v>
      </c>
      <c r="F260" s="2" t="s">
        <v>15</v>
      </c>
      <c r="G260" s="2" t="s">
        <v>75</v>
      </c>
      <c r="H260" s="2" t="s">
        <v>72</v>
      </c>
      <c r="I260" s="2" t="str">
        <f>IFERROR(__xludf.DUMMYFUNCTION("GOOGLETRANSLATE(C260,""fr"",""en"")"),"To flee ... I am assured at the MAAF for my vehicle (doubled by a pension contract) since 1999 years with a single responsible accident in more than 20 years (a small hung which cost them € 200). I received a letter referring to an interview (which I neve"&amp;"r had ...), and indicating myself the change in the conditions of the contract with a deductible increased at 500 € within 1 month, failing which I would be Tented ... thinking of an error, I tried to join my agency to understand systematically falling on"&amp;" their customer service which is not a service-client (disrespectful and mocking in the face of my misunderstanding). I ended up understanding that penalized by 2 non-responsible accidents in 2017-2018, the MAAF no longer wanted to make sure ... I ended u"&amp;"p going to see elsewhere and realized that with superior guarantees I will pay cheaper ! What boon !! I heard that the MAAF was in big financial difficulty and was cleaning; I do not think that separating from your faithful old customers is the best optio"&amp;"n; Anyway, given the price difference and the deplorable quality of the client service and agency staff, I have no regrets!")</f>
        <v>To flee ... I am assured at the MAAF for my vehicle (doubled by a pension contract) since 1999 years with a single responsible accident in more than 20 years (a small hung which cost them € 200). I received a letter referring to an interview (which I never had ...), and indicating myself the change in the conditions of the contract with a deductible increased at 500 € within 1 month, failing which I would be Tented ... thinking of an error, I tried to join my agency to understand systematically falling on their customer service which is not a service-client (disrespectful and mocking in the face of my misunderstanding). I ended up understanding that penalized by 2 non-responsible accidents in 2017-2018, the MAAF no longer wanted to make sure ... I ended up going to see elsewhere and realized that with superior guarantees I will pay cheaper ! What boon !! I heard that the MAAF was in big financial difficulty and was cleaning; I do not think that separating from your faithful old customers is the best option; Anyway, given the price difference and the deplorable quality of the client service and agency staff, I have no regrets!</v>
      </c>
    </row>
    <row r="261" ht="15.75" customHeight="1">
      <c r="B261" s="2" t="s">
        <v>819</v>
      </c>
      <c r="C261" s="2" t="s">
        <v>820</v>
      </c>
      <c r="D261" s="2" t="s">
        <v>682</v>
      </c>
      <c r="E261" s="2" t="s">
        <v>14</v>
      </c>
      <c r="F261" s="2" t="s">
        <v>15</v>
      </c>
      <c r="G261" s="2" t="s">
        <v>90</v>
      </c>
      <c r="H261" s="2" t="s">
        <v>72</v>
      </c>
      <c r="I261" s="2" t="str">
        <f>IFERROR(__xludf.DUMMYFUNCTION("GOOGLETRANSLATE(C261,""fr"",""en"")"),"No problem for 17 years of maaf insurance no claim ....
A non -responsible loss loss identified without dispute from him questioned of the maaf expert's experts and this without seeing the vehicle responsible
To reach a adviser from my Tours agency and "&amp;"by composing the number my successive interlocutors were from Moulin Toulouse Montpellier and Niort or my disaster is treated! Obviously bonus for life and vehicle assured all risks The maaf refuses me all compensation taking refuge behind the only report"&amp;" of an expert obviously leaving me the choice of expertise at my expense time money and uncertainty the complete cocktail to increase the invoice! With ultimately with a reception of the manager of my agency with a consideration for customers without very"&amp;" questionable disaster with limited knowledge on the procedures to follow for the counter expertise and unable Without even listening to my arguments! We expect better from his insurer .... Another choice is essential!")</f>
        <v>No problem for 17 years of maaf insurance no claim ....
A non -responsible loss loss identified without dispute from him questioned of the maaf expert's experts and this without seeing the vehicle responsible
To reach a adviser from my Tours agency and by composing the number my successive interlocutors were from Moulin Toulouse Montpellier and Niort or my disaster is treated! Obviously bonus for life and vehicle assured all risks The maaf refuses me all compensation taking refuge behind the only report of an expert obviously leaving me the choice of expertise at my expense time money and uncertainty the complete cocktail to increase the invoice! With ultimately with a reception of the manager of my agency with a consideration for customers without very questionable disaster with limited knowledge on the procedures to follow for the counter expertise and unable Without even listening to my arguments! We expect better from his insurer .... Another choice is essential!</v>
      </c>
    </row>
    <row r="262" ht="15.75" customHeight="1">
      <c r="B262" s="2" t="s">
        <v>821</v>
      </c>
      <c r="C262" s="2" t="s">
        <v>822</v>
      </c>
      <c r="D262" s="2" t="s">
        <v>682</v>
      </c>
      <c r="E262" s="2" t="s">
        <v>14</v>
      </c>
      <c r="F262" s="2" t="s">
        <v>15</v>
      </c>
      <c r="G262" s="2" t="s">
        <v>823</v>
      </c>
      <c r="H262" s="2" t="s">
        <v>72</v>
      </c>
      <c r="I262" s="2" t="str">
        <f>IFERROR(__xludf.DUMMYFUNCTION("GOOGLETRANSLATE(C262,""fr"",""en"")"),"Until the claim, everything is fine (as soon as you pay without consideration).
On the other hand, faced with my first disaster at home, here is what I blame them for:
- Contractual bad faith (1104 New of the Civil Code)
- Expert voluntarily excluded"&amp;" from the resulting damage directly from the shock under the cover of an alleged second shock which has in reality never arrived and without any proof except his words that do the business of the insurer.
- The advisers do the deaf as soon as you write t"&amp;"hem and only come back to you if you threaten them to grasp mediator / justice and again the game is well established: even if it is aberrate to exclude direct damage from the shock, They will tell you that they believe their expert and that you must pay "&amp;"for a counter expertise if you want to make them recognize the evidence ....
- Makes you clear, clearly.
In short, being a lawyer by training and having worked myself in insurance, I strongly advise against this company, if we can qualify such practic"&amp;"es an insurance company entity!")</f>
        <v>Until the claim, everything is fine (as soon as you pay without consideration).
On the other hand, faced with my first disaster at home, here is what I blame them for:
- Contractual bad faith (1104 New of the Civil Code)
- Expert voluntarily excluded from the resulting damage directly from the shock under the cover of an alleged second shock which has in reality never arrived and without any proof except his words that do the business of the insurer.
- The advisers do the deaf as soon as you write them and only come back to you if you threaten them to grasp mediator / justice and again the game is well established: even if it is aberrate to exclude direct damage from the shock, They will tell you that they believe their expert and that you must pay for a counter expertise if you want to make them recognize the evidence ....
- Makes you clear, clearly.
In short, being a lawyer by training and having worked myself in insurance, I strongly advise against this company, if we can qualify such practices an insurance company entity!</v>
      </c>
    </row>
    <row r="263" ht="15.75" customHeight="1">
      <c r="B263" s="2" t="s">
        <v>824</v>
      </c>
      <c r="C263" s="2" t="s">
        <v>825</v>
      </c>
      <c r="D263" s="2" t="s">
        <v>682</v>
      </c>
      <c r="E263" s="2" t="s">
        <v>14</v>
      </c>
      <c r="F263" s="2" t="s">
        <v>15</v>
      </c>
      <c r="G263" s="2" t="s">
        <v>826</v>
      </c>
      <c r="H263" s="2" t="s">
        <v>72</v>
      </c>
      <c r="I263" s="2" t="str">
        <f>IFERROR(__xludf.DUMMYFUNCTION("GOOGLETRANSLATE(C263,""fr"",""en"")"),"Available advisers, listening and reactive.
A price that seems to be in line with the service offered (even if we have not yet had the opportunity to test it in the event of a claim).")</f>
        <v>Available advisers, listening and reactive.
A price that seems to be in line with the service offered (even if we have not yet had the opportunity to test it in the event of a claim).</v>
      </c>
    </row>
    <row r="264" ht="15.75" customHeight="1">
      <c r="B264" s="2" t="s">
        <v>827</v>
      </c>
      <c r="C264" s="2" t="s">
        <v>828</v>
      </c>
      <c r="D264" s="2" t="s">
        <v>682</v>
      </c>
      <c r="E264" s="2" t="s">
        <v>14</v>
      </c>
      <c r="F264" s="2" t="s">
        <v>15</v>
      </c>
      <c r="G264" s="2" t="s">
        <v>829</v>
      </c>
      <c r="H264" s="2" t="s">
        <v>99</v>
      </c>
      <c r="I264" s="2" t="str">
        <f>IFERROR(__xludf.DUMMYFUNCTION("GOOGLETRANSLATE(C264,""fr"",""en"")"),"Communication problem - Cher insurance - incompetent person - Impossible to attach by phone - Error in the prevalents -
Review all the prices missing in information")</f>
        <v>Communication problem - Cher insurance - incompetent person - Impossible to attach by phone - Error in the prevalents -
Review all the prices missing in information</v>
      </c>
    </row>
    <row r="265" ht="15.75" customHeight="1">
      <c r="B265" s="2" t="s">
        <v>830</v>
      </c>
      <c r="C265" s="2" t="s">
        <v>831</v>
      </c>
      <c r="D265" s="2" t="s">
        <v>682</v>
      </c>
      <c r="E265" s="2" t="s">
        <v>14</v>
      </c>
      <c r="F265" s="2" t="s">
        <v>15</v>
      </c>
      <c r="G265" s="2" t="s">
        <v>832</v>
      </c>
      <c r="H265" s="2" t="s">
        <v>99</v>
      </c>
      <c r="I265" s="2" t="str">
        <f>IFERROR(__xludf.DUMMYFUNCTION("GOOGLETRANSLATE(C265,""fr"",""en"")"),"Insured for 20 years at home
 Only 1 accident right! 1 year ago
My vehicle at the breakage my contract stops
And when I want to reassure myself for a new vehicle after 1 year
He simply refuses without an explanation
Stunned and disappointed
Ms. Aggo"&amp;"une Wassila")</f>
        <v>Insured for 20 years at home
 Only 1 accident right! 1 year ago
My vehicle at the breakage my contract stops
And when I want to reassure myself for a new vehicle after 1 year
He simply refuses without an explanation
Stunned and disappointed
Ms. Aggoune Wassila</v>
      </c>
    </row>
    <row r="266" ht="15.75" customHeight="1">
      <c r="B266" s="2" t="s">
        <v>833</v>
      </c>
      <c r="C266" s="2" t="s">
        <v>834</v>
      </c>
      <c r="D266" s="2" t="s">
        <v>682</v>
      </c>
      <c r="E266" s="2" t="s">
        <v>14</v>
      </c>
      <c r="F266" s="2" t="s">
        <v>15</v>
      </c>
      <c r="G266" s="2" t="s">
        <v>835</v>
      </c>
      <c r="H266" s="2" t="s">
        <v>99</v>
      </c>
      <c r="I266" s="2" t="str">
        <f>IFERROR(__xludf.DUMMYFUNCTION("GOOGLETRANSLATE(C266,""fr"",""en"")"),"Not a member but a victim of a member, the MAAF obstructs the amicable treatment in total contradiction of the expert's report that it has mandated. Would it have financial difficulties? Or is she too stingy to pay what she owes? On the other hand, she kn"&amp;"ows how to claim what you owe her. Respect the law, in particular Badinter, this is the 1st brand of respect you owe to your customers and to the victims of your customers.")</f>
        <v>Not a member but a victim of a member, the MAAF obstructs the amicable treatment in total contradiction of the expert's report that it has mandated. Would it have financial difficulties? Or is she too stingy to pay what she owes? On the other hand, she knows how to claim what you owe her. Respect the law, in particular Badinter, this is the 1st brand of respect you owe to your customers and to the victims of your customers.</v>
      </c>
    </row>
    <row r="267" ht="15.75" customHeight="1">
      <c r="B267" s="2" t="s">
        <v>836</v>
      </c>
      <c r="C267" s="2" t="s">
        <v>837</v>
      </c>
      <c r="D267" s="2" t="s">
        <v>682</v>
      </c>
      <c r="E267" s="2" t="s">
        <v>14</v>
      </c>
      <c r="F267" s="2" t="s">
        <v>15</v>
      </c>
      <c r="G267" s="2" t="s">
        <v>838</v>
      </c>
      <c r="H267" s="2" t="s">
        <v>112</v>
      </c>
      <c r="I267" s="2" t="str">
        <f>IFERROR(__xludf.DUMMYFUNCTION("GOOGLETRANSLATE(C267,""fr"",""en"")")," Victim of an identifiable third -party accident and during the containment period, I was able to easily reach an advisor who took care of my file. The expert did their maximum to try to speed up the procedure using computers. From the end of the confinem"&amp;"ent LJ was able to quickly an appointment with the repairer. A courtesy vehicle was loaned to me. A boredom at the start, certainly but settled without worries in an unprecedented period.")</f>
        <v> Victim of an identifiable third -party accident and during the containment period, I was able to easily reach an advisor who took care of my file. The expert did their maximum to try to speed up the procedure using computers. From the end of the confinement LJ was able to quickly an appointment with the repairer. A courtesy vehicle was loaned to me. A boredom at the start, certainly but settled without worries in an unprecedented period.</v>
      </c>
    </row>
    <row r="268" ht="15.75" customHeight="1">
      <c r="B268" s="2" t="s">
        <v>839</v>
      </c>
      <c r="C268" s="2" t="s">
        <v>840</v>
      </c>
      <c r="D268" s="2" t="s">
        <v>682</v>
      </c>
      <c r="E268" s="2" t="s">
        <v>14</v>
      </c>
      <c r="F268" s="2" t="s">
        <v>15</v>
      </c>
      <c r="G268" s="2" t="s">
        <v>452</v>
      </c>
      <c r="H268" s="2" t="s">
        <v>112</v>
      </c>
      <c r="I268" s="2" t="str">
        <f>IFERROR(__xludf.DUMMYFUNCTION("GOOGLETRANSLATE(C268,""fr"",""en"")"),"Serious insurance, in the event of an accident they are reactive
The reimbursement was quick and at the height of what I expected. I had to stop my contracts because the prices are higher than what I pay today, but we pay for tranquility. I have too many"&amp;" sports vehicles for a single insurer.")</f>
        <v>Serious insurance, in the event of an accident they are reactive
The reimbursement was quick and at the height of what I expected. I had to stop my contracts because the prices are higher than what I pay today, but we pay for tranquility. I have too many sports vehicles for a single insurer.</v>
      </c>
    </row>
    <row r="269" ht="15.75" customHeight="1">
      <c r="B269" s="2" t="s">
        <v>841</v>
      </c>
      <c r="C269" s="2" t="s">
        <v>842</v>
      </c>
      <c r="D269" s="2" t="s">
        <v>682</v>
      </c>
      <c r="E269" s="2" t="s">
        <v>14</v>
      </c>
      <c r="F269" s="2" t="s">
        <v>15</v>
      </c>
      <c r="G269" s="2" t="s">
        <v>843</v>
      </c>
      <c r="H269" s="2" t="s">
        <v>112</v>
      </c>
      <c r="I269" s="2" t="str">
        <f>IFERROR(__xludf.DUMMYFUNCTION("GOOGLETRANSLATE(C269,""fr"",""en"")"),"Not reliable, contradictory answers between what is said by agency staff and what is received from the headquarters.
Commercial service: nothing, they forget that their customers are making them live ...
")</f>
        <v>Not reliable, contradictory answers between what is said by agency staff and what is received from the headquarters.
Commercial service: nothing, they forget that their customers are making them live ...
</v>
      </c>
    </row>
    <row r="270" ht="15.75" customHeight="1">
      <c r="B270" s="2" t="s">
        <v>844</v>
      </c>
      <c r="C270" s="2" t="s">
        <v>845</v>
      </c>
      <c r="D270" s="2" t="s">
        <v>682</v>
      </c>
      <c r="E270" s="2" t="s">
        <v>14</v>
      </c>
      <c r="F270" s="2" t="s">
        <v>15</v>
      </c>
      <c r="G270" s="2" t="s">
        <v>118</v>
      </c>
      <c r="H270" s="2" t="s">
        <v>119</v>
      </c>
      <c r="I270" s="2" t="str">
        <f>IFERROR(__xludf.DUMMYFUNCTION("GOOGLETRANSLATE(C270,""fr"",""en"")"),"For me she corresponds to my expectations")</f>
        <v>For me she corresponds to my expectations</v>
      </c>
    </row>
    <row r="271" ht="15.75" customHeight="1">
      <c r="B271" s="2" t="s">
        <v>846</v>
      </c>
      <c r="C271" s="2" t="s">
        <v>847</v>
      </c>
      <c r="D271" s="2" t="s">
        <v>682</v>
      </c>
      <c r="E271" s="2" t="s">
        <v>14</v>
      </c>
      <c r="F271" s="2" t="s">
        <v>15</v>
      </c>
      <c r="G271" s="2" t="s">
        <v>848</v>
      </c>
      <c r="H271" s="2" t="s">
        <v>119</v>
      </c>
      <c r="I271" s="2" t="str">
        <f>IFERROR(__xludf.DUMMYFUNCTION("GOOGLETRANSLATE(C271,""fr"",""en"")"),"For my part, great satisfaction with the MAAF. Recently, at the stop, during a strong gust of wind, I did not hold my door, which therefore struck the door handle of the neighboring car. No damage for the other car, but my door well damaged. I was fully r"&amp;"esponsible. Repairs entrusted to my usual dealer. Rapid passage of the expert. Works accepted by MAAF (deduction of € 100 franchise as provided by my contract). I was reimbursed by the MAAF, at the central near what was planned, five days later. Let us ad"&amp;"d the internet follow -up, rigorous and easy, of the journey of my ""affair"". So nothing to say, if not well done. (In addition, not too bad driver, I have the ""life bonus"", so no penalty following this unfortunate incident).")</f>
        <v>For my part, great satisfaction with the MAAF. Recently, at the stop, during a strong gust of wind, I did not hold my door, which therefore struck the door handle of the neighboring car. No damage for the other car, but my door well damaged. I was fully responsible. Repairs entrusted to my usual dealer. Rapid passage of the expert. Works accepted by MAAF (deduction of € 100 franchise as provided by my contract). I was reimbursed by the MAAF, at the central near what was planned, five days later. Let us add the internet follow -up, rigorous and easy, of the journey of my "affair". So nothing to say, if not well done. (In addition, not too bad driver, I have the "life bonus", so no penalty following this unfortunate incident).</v>
      </c>
    </row>
    <row r="272" ht="15.75" customHeight="1">
      <c r="B272" s="2" t="s">
        <v>849</v>
      </c>
      <c r="C272" s="2" t="s">
        <v>850</v>
      </c>
      <c r="D272" s="2" t="s">
        <v>682</v>
      </c>
      <c r="E272" s="2" t="s">
        <v>14</v>
      </c>
      <c r="F272" s="2" t="s">
        <v>15</v>
      </c>
      <c r="G272" s="2" t="s">
        <v>851</v>
      </c>
      <c r="H272" s="2" t="s">
        <v>123</v>
      </c>
      <c r="I272" s="2" t="str">
        <f>IFERROR(__xludf.DUMMYFUNCTION("GOOGLETRANSLATE(C272,""fr"",""en"")"),"There is no proposal for ""fleet"" insurance for individuals. I have 5 vehicles and it's like driving them all at the same time ... and therefore price that is affected ...")</f>
        <v>There is no proposal for "fleet" insurance for individuals. I have 5 vehicles and it's like driving them all at the same time ... and therefore price that is affected ...</v>
      </c>
    </row>
    <row r="273" ht="15.75" customHeight="1">
      <c r="B273" s="2" t="s">
        <v>852</v>
      </c>
      <c r="C273" s="2" t="s">
        <v>853</v>
      </c>
      <c r="D273" s="2" t="s">
        <v>682</v>
      </c>
      <c r="E273" s="2" t="s">
        <v>14</v>
      </c>
      <c r="F273" s="2" t="s">
        <v>15</v>
      </c>
      <c r="G273" s="2" t="s">
        <v>122</v>
      </c>
      <c r="H273" s="2" t="s">
        <v>123</v>
      </c>
      <c r="I273" s="2" t="str">
        <f>IFERROR(__xludf.DUMMYFUNCTION("GOOGLETRANSLATE(C273,""fr"",""en"")"),"I have been a customer for over 20 years and they have just refused me the suspension of my professional vehicle insurance contributions while I am in partial unemployment from the Pandemia
I don't enter the box
I haven't had a site for more than 1 mont"&amp;"h
Their offer to suspend contributions is based on nothing probably at the mouth of the customer
Absolutely not united insurance
My wife who is at Crédit Mutuel Assurance had her 2 assurances suspended for 2nd quarter
She was right to see elsewhere")</f>
        <v>I have been a customer for over 20 years and they have just refused me the suspension of my professional vehicle insurance contributions while I am in partial unemployment from the Pandemia
I don't enter the box
I haven't had a site for more than 1 month
Their offer to suspend contributions is based on nothing probably at the mouth of the customer
Absolutely not united insurance
My wife who is at Crédit Mutuel Assurance had her 2 assurances suspended for 2nd quarter
She was right to see elsewhere</v>
      </c>
    </row>
    <row r="274" ht="15.75" customHeight="1">
      <c r="B274" s="2" t="s">
        <v>854</v>
      </c>
      <c r="C274" s="2" t="s">
        <v>855</v>
      </c>
      <c r="D274" s="2" t="s">
        <v>682</v>
      </c>
      <c r="E274" s="2" t="s">
        <v>14</v>
      </c>
      <c r="F274" s="2" t="s">
        <v>15</v>
      </c>
      <c r="G274" s="2" t="s">
        <v>856</v>
      </c>
      <c r="H274" s="2" t="s">
        <v>123</v>
      </c>
      <c r="I274" s="2" t="str">
        <f>IFERROR(__xludf.DUMMYFUNCTION("GOOGLETRANSLATE(C274,""fr"",""en"")"),"Rather satisfied in normal times, but there no. I had subscribed to the Panne guaranteed option in case, there was an alternator defect on my car. Youpi it was in things taken into account and well no insurance did not take this into account. Opinions on "&amp;"the breakdown warranty, other person had problems?")</f>
        <v>Rather satisfied in normal times, but there no. I had subscribed to the Panne guaranteed option in case, there was an alternator defect on my car. Youpi it was in things taken into account and well no insurance did not take this into account. Opinions on the breakdown warranty, other person had problems?</v>
      </c>
    </row>
    <row r="275" ht="15.75" customHeight="1">
      <c r="B275" s="2" t="s">
        <v>857</v>
      </c>
      <c r="C275" s="2" t="s">
        <v>858</v>
      </c>
      <c r="D275" s="2" t="s">
        <v>682</v>
      </c>
      <c r="E275" s="2" t="s">
        <v>14</v>
      </c>
      <c r="F275" s="2" t="s">
        <v>15</v>
      </c>
      <c r="G275" s="2" t="s">
        <v>859</v>
      </c>
      <c r="H275" s="2" t="s">
        <v>149</v>
      </c>
      <c r="I275" s="2" t="str">
        <f>IFERROR(__xludf.DUMMYFUNCTION("GOOGLETRANSLATE(C275,""fr"",""en"")"),"I have my car which suffered the hail in June 2019 and the maaf send it to me to Safragrèle already almost 4 months and it still did not come back I despair of seeing it one day it's more than 3 months that they lie to me I know by the bodybuilder that sh"&amp;"e has been finished for 11 days when Safragrèle tells me that no every 10 days they tell me in 10 days my car must go around France it is not possible otherwise I can no longer 'Wait from these lies my new car has arrived and I cannot go and get it becaus"&amp;"e of these incapable on the other hand I always pay for my insurance even if I' is not my car super la maaf")</f>
        <v>I have my car which suffered the hail in June 2019 and the maaf send it to me to Safragrèle already almost 4 months and it still did not come back I despair of seeing it one day it's more than 3 months that they lie to me I know by the bodybuilder that she has been finished for 11 days when Safragrèle tells me that no every 10 days they tell me in 10 days my car must go around France it is not possible otherwise I can no longer 'Wait from these lies my new car has arrived and I cannot go and get it because of these incapable on the other hand I always pay for my insurance even if I' is not my car super la maaf</v>
      </c>
    </row>
    <row r="276" ht="15.75" customHeight="1">
      <c r="B276" s="2" t="s">
        <v>860</v>
      </c>
      <c r="C276" s="2" t="s">
        <v>861</v>
      </c>
      <c r="D276" s="2" t="s">
        <v>682</v>
      </c>
      <c r="E276" s="2" t="s">
        <v>14</v>
      </c>
      <c r="F276" s="2" t="s">
        <v>15</v>
      </c>
      <c r="G276" s="2" t="s">
        <v>862</v>
      </c>
      <c r="H276" s="2" t="s">
        <v>149</v>
      </c>
      <c r="I276" s="2" t="str">
        <f>IFERROR(__xludf.DUMMYFUNCTION("GOOGLETRANSLATE(C276,""fr"",""en"")"),"No communication. They are long to answer you. He calls you a regular advisor Mme. Martinez that you never have. Nonexistent.")</f>
        <v>No communication. They are long to answer you. He calls you a regular advisor Mme. Martinez that you never have. Nonexistent.</v>
      </c>
    </row>
    <row r="277" ht="15.75" customHeight="1">
      <c r="B277" s="2" t="s">
        <v>863</v>
      </c>
      <c r="C277" s="2" t="s">
        <v>864</v>
      </c>
      <c r="D277" s="2" t="s">
        <v>682</v>
      </c>
      <c r="E277" s="2" t="s">
        <v>14</v>
      </c>
      <c r="F277" s="2" t="s">
        <v>15</v>
      </c>
      <c r="G277" s="2" t="s">
        <v>865</v>
      </c>
      <c r="H277" s="2" t="s">
        <v>165</v>
      </c>
      <c r="I277" s="2" t="str">
        <f>IFERROR(__xludf.DUMMYFUNCTION("GOOGLETRANSLATE(C277,""fr"",""en"")"),"4 claims in 3 years, 1 single with responsibility, without body damage ... I would even say, 4 claims in 20 years ... A life bonus of 50%, but despite that, a proposal to increase the franchise of 50%... I did not respond, I was fired like a messy, and wh"&amp;"en I asked to re-assure myself, we refused")</f>
        <v>4 claims in 3 years, 1 single with responsibility, without body damage ... I would even say, 4 claims in 20 years ... A life bonus of 50%, but despite that, a proposal to increase the franchise of 50%... I did not respond, I was fired like a messy, and when I asked to re-assure myself, we refused</v>
      </c>
    </row>
    <row r="278" ht="15.75" customHeight="1">
      <c r="B278" s="2" t="s">
        <v>866</v>
      </c>
      <c r="C278" s="2" t="s">
        <v>867</v>
      </c>
      <c r="D278" s="2" t="s">
        <v>682</v>
      </c>
      <c r="E278" s="2" t="s">
        <v>14</v>
      </c>
      <c r="F278" s="2" t="s">
        <v>15</v>
      </c>
      <c r="G278" s="2" t="s">
        <v>865</v>
      </c>
      <c r="H278" s="2" t="s">
        <v>165</v>
      </c>
      <c r="I278" s="2" t="str">
        <f>IFERROR(__xludf.DUMMYFUNCTION("GOOGLETRANSLATE(C278,""fr"",""en"")"),"In 15 permits I only had 2 claims, I received a simple letter saying that car insurance was terminated. And when I ask why I am told that it is because of the claims. Because of this impossible to make sure elsewhere.")</f>
        <v>In 15 permits I only had 2 claims, I received a simple letter saying that car insurance was terminated. And when I ask why I am told that it is because of the claims. Because of this impossible to make sure elsewhere.</v>
      </c>
    </row>
    <row r="279" ht="15.75" customHeight="1">
      <c r="B279" s="2" t="s">
        <v>868</v>
      </c>
      <c r="C279" s="2" t="s">
        <v>869</v>
      </c>
      <c r="D279" s="2" t="s">
        <v>682</v>
      </c>
      <c r="E279" s="2" t="s">
        <v>14</v>
      </c>
      <c r="F279" s="2" t="s">
        <v>15</v>
      </c>
      <c r="G279" s="2" t="s">
        <v>870</v>
      </c>
      <c r="H279" s="2" t="s">
        <v>175</v>
      </c>
      <c r="I279" s="2" t="str">
        <f>IFERROR(__xludf.DUMMYFUNCTION("GOOGLETRANSLATE(C279,""fr"",""en"")"),"Insured Maaf for more than half a century on a personal basis and until my retirement on a professional basis, I have been awaiting a response from this insurer for more than six months. I think that in Niort the sense of expression
I come back to you so"&amp;"on is different from the one I read in my dictionary; To be followed and available to trade in mail regarding this case of school.")</f>
        <v>Insured Maaf for more than half a century on a personal basis and until my retirement on a professional basis, I have been awaiting a response from this insurer for more than six months. I think that in Niort the sense of expression
I come back to you soon is different from the one I read in my dictionary; To be followed and available to trade in mail regarding this case of school.</v>
      </c>
    </row>
    <row r="280" ht="15.75" customHeight="1">
      <c r="B280" s="2" t="s">
        <v>871</v>
      </c>
      <c r="C280" s="2" t="s">
        <v>872</v>
      </c>
      <c r="D280" s="2" t="s">
        <v>682</v>
      </c>
      <c r="E280" s="2" t="s">
        <v>14</v>
      </c>
      <c r="F280" s="2" t="s">
        <v>15</v>
      </c>
      <c r="G280" s="2" t="s">
        <v>185</v>
      </c>
      <c r="H280" s="2" t="s">
        <v>179</v>
      </c>
      <c r="I280" s="2" t="str">
        <f>IFERROR(__xludf.DUMMYFUNCTION("GOOGLETRANSLATE(C280,""fr"",""en"")"),"only gives them what suits them, I am ""lucky"" to have an electric wheelchair, well that is not assurable because: electric ... Are they afraid that I do speeds? Périgueux a city like many others or being disabled is a defect, or the sidewalks and access"&amp;" is not taken into account? ... Yet they knew how to make sure me in mutual health, in auto, in responsibility,
I pay a mutual healthy while I am in ALD and taken 100% by social security, I do not cost them cheap .....")</f>
        <v>only gives them what suits them, I am "lucky" to have an electric wheelchair, well that is not assurable because: electric ... Are they afraid that I do speeds? Périgueux a city like many others or being disabled is a defect, or the sidewalks and access is not taken into account? ... Yet they knew how to make sure me in mutual health, in auto, in responsibility,
I pay a mutual healthy while I am in ALD and taken 100% by social security, I do not cost them cheap .....</v>
      </c>
    </row>
    <row r="281" ht="15.75" customHeight="1">
      <c r="B281" s="2" t="s">
        <v>873</v>
      </c>
      <c r="C281" s="2" t="s">
        <v>874</v>
      </c>
      <c r="D281" s="2" t="s">
        <v>682</v>
      </c>
      <c r="E281" s="2" t="s">
        <v>14</v>
      </c>
      <c r="F281" s="2" t="s">
        <v>15</v>
      </c>
      <c r="G281" s="2" t="s">
        <v>875</v>
      </c>
      <c r="H281" s="2" t="s">
        <v>189</v>
      </c>
      <c r="I281" s="2" t="str">
        <f>IFERROR(__xludf.DUMMYFUNCTION("GOOGLETRANSLATE(C281,""fr"",""en"")"),"2 months ago I was kicked out my vehicle parked in a balance sheet car park
economically non -repairable vehicle
I'm still waiting for a compensation check sent to be said to be 2 weeks ago I specify that La Poste is not on strike
I ask for the cancell"&amp;"ation of the check for being done by bank transfer that I asked at the start and the response was
It will take longer than a check
I am told that I cannot cancel for 1 month
I do not have the funds to advance the lachat of a vehicle and find myself wit"&amp;"hout vehicle for 2 months
I feel as taken hostage because the maaf does not bring me a effective and fast solution")</f>
        <v>2 months ago I was kicked out my vehicle parked in a balance sheet car park
economically non -repairable vehicle
I'm still waiting for a compensation check sent to be said to be 2 weeks ago I specify that La Poste is not on strike
I ask for the cancellation of the check for being done by bank transfer that I asked at the start and the response was
It will take longer than a check
I am told that I cannot cancel for 1 month
I do not have the funds to advance the lachat of a vehicle and find myself without vehicle for 2 months
I feel as taken hostage because the maaf does not bring me a effective and fast solution</v>
      </c>
    </row>
    <row r="282" ht="15.75" customHeight="1">
      <c r="B282" s="2" t="s">
        <v>876</v>
      </c>
      <c r="C282" s="2" t="s">
        <v>877</v>
      </c>
      <c r="D282" s="2" t="s">
        <v>682</v>
      </c>
      <c r="E282" s="2" t="s">
        <v>14</v>
      </c>
      <c r="F282" s="2" t="s">
        <v>15</v>
      </c>
      <c r="G282" s="2" t="s">
        <v>467</v>
      </c>
      <c r="H282" s="2" t="s">
        <v>189</v>
      </c>
      <c r="I282" s="2" t="str">
        <f>IFERROR(__xludf.DUMMYFUNCTION("GOOGLETRANSLATE(C282,""fr"",""en"")"),"Insured for over 20 years in housing and auto, 50% bonus, no claim declared in more than 15 years, except:
Housing last year: Water damage reported, no return from an advisor or expert. My statement was not taken care of at all; After 1 month, I repaired"&amp;" myself
Auto 1 month ago: car provided in all risks (800 euros/year anyway!), Declared parking loss, the expert has passed and my file refused (in clear he does not believe my version), I can commission A contradictory expertise at my expense of course. "&amp;"For a crumpled rear left wing and a broken fire, I'm not going to do it.
Like many insurance, Maaf is very quick to collect the subscriptions but no one as soon as you need to disburse (and my claim is nothing compared to serious accidents). Customer loy"&amp;"alty does not exist contrary to very flattering and frankly false advertising
So I end all of my Maaf contracts as soon as possible, as much I do because we confuse insured and pigeon ... Like many, I no longer believe in these insurances that roll on th"&amp;"e However thanks to the compulsory and captive market that is the world of insurance; as much as it costs me dear! .. and it's very easy to find in 30 to 40 % cheaper
")</f>
        <v>Insured for over 20 years in housing and auto, 50% bonus, no claim declared in more than 15 years, except:
Housing last year: Water damage reported, no return from an advisor or expert. My statement was not taken care of at all; After 1 month, I repaired myself
Auto 1 month ago: car provided in all risks (800 euros/year anyway!), Declared parking loss, the expert has passed and my file refused (in clear he does not believe my version), I can commission A contradictory expertise at my expense of course. For a crumpled rear left wing and a broken fire, I'm not going to do it.
Like many insurance, Maaf is very quick to collect the subscriptions but no one as soon as you need to disburse (and my claim is nothing compared to serious accidents). Customer loyalty does not exist contrary to very flattering and frankly false advertising
So I end all of my Maaf contracts as soon as possible, as much I do because we confuse insured and pigeon ... Like many, I no longer believe in these insurances that roll on the However thanks to the compulsory and captive market that is the world of insurance; as much as it costs me dear! .. and it's very easy to find in 30 to 40 % cheaper
</v>
      </c>
    </row>
    <row r="283" ht="15.75" customHeight="1">
      <c r="B283" s="2" t="s">
        <v>878</v>
      </c>
      <c r="C283" s="2" t="s">
        <v>879</v>
      </c>
      <c r="D283" s="2" t="s">
        <v>682</v>
      </c>
      <c r="E283" s="2" t="s">
        <v>14</v>
      </c>
      <c r="F283" s="2" t="s">
        <v>15</v>
      </c>
      <c r="G283" s="2" t="s">
        <v>880</v>
      </c>
      <c r="H283" s="2" t="s">
        <v>193</v>
      </c>
      <c r="I283" s="2" t="str">
        <f>IFERROR(__xludf.DUMMYFUNCTION("GOOGLETRANSLATE(C283,""fr"",""en"")"),"Oyez Brave people ... Auto motorcycle customer since 2009 I have undertaken to ensure an additional vehicle. On the net the responsiveness is dazzling, go to the next day ... I had pre-filled the data and therefore also the date of purchase of the said ve"&amp;"hicle.")</f>
        <v>Oyez Brave people ... Auto motorcycle customer since 2009 I have undertaken to ensure an additional vehicle. On the net the responsiveness is dazzling, go to the next day ... I had pre-filled the data and therefore also the date of purchase of the said vehicle.</v>
      </c>
    </row>
    <row r="284" ht="15.75" customHeight="1">
      <c r="B284" s="2" t="s">
        <v>881</v>
      </c>
      <c r="C284" s="2" t="s">
        <v>882</v>
      </c>
      <c r="D284" s="2" t="s">
        <v>682</v>
      </c>
      <c r="E284" s="2" t="s">
        <v>14</v>
      </c>
      <c r="F284" s="2" t="s">
        <v>15</v>
      </c>
      <c r="G284" s="2" t="s">
        <v>883</v>
      </c>
      <c r="H284" s="2" t="s">
        <v>197</v>
      </c>
      <c r="I284" s="2" t="str">
        <f>IFERROR(__xludf.DUMMYFUNCTION("GOOGLETRANSLATE(C284,""fr"",""en"")"),"With them for several years, sinister because of the hail so not responsible, but very badly welcomed in agency no one to manage the disaster.
I am told that he does not replace the expert and today I have just learned that we will finally reimburse me m"&amp;"y vehicle but the amount does not correspond to what I have been told, of course he is lower.
TO FLEE !!!")</f>
        <v>With them for several years, sinister because of the hail so not responsible, but very badly welcomed in agency no one to manage the disaster.
I am told that he does not replace the expert and today I have just learned that we will finally reimburse me my vehicle but the amount does not correspond to what I have been told, of course he is lower.
TO FLEE !!!</v>
      </c>
    </row>
    <row r="285" ht="15.75" customHeight="1">
      <c r="B285" s="2" t="s">
        <v>884</v>
      </c>
      <c r="C285" s="2" t="s">
        <v>885</v>
      </c>
      <c r="D285" s="2" t="s">
        <v>682</v>
      </c>
      <c r="E285" s="2" t="s">
        <v>14</v>
      </c>
      <c r="F285" s="2" t="s">
        <v>15</v>
      </c>
      <c r="G285" s="2" t="s">
        <v>886</v>
      </c>
      <c r="H285" s="2" t="s">
        <v>197</v>
      </c>
      <c r="I285" s="2" t="str">
        <f>IFERROR(__xludf.DUMMYFUNCTION("GOOGLETRANSLATE(C285,""fr"",""en"")"),"I have been at the maaf for 25 years, I have a lifetime gold bonus 0.5 following a total absence of claim for 23 years. In 2018 I farted the small rear telescope, then my windshield had to be changed following a stone impact, I had my first light accident"&amp;" this year, I entered the plastic rear bumper of a car that Farted (so I am responsible) and there on vacation I was the victim of a big accident for which I am not responsible with wreck car. I wanted to reassure another vehicle but it was refused. I fel"&amp;"t betrayed, my whole family is at the maaf, I advise my friends to go to the maaf ... But it is finished, I thought that insurance is there to support during the disappointments of the Life, all of life and that she did not live to us when we have a succe"&amp;"ssion of accidents that have just accumulated the last two years over a total of 25 years. To flee !")</f>
        <v>I have been at the maaf for 25 years, I have a lifetime gold bonus 0.5 following a total absence of claim for 23 years. In 2018 I farted the small rear telescope, then my windshield had to be changed following a stone impact, I had my first light accident this year, I entered the plastic rear bumper of a car that Farted (so I am responsible) and there on vacation I was the victim of a big accident for which I am not responsible with wreck car. I wanted to reassure another vehicle but it was refused. I felt betrayed, my whole family is at the maaf, I advise my friends to go to the maaf ... But it is finished, I thought that insurance is there to support during the disappointments of the Life, all of life and that she did not live to us when we have a succession of accidents that have just accumulated the last two years over a total of 25 years. To flee !</v>
      </c>
    </row>
    <row r="286" ht="15.75" customHeight="1">
      <c r="B286" s="2" t="s">
        <v>887</v>
      </c>
      <c r="C286" s="2" t="s">
        <v>888</v>
      </c>
      <c r="D286" s="2" t="s">
        <v>682</v>
      </c>
      <c r="E286" s="2" t="s">
        <v>14</v>
      </c>
      <c r="F286" s="2" t="s">
        <v>15</v>
      </c>
      <c r="G286" s="2" t="s">
        <v>197</v>
      </c>
      <c r="H286" s="2" t="s">
        <v>197</v>
      </c>
      <c r="I286" s="2" t="str">
        <f>IFERROR(__xludf.DUMMYFUNCTION("GOOGLETRANSLATE(C286,""fr"",""en"")"),"I have been insured with them for many years, regularly I compare with other insurances, and for the same services and guarantees, I can not find better elsewhere.")</f>
        <v>I have been insured with them for many years, regularly I compare with other insurances, and for the same services and guarantees, I can not find better elsewhere.</v>
      </c>
    </row>
    <row r="287" ht="15.75" customHeight="1">
      <c r="B287" s="2" t="s">
        <v>889</v>
      </c>
      <c r="C287" s="2" t="s">
        <v>890</v>
      </c>
      <c r="D287" s="2" t="s">
        <v>682</v>
      </c>
      <c r="E287" s="2" t="s">
        <v>14</v>
      </c>
      <c r="F287" s="2" t="s">
        <v>15</v>
      </c>
      <c r="G287" s="2" t="s">
        <v>488</v>
      </c>
      <c r="H287" s="2" t="s">
        <v>210</v>
      </c>
      <c r="I287" s="2" t="str">
        <f>IFERROR(__xludf.DUMMYFUNCTION("GOOGLETRANSLATE(C287,""fr"",""en"")"),"Ridiculous customer service! Keeping from nothing and cannot reach the expert ... I have been waiting since 06/15/2019 without vehicle.")</f>
        <v>Ridiculous customer service! Keeping from nothing and cannot reach the expert ... I have been waiting since 06/15/2019 without vehicle.</v>
      </c>
    </row>
    <row r="288" ht="15.75" customHeight="1">
      <c r="B288" s="2" t="s">
        <v>891</v>
      </c>
      <c r="C288" s="2" t="s">
        <v>892</v>
      </c>
      <c r="D288" s="2" t="s">
        <v>682</v>
      </c>
      <c r="E288" s="2" t="s">
        <v>14</v>
      </c>
      <c r="F288" s="2" t="s">
        <v>15</v>
      </c>
      <c r="G288" s="2" t="s">
        <v>893</v>
      </c>
      <c r="H288" s="2" t="s">
        <v>210</v>
      </c>
      <c r="I288" s="2" t="str">
        <f>IFERROR(__xludf.DUMMYFUNCTION("GOOGLETRANSLATE(C288,""fr"",""en"")"),"Not supported in all liking while there is a good relationship of cause for a proven effect and accepted by the parties. These are gaggers. Bingo, 4 terminated contracts, we go elsewhere.")</f>
        <v>Not supported in all liking while there is a good relationship of cause for a proven effect and accepted by the parties. These are gaggers. Bingo, 4 terminated contracts, we go elsewhere.</v>
      </c>
    </row>
    <row r="289" ht="15.75" customHeight="1">
      <c r="B289" s="2" t="s">
        <v>894</v>
      </c>
      <c r="C289" s="2" t="s">
        <v>895</v>
      </c>
      <c r="D289" s="2" t="s">
        <v>682</v>
      </c>
      <c r="E289" s="2" t="s">
        <v>14</v>
      </c>
      <c r="F289" s="2" t="s">
        <v>15</v>
      </c>
      <c r="G289" s="2" t="s">
        <v>896</v>
      </c>
      <c r="H289" s="2" t="s">
        <v>217</v>
      </c>
      <c r="I289" s="2" t="str">
        <f>IFERROR(__xludf.DUMMYFUNCTION("GOOGLETRANSLATE(C289,""fr"",""en"")"),"I think I have never been dealing with such a competent insurance. We hang up on the nose, we are unpleasant, we don't explain the prices that are double the other insurers, and so on!")</f>
        <v>I think I have never been dealing with such a competent insurance. We hang up on the nose, we are unpleasant, we don't explain the prices that are double the other insurers, and so on!</v>
      </c>
    </row>
    <row r="290" ht="15.75" customHeight="1">
      <c r="B290" s="2" t="s">
        <v>897</v>
      </c>
      <c r="C290" s="2" t="s">
        <v>898</v>
      </c>
      <c r="D290" s="2" t="s">
        <v>682</v>
      </c>
      <c r="E290" s="2" t="s">
        <v>14</v>
      </c>
      <c r="F290" s="2" t="s">
        <v>15</v>
      </c>
      <c r="G290" s="2" t="s">
        <v>899</v>
      </c>
      <c r="H290" s="2" t="s">
        <v>217</v>
      </c>
      <c r="I290" s="2" t="str">
        <f>IFERROR(__xludf.DUMMYFUNCTION("GOOGLETRANSLATE(C290,""fr"",""en"")"),"Unfortunately, insurance that is not attentive to the real demand from its customers")</f>
        <v>Unfortunately, insurance that is not attentive to the real demand from its customers</v>
      </c>
    </row>
    <row r="291" ht="15.75" customHeight="1">
      <c r="B291" s="2" t="s">
        <v>900</v>
      </c>
      <c r="C291" s="2" t="s">
        <v>901</v>
      </c>
      <c r="D291" s="2" t="s">
        <v>682</v>
      </c>
      <c r="E291" s="2" t="s">
        <v>14</v>
      </c>
      <c r="F291" s="2" t="s">
        <v>15</v>
      </c>
      <c r="G291" s="2" t="s">
        <v>902</v>
      </c>
      <c r="H291" s="2" t="s">
        <v>217</v>
      </c>
      <c r="I291" s="2" t="str">
        <f>IFERROR(__xludf.DUMMYFUNCTION("GOOGLETRANSLATE(C291,""fr"",""en"")"),"Go your way, insurance that has too many customers and only seeks to make profitable. The good front insurer has gone.
scandalous insurance. puts you franchises while you are not wrong and does not take the repairs under reason that the part was not ne"&amp;"w. Any striped branch example. A Parisian bumper is never new very long. It fulfills its function but is often scratched.
Only change me the retro -vandalized retrovisor while the 2 shock pares were broken. The front and rear wings pressed as well as the"&amp;" roof.
Indicate that I will not be billed because not wrong. Races of 200th deductible races for 1 retro -reader only.
")</f>
        <v>Go your way, insurance that has too many customers and only seeks to make profitable. The good front insurer has gone.
scandalous insurance. puts you franchises while you are not wrong and does not take the repairs under reason that the part was not new. Any striped branch example. A Parisian bumper is never new very long. It fulfills its function but is often scratched.
Only change me the retro -vandalized retrovisor while the 2 shock pares were broken. The front and rear wings pressed as well as the roof.
Indicate that I will not be billed because not wrong. Races of 200th deductible races for 1 retro -reader only.
</v>
      </c>
    </row>
    <row r="292" ht="15.75" customHeight="1">
      <c r="B292" s="2" t="s">
        <v>903</v>
      </c>
      <c r="C292" s="2" t="s">
        <v>904</v>
      </c>
      <c r="D292" s="2" t="s">
        <v>682</v>
      </c>
      <c r="E292" s="2" t="s">
        <v>14</v>
      </c>
      <c r="F292" s="2" t="s">
        <v>15</v>
      </c>
      <c r="G292" s="2" t="s">
        <v>905</v>
      </c>
      <c r="H292" s="2" t="s">
        <v>217</v>
      </c>
      <c r="I292" s="2" t="str">
        <f>IFERROR(__xludf.DUMMYFUNCTION("GOOGLETRANSLATE(C292,""fr"",""en"")"),"It will be two months that we are without a car, the cause being a start of fire that insurance has not taken care of and this despite our 20 years of customers at the MAAF. Insurance made us waste a lot of time, already the expert took time to do his exp"&amp;"ertise (more than a week), to finally do an expertise at an exorbitant price, the insurance refusing to take care of 'Fire for various reasons on the one hand the fire would not be criminal or would not have spread throughout the vehicle or the car is ove"&amp;"r 10 years old, while we have taken out the flight and fire option (without any prevention during registration), even the guard costs they were not able to cover them.
Customer for more than 20 years with several protections (housing, schooling, childcar"&amp;"e) with no incident so far or even delay in payment, we have always been faithful, we have never given in to the attempts of the competitors to get closer to More attractive prices, but unfortunately we have placed our full confidence in you, until this u"&amp;"nfortunate day when we had this incident, at first we were promised to take care of everything but ultimately it was not that , moreover when we wanted to challenge we had an unpleasant person shouted on us, she even dared to say that our fire flight opti"&amp;"on would be useless because the vehicle is very old.
We are strongly thinking about leaving the MAAF after this misadventure because there is no point in continuing to pay if behind there is no return or protection.
")</f>
        <v>It will be two months that we are without a car, the cause being a start of fire that insurance has not taken care of and this despite our 20 years of customers at the MAAF. Insurance made us waste a lot of time, already the expert took time to do his expertise (more than a week), to finally do an expertise at an exorbitant price, the insurance refusing to take care of 'Fire for various reasons on the one hand the fire would not be criminal or would not have spread throughout the vehicle or the car is over 10 years old, while we have taken out the flight and fire option (without any prevention during registration), even the guard costs they were not able to cover them.
Customer for more than 20 years with several protections (housing, schooling, childcare) with no incident so far or even delay in payment, we have always been faithful, we have never given in to the attempts of the competitors to get closer to More attractive prices, but unfortunately we have placed our full confidence in you, until this unfortunate day when we had this incident, at first we were promised to take care of everything but ultimately it was not that , moreover when we wanted to challenge we had an unpleasant person shouted on us, she even dared to say that our fire flight option would be useless because the vehicle is very old.
We are strongly thinking about leaving the MAAF after this misadventure because there is no point in continuing to pay if behind there is no return or protection.
</v>
      </c>
    </row>
    <row r="293" ht="15.75" customHeight="1">
      <c r="B293" s="2" t="s">
        <v>906</v>
      </c>
      <c r="C293" s="2" t="s">
        <v>907</v>
      </c>
      <c r="D293" s="2" t="s">
        <v>682</v>
      </c>
      <c r="E293" s="2" t="s">
        <v>14</v>
      </c>
      <c r="F293" s="2" t="s">
        <v>15</v>
      </c>
      <c r="G293" s="2" t="s">
        <v>908</v>
      </c>
      <c r="H293" s="2" t="s">
        <v>224</v>
      </c>
      <c r="I293" s="2" t="str">
        <f>IFERROR(__xludf.DUMMYFUNCTION("GOOGLETRANSLATE(C293,""fr"",""en"")"),"Very bad experience today when I have been assured for the car and the house since 2011")</f>
        <v>Very bad experience today when I have been assured for the car and the house since 2011</v>
      </c>
    </row>
    <row r="294" ht="15.75" customHeight="1">
      <c r="B294" s="2" t="s">
        <v>909</v>
      </c>
      <c r="C294" s="2" t="s">
        <v>910</v>
      </c>
      <c r="D294" s="2" t="s">
        <v>682</v>
      </c>
      <c r="E294" s="2" t="s">
        <v>14</v>
      </c>
      <c r="F294" s="2" t="s">
        <v>15</v>
      </c>
      <c r="G294" s="2" t="s">
        <v>911</v>
      </c>
      <c r="H294" s="2" t="s">
        <v>224</v>
      </c>
      <c r="I294" s="2" t="str">
        <f>IFERROR(__xludf.DUMMYFUNCTION("GOOGLETRANSLATE(C294,""fr"",""en"")"),"Insurance near you. Very attentive staff. Contracts suitable for all budgets.
Electric auto insurance that can be staggered monthly. .
A dedicated quality service taking into account electric vehicles ...")</f>
        <v>Insurance near you. Very attentive staff. Contracts suitable for all budgets.
Electric auto insurance that can be staggered monthly. .
A dedicated quality service taking into account electric vehicles ...</v>
      </c>
    </row>
    <row r="295" ht="15.75" customHeight="1">
      <c r="B295" s="2" t="s">
        <v>912</v>
      </c>
      <c r="C295" s="2" t="s">
        <v>913</v>
      </c>
      <c r="D295" s="2" t="s">
        <v>682</v>
      </c>
      <c r="E295" s="2" t="s">
        <v>14</v>
      </c>
      <c r="F295" s="2" t="s">
        <v>15</v>
      </c>
      <c r="G295" s="2" t="s">
        <v>502</v>
      </c>
      <c r="H295" s="2" t="s">
        <v>228</v>
      </c>
      <c r="I295" s="2" t="str">
        <f>IFERROR(__xludf.DUMMYFUNCTION("GOOGLETRANSLATE(C295,""fr"",""en"")"),"Client at Maaf for 20 years, I had two gace breakage on a car in three years. They compensated me for these claims. I bought a second vehicle that I intended to insure at Eu also, and there, surprise, Niort categorically refuses to make sure ... I found e"&amp;"lsewhere, and still not returned to have been treated like that For 2 broken ice in 20 years !!! (am 50% bonus ...)")</f>
        <v>Client at Maaf for 20 years, I had two gace breakage on a car in three years. They compensated me for these claims. I bought a second vehicle that I intended to insure at Eu also, and there, surprise, Niort categorically refuses to make sure ... I found elsewhere, and still not returned to have been treated like that For 2 broken ice in 20 years !!! (am 50% bonus ...)</v>
      </c>
    </row>
    <row r="296" ht="15.75" customHeight="1">
      <c r="B296" s="2" t="s">
        <v>914</v>
      </c>
      <c r="C296" s="2" t="s">
        <v>915</v>
      </c>
      <c r="D296" s="2" t="s">
        <v>682</v>
      </c>
      <c r="E296" s="2" t="s">
        <v>14</v>
      </c>
      <c r="F296" s="2" t="s">
        <v>15</v>
      </c>
      <c r="G296" s="2" t="s">
        <v>916</v>
      </c>
      <c r="H296" s="2" t="s">
        <v>228</v>
      </c>
      <c r="I296" s="2" t="str">
        <f>IFERROR(__xludf.DUMMYFUNCTION("GOOGLETRANSLATE(C296,""fr"",""en"")"),"Client for 25 years, I too will leave. A non -responsible car accident, my witnesses not taken into account, and the maaf decides that I am responsible. The comments below clearly show that the MAAF has changed. Let us unite to claim group actions ... bef"&amp;"ore leaving. I read the post of a lady who will try to be on TV. I'm going to write to the chained duck.")</f>
        <v>Client for 25 years, I too will leave. A non -responsible car accident, my witnesses not taken into account, and the maaf decides that I am responsible. The comments below clearly show that the MAAF has changed. Let us unite to claim group actions ... before leaving. I read the post of a lady who will try to be on TV. I'm going to write to the chained duck.</v>
      </c>
    </row>
    <row r="297" ht="15.75" customHeight="1">
      <c r="B297" s="2" t="s">
        <v>917</v>
      </c>
      <c r="C297" s="2" t="s">
        <v>918</v>
      </c>
      <c r="D297" s="2" t="s">
        <v>682</v>
      </c>
      <c r="E297" s="2" t="s">
        <v>14</v>
      </c>
      <c r="F297" s="2" t="s">
        <v>15</v>
      </c>
      <c r="G297" s="2" t="s">
        <v>919</v>
      </c>
      <c r="H297" s="2" t="s">
        <v>228</v>
      </c>
      <c r="I297" s="2" t="str">
        <f>IFERROR(__xludf.DUMMYFUNCTION("GOOGLETRANSLATE(C297,""fr"",""en"")"),"Insured for 25 years for automobile and for 5 years for 2 cars no responsible accident, mind -blowing franchises and increasing prices. No service except to sign a new contract. Currently non -responsible accident but poorly fulfilled observation accordin"&amp;"g to them, I have just made sure to the third party ... Responsibility 50/50 while a car returned to me. Contact lawyers Julien Courbet, contest! I am on a waiting list for enough on the air")</f>
        <v>Insured for 25 years for automobile and for 5 years for 2 cars no responsible accident, mind -blowing franchises and increasing prices. No service except to sign a new contract. Currently non -responsible accident but poorly fulfilled observation according to them, I have just made sure to the third party ... Responsibility 50/50 while a car returned to me. Contact lawyers Julien Courbet, contest! I am on a waiting list for enough on the air</v>
      </c>
    </row>
    <row r="298" ht="15.75" customHeight="1">
      <c r="B298" s="2" t="s">
        <v>920</v>
      </c>
      <c r="C298" s="2" t="s">
        <v>921</v>
      </c>
      <c r="D298" s="2" t="s">
        <v>682</v>
      </c>
      <c r="E298" s="2" t="s">
        <v>14</v>
      </c>
      <c r="F298" s="2" t="s">
        <v>15</v>
      </c>
      <c r="G298" s="2" t="s">
        <v>228</v>
      </c>
      <c r="H298" s="2" t="s">
        <v>228</v>
      </c>
      <c r="I298" s="2" t="str">
        <f>IFERROR(__xludf.DUMMYFUNCTION("GOOGLETRANSLATE(C298,""fr"",""en"")"),"Customer for over 10 years. Deplorable management of a single disaster over the period. Absence of dedicated interlocutor (always a platform). Deplorable response time. Complaint service does not give an answer. The customer is not considered and we do no"&amp;"t try to help him during difficult times (light body accident and loss of vehicle). To avoid")</f>
        <v>Customer for over 10 years. Deplorable management of a single disaster over the period. Absence of dedicated interlocutor (always a platform). Deplorable response time. Complaint service does not give an answer. The customer is not considered and we do not try to help him during difficult times (light body accident and loss of vehicle). To avoid</v>
      </c>
    </row>
    <row r="299" ht="15.75" customHeight="1">
      <c r="B299" s="2" t="s">
        <v>922</v>
      </c>
      <c r="C299" s="2" t="s">
        <v>923</v>
      </c>
      <c r="D299" s="2" t="s">
        <v>682</v>
      </c>
      <c r="E299" s="2" t="s">
        <v>14</v>
      </c>
      <c r="F299" s="2" t="s">
        <v>15</v>
      </c>
      <c r="G299" s="2" t="s">
        <v>924</v>
      </c>
      <c r="H299" s="2" t="s">
        <v>238</v>
      </c>
      <c r="I299" s="2" t="str">
        <f>IFERROR(__xludf.DUMMYFUNCTION("GOOGLETRANSLATE(C299,""fr"",""en"")"),"Having terminated my car insurance hastily following the sale of vehicle, I tell them about my wish to ensure my new vehicle 5 days later. They refused ! (life insurance and home in progress)")</f>
        <v>Having terminated my car insurance hastily following the sale of vehicle, I tell them about my wish to ensure my new vehicle 5 days later. They refused ! (life insurance and home in progress)</v>
      </c>
    </row>
    <row r="300" ht="15.75" customHeight="1">
      <c r="B300" s="2" t="s">
        <v>925</v>
      </c>
      <c r="C300" s="2" t="s">
        <v>926</v>
      </c>
      <c r="D300" s="2" t="s">
        <v>682</v>
      </c>
      <c r="E300" s="2" t="s">
        <v>14</v>
      </c>
      <c r="F300" s="2" t="s">
        <v>15</v>
      </c>
      <c r="G300" s="2" t="s">
        <v>927</v>
      </c>
      <c r="H300" s="2" t="s">
        <v>238</v>
      </c>
      <c r="I300" s="2" t="str">
        <f>IFERROR(__xludf.DUMMYFUNCTION("GOOGLETRANSLATE(C300,""fr"",""en"")"),"I am very happy with them but like everyone I always find too expensive")</f>
        <v>I am very happy with them but like everyone I always find too expensive</v>
      </c>
    </row>
    <row r="301" ht="15.75" customHeight="1">
      <c r="B301" s="2" t="s">
        <v>928</v>
      </c>
      <c r="C301" s="2" t="s">
        <v>929</v>
      </c>
      <c r="D301" s="2" t="s">
        <v>682</v>
      </c>
      <c r="E301" s="2" t="s">
        <v>14</v>
      </c>
      <c r="F301" s="2" t="s">
        <v>15</v>
      </c>
      <c r="G301" s="2" t="s">
        <v>930</v>
      </c>
      <c r="H301" s="2" t="s">
        <v>238</v>
      </c>
      <c r="I301" s="2" t="str">
        <f>IFERROR(__xludf.DUMMYFUNCTION("GOOGLETRANSLATE(C301,""fr"",""en"")"),"Really not well the maaf. We're going. They mix all the contracts. A vehicle that had several repairs over a year ago is put in the same bag as another which had only a break in ice - in the street. No accident, no big claim, but we get fired anyway! Not "&amp;"correct. They want money but no claims. It is not insurance. Ciao. We remove the contracts on which they do not blame us for. We have no reason to stay. And we will not advertise")</f>
        <v>Really not well the maaf. We're going. They mix all the contracts. A vehicle that had several repairs over a year ago is put in the same bag as another which had only a break in ice - in the street. No accident, no big claim, but we get fired anyway! Not correct. They want money but no claims. It is not insurance. Ciao. We remove the contracts on which they do not blame us for. We have no reason to stay. And we will not advertise</v>
      </c>
    </row>
    <row r="302" ht="15.75" customHeight="1">
      <c r="B302" s="2" t="s">
        <v>931</v>
      </c>
      <c r="C302" s="2" t="s">
        <v>932</v>
      </c>
      <c r="D302" s="2" t="s">
        <v>682</v>
      </c>
      <c r="E302" s="2" t="s">
        <v>14</v>
      </c>
      <c r="F302" s="2" t="s">
        <v>15</v>
      </c>
      <c r="G302" s="2" t="s">
        <v>933</v>
      </c>
      <c r="H302" s="2" t="s">
        <v>513</v>
      </c>
      <c r="I302" s="2" t="str">
        <f>IFERROR(__xludf.DUMMYFUNCTION("GOOGLETRANSLATE(C302,""fr"",""en"")"),"I had two non -responsible accidents in 1 year and where I thought I could count on my insurer and well it is missed because I am told that I am blacklist and that what matters is not the responsibility in accidents But the frequency of accidents. When I "&amp;"ask them what I should have done and no answer. I thought I was winning by making a complaint with their service and well not. I have two possibilities either accept their new exorbitant commercial proposal and without the possibility of negotiation, or s"&amp;"eek elsewhere. What was implicitly recommended to me. The agency reception was very unpleasant without any benevolence compared to their client. Looking at the articles on 60 million consumers, the MAAF is champion in this area. This type of practice is r"&amp;"eally scandalous. To summarize, they have great customer service but you should not use it!")</f>
        <v>I had two non -responsible accidents in 1 year and where I thought I could count on my insurer and well it is missed because I am told that I am blacklist and that what matters is not the responsibility in accidents But the frequency of accidents. When I ask them what I should have done and no answer. I thought I was winning by making a complaint with their service and well not. I have two possibilities either accept their new exorbitant commercial proposal and without the possibility of negotiation, or seek elsewhere. What was implicitly recommended to me. The agency reception was very unpleasant without any benevolence compared to their client. Looking at the articles on 60 million consumers, the MAAF is champion in this area. This type of practice is really scandalous. To summarize, they have great customer service but you should not use it!</v>
      </c>
    </row>
    <row r="303" ht="15.75" customHeight="1">
      <c r="B303" s="2" t="s">
        <v>934</v>
      </c>
      <c r="C303" s="2" t="s">
        <v>935</v>
      </c>
      <c r="D303" s="2" t="s">
        <v>682</v>
      </c>
      <c r="E303" s="2" t="s">
        <v>14</v>
      </c>
      <c r="F303" s="2" t="s">
        <v>15</v>
      </c>
      <c r="G303" s="2" t="s">
        <v>936</v>
      </c>
      <c r="H303" s="2" t="s">
        <v>513</v>
      </c>
      <c r="I303" s="2" t="str">
        <f>IFERROR(__xludf.DUMMYFUNCTION("GOOGLETRANSLATE(C303,""fr"",""en"")"),"In 2018 despite a lifetime bonus. Reception of a mail modifying the increase in the deductible unilaterally
If not acceptance ..radiation")</f>
        <v>In 2018 despite a lifetime bonus. Reception of a mail modifying the increase in the deductible unilaterally
If not acceptance ..radiation</v>
      </c>
    </row>
    <row r="304" ht="15.75" customHeight="1">
      <c r="B304" s="2" t="s">
        <v>937</v>
      </c>
      <c r="C304" s="2" t="s">
        <v>938</v>
      </c>
      <c r="D304" s="2" t="s">
        <v>682</v>
      </c>
      <c r="E304" s="2" t="s">
        <v>14</v>
      </c>
      <c r="F304" s="2" t="s">
        <v>15</v>
      </c>
      <c r="G304" s="2" t="s">
        <v>939</v>
      </c>
      <c r="H304" s="2" t="s">
        <v>513</v>
      </c>
      <c r="I304" s="2" t="str">
        <f>IFERROR(__xludf.DUMMYFUNCTION("GOOGLETRANSLATE(C304,""fr"",""en"")"),"I have all my contracts at the maaf for 25 years no worries despite claims of all kinds of auto, camping car, water damage, storm. Ruby reef on the nail in maximum 3 weeks bravo")</f>
        <v>I have all my contracts at the maaf for 25 years no worries despite claims of all kinds of auto, camping car, water damage, storm. Ruby reef on the nail in maximum 3 weeks bravo</v>
      </c>
    </row>
    <row r="305" ht="15.75" customHeight="1">
      <c r="B305" s="2" t="s">
        <v>940</v>
      </c>
      <c r="C305" s="2" t="s">
        <v>941</v>
      </c>
      <c r="D305" s="2" t="s">
        <v>682</v>
      </c>
      <c r="E305" s="2" t="s">
        <v>14</v>
      </c>
      <c r="F305" s="2" t="s">
        <v>15</v>
      </c>
      <c r="G305" s="2" t="s">
        <v>942</v>
      </c>
      <c r="H305" s="2" t="s">
        <v>517</v>
      </c>
      <c r="I305" s="2" t="str">
        <f>IFERROR(__xludf.DUMMYFUNCTION("GOOGLETRANSLATE(C305,""fr"",""en"")"),"Insured for several years at the MAAF in all risks, 50% bonuses, for an old car and wishing to buy an additional car, I will today ask that my vehicle be insured at third party + a quote for my future vehicle counting on the promo of Moment (2 months grat"&amp;"os): advisor's response: ""Impossible, in fact it is a replacement of vehicle ... you try to blame me ... free to go see elsewhere ....""
I went to see elsewhere, the same less Chéres ...")</f>
        <v>Insured for several years at the MAAF in all risks, 50% bonuses, for an old car and wishing to buy an additional car, I will today ask that my vehicle be insured at third party + a quote for my future vehicle counting on the promo of Moment (2 months gratos): advisor's response: "Impossible, in fact it is a replacement of vehicle ... you try to blame me ... free to go see elsewhere ...."
I went to see elsewhere, the same less Chéres ...</v>
      </c>
    </row>
    <row r="306" ht="15.75" customHeight="1">
      <c r="B306" s="2" t="s">
        <v>943</v>
      </c>
      <c r="C306" s="2" t="s">
        <v>944</v>
      </c>
      <c r="D306" s="2" t="s">
        <v>682</v>
      </c>
      <c r="E306" s="2" t="s">
        <v>14</v>
      </c>
      <c r="F306" s="2" t="s">
        <v>15</v>
      </c>
      <c r="G306" s="2" t="s">
        <v>945</v>
      </c>
      <c r="H306" s="2" t="s">
        <v>245</v>
      </c>
      <c r="I306" s="2" t="str">
        <f>IFERROR(__xludf.DUMMYFUNCTION("GOOGLETRANSLATE(C306,""fr"",""en"")"),"We have 4 professional vehicles, insured for eight years! Yesterday we replace a vehicle and the MAAF replied that it refuses to ensure any other vehicle because we are a customer at risk and released in 2018 that we have 2 responsible accidents in 2015 a"&amp;"nd 2017! What is this assurance of Boustieux! So you should make sure you get there but never have accidents like that they are happy and pocket money without doing anything! Ha that to make pubs with dancing stupids, there is no problem and with our mone"&amp;"y! But to satisfy their customers there is no one left! This insurance is to be avoided, no null")</f>
        <v>We have 4 professional vehicles, insured for eight years! Yesterday we replace a vehicle and the MAAF replied that it refuses to ensure any other vehicle because we are a customer at risk and released in 2018 that we have 2 responsible accidents in 2015 and 2017! What is this assurance of Boustieux! So you should make sure you get there but never have accidents like that they are happy and pocket money without doing anything! Ha that to make pubs with dancing stupids, there is no problem and with our money! But to satisfy their customers there is no one left! This insurance is to be avoided, no null</v>
      </c>
    </row>
    <row r="307" ht="15.75" customHeight="1">
      <c r="B307" s="2" t="s">
        <v>946</v>
      </c>
      <c r="C307" s="2" t="s">
        <v>947</v>
      </c>
      <c r="D307" s="2" t="s">
        <v>682</v>
      </c>
      <c r="E307" s="2" t="s">
        <v>14</v>
      </c>
      <c r="F307" s="2" t="s">
        <v>15</v>
      </c>
      <c r="G307" s="2" t="s">
        <v>948</v>
      </c>
      <c r="H307" s="2" t="s">
        <v>524</v>
      </c>
      <c r="I307" s="2" t="str">
        <f>IFERROR(__xludf.DUMMYFUNCTION("GOOGLETRANSLATE(C307,""fr"",""en"")"),"The Maaf of Tourcoing's advisor who had received me was very unpleasant more she gives quotes not correct at all she takes possible customers for idiots.")</f>
        <v>The Maaf of Tourcoing's advisor who had received me was very unpleasant more she gives quotes not correct at all she takes possible customers for idiots.</v>
      </c>
    </row>
    <row r="308" ht="15.75" customHeight="1">
      <c r="B308" s="2" t="s">
        <v>949</v>
      </c>
      <c r="C308" s="2" t="s">
        <v>950</v>
      </c>
      <c r="D308" s="2" t="s">
        <v>682</v>
      </c>
      <c r="E308" s="2" t="s">
        <v>14</v>
      </c>
      <c r="F308" s="2" t="s">
        <v>15</v>
      </c>
      <c r="G308" s="2" t="s">
        <v>951</v>
      </c>
      <c r="H308" s="2" t="s">
        <v>524</v>
      </c>
      <c r="I308" s="2" t="str">
        <f>IFERROR(__xludf.DUMMYFUNCTION("GOOGLETRANSLATE(C308,""fr"",""en"")"),"Very mismanagement of the latest incidents
Bad reception of the customer in Mantes la Jolie agency")</f>
        <v>Very mismanagement of the latest incidents
Bad reception of the customer in Mantes la Jolie agency</v>
      </c>
    </row>
    <row r="309" ht="15.75" customHeight="1">
      <c r="B309" s="2" t="s">
        <v>952</v>
      </c>
      <c r="C309" s="2" t="s">
        <v>953</v>
      </c>
      <c r="D309" s="2" t="s">
        <v>682</v>
      </c>
      <c r="E309" s="2" t="s">
        <v>14</v>
      </c>
      <c r="F309" s="2" t="s">
        <v>15</v>
      </c>
      <c r="G309" s="2" t="s">
        <v>954</v>
      </c>
      <c r="H309" s="2" t="s">
        <v>249</v>
      </c>
      <c r="I309" s="2" t="str">
        <f>IFERROR(__xludf.DUMMYFUNCTION("GOOGLETRANSLATE(C309,""fr"",""en"")"),"Irritating insurance due to permanent, and painful advertising, no professional secrecy and obligation of discretion not respected")</f>
        <v>Irritating insurance due to permanent, and painful advertising, no professional secrecy and obligation of discretion not respected</v>
      </c>
    </row>
    <row r="310" ht="15.75" customHeight="1">
      <c r="B310" s="2" t="s">
        <v>955</v>
      </c>
      <c r="C310" s="2" t="s">
        <v>956</v>
      </c>
      <c r="D310" s="2" t="s">
        <v>682</v>
      </c>
      <c r="E310" s="2" t="s">
        <v>14</v>
      </c>
      <c r="F310" s="2" t="s">
        <v>15</v>
      </c>
      <c r="G310" s="2" t="s">
        <v>957</v>
      </c>
      <c r="H310" s="2" t="s">
        <v>249</v>
      </c>
      <c r="I310" s="2" t="str">
        <f>IFERROR(__xludf.DUMMYFUNCTION("GOOGLETRANSLATE(C310,""fr"",""en"")"),"Null service to flee self -employment time, telephone advisers are incapable of anything.")</f>
        <v>Null service to flee self -employment time, telephone advisers are incapable of anything.</v>
      </c>
    </row>
    <row r="311" ht="15.75" customHeight="1">
      <c r="B311" s="2" t="s">
        <v>958</v>
      </c>
      <c r="C311" s="2" t="s">
        <v>959</v>
      </c>
      <c r="D311" s="2" t="s">
        <v>682</v>
      </c>
      <c r="E311" s="2" t="s">
        <v>14</v>
      </c>
      <c r="F311" s="2" t="s">
        <v>15</v>
      </c>
      <c r="G311" s="2" t="s">
        <v>960</v>
      </c>
      <c r="H311" s="2" t="s">
        <v>249</v>
      </c>
      <c r="I311" s="2" t="str">
        <f>IFERROR(__xludf.DUMMYFUNCTION("GOOGLETRANSLATE(C311,""fr"",""en"")"),"insurance to avoid. Refusal to modify the holder following death despite the law article L121-10 of the insurance code. Yet I am on the main driver contract. Response from their part the law does not concern them ... I inform ACPR.banque-france.fr which m"&amp;"anages complaints from individuals concerning the bank or insurance.")</f>
        <v>insurance to avoid. Refusal to modify the holder following death despite the law article L121-10 of the insurance code. Yet I am on the main driver contract. Response from their part the law does not concern them ... I inform ACPR.banque-france.fr which manages complaints from individuals concerning the bank or insurance.</v>
      </c>
    </row>
    <row r="312" ht="15.75" customHeight="1">
      <c r="B312" s="2" t="s">
        <v>961</v>
      </c>
      <c r="C312" s="2" t="s">
        <v>962</v>
      </c>
      <c r="D312" s="2" t="s">
        <v>682</v>
      </c>
      <c r="E312" s="2" t="s">
        <v>14</v>
      </c>
      <c r="F312" s="2" t="s">
        <v>15</v>
      </c>
      <c r="G312" s="2" t="s">
        <v>963</v>
      </c>
      <c r="H312" s="2" t="s">
        <v>249</v>
      </c>
      <c r="I312" s="2" t="str">
        <f>IFERROR(__xludf.DUMMYFUNCTION("GOOGLETRANSLATE(C312,""fr"",""en"")"),"Hello, I strongly advise you against the maaf because apart from telling you words and wonders when you sign, the day when you even have a non -responsible accident, with bodily, it is the cross and the banner, the no man's land. Already 15 months after m"&amp;"y accident, reminders every week, a medical expert who minimizes everything and the height is that the legal protection that I have subscribed in addition! is one of the absent subscribers. To finish these praise I wonder if their leaders would like to be"&amp;" considered in this way in the event of a glitch? Lol")</f>
        <v>Hello, I strongly advise you against the maaf because apart from telling you words and wonders when you sign, the day when you even have a non -responsible accident, with bodily, it is the cross and the banner, the no man's land. Already 15 months after my accident, reminders every week, a medical expert who minimizes everything and the height is that the legal protection that I have subscribed in addition! is one of the absent subscribers. To finish these praise I wonder if their leaders would like to be considered in this way in the event of a glitch? Lol</v>
      </c>
    </row>
    <row r="313" ht="15.75" customHeight="1">
      <c r="B313" s="2" t="s">
        <v>964</v>
      </c>
      <c r="C313" s="2" t="s">
        <v>965</v>
      </c>
      <c r="D313" s="2" t="s">
        <v>682</v>
      </c>
      <c r="E313" s="2" t="s">
        <v>14</v>
      </c>
      <c r="F313" s="2" t="s">
        <v>15</v>
      </c>
      <c r="G313" s="2" t="s">
        <v>535</v>
      </c>
      <c r="H313" s="2" t="s">
        <v>249</v>
      </c>
      <c r="I313" s="2" t="str">
        <f>IFERROR(__xludf.DUMMYFUNCTION("GOOGLETRANSLATE(C313,""fr"",""en"")"),"Client for 16 years in self -residential and school, 3 breakdowns 0km in the year .... terminated with maturity ... Pitoyable")</f>
        <v>Client for 16 years in self -residential and school, 3 breakdowns 0km in the year .... terminated with maturity ... Pitoyable</v>
      </c>
    </row>
    <row r="314" ht="15.75" customHeight="1">
      <c r="B314" s="2" t="s">
        <v>966</v>
      </c>
      <c r="C314" s="2" t="s">
        <v>967</v>
      </c>
      <c r="D314" s="2" t="s">
        <v>682</v>
      </c>
      <c r="E314" s="2" t="s">
        <v>14</v>
      </c>
      <c r="F314" s="2" t="s">
        <v>15</v>
      </c>
      <c r="G314" s="2" t="s">
        <v>968</v>
      </c>
      <c r="H314" s="2" t="s">
        <v>249</v>
      </c>
      <c r="I314" s="2" t="str">
        <f>IFERROR(__xludf.DUMMYFUNCTION("GOOGLETRANSLATE(C314,""fr"",""en"")"),"Mediocre insurer. Do not ensure the maaf.")</f>
        <v>Mediocre insurer. Do not ensure the maaf.</v>
      </c>
    </row>
    <row r="315" ht="15.75" customHeight="1">
      <c r="B315" s="2" t="s">
        <v>969</v>
      </c>
      <c r="C315" s="2" t="s">
        <v>970</v>
      </c>
      <c r="D315" s="2" t="s">
        <v>682</v>
      </c>
      <c r="E315" s="2" t="s">
        <v>14</v>
      </c>
      <c r="F315" s="2" t="s">
        <v>15</v>
      </c>
      <c r="G315" s="2" t="s">
        <v>971</v>
      </c>
      <c r="H315" s="2" t="s">
        <v>249</v>
      </c>
      <c r="I315" s="2" t="str">
        <f>IFERROR(__xludf.DUMMYFUNCTION("GOOGLETRANSLATE(C315,""fr"",""en"")"),"Customer for over 5 years. I wanted to ensure a motorcycle bought in July. I took too long to insure it (I left on vacation). They therefore refuse to assure me. No right to error.")</f>
        <v>Customer for over 5 years. I wanted to ensure a motorcycle bought in July. I took too long to insure it (I left on vacation). They therefore refuse to assure me. No right to error.</v>
      </c>
    </row>
    <row r="316" ht="15.75" customHeight="1">
      <c r="B316" s="2" t="s">
        <v>972</v>
      </c>
      <c r="C316" s="2" t="s">
        <v>973</v>
      </c>
      <c r="D316" s="2" t="s">
        <v>682</v>
      </c>
      <c r="E316" s="2" t="s">
        <v>14</v>
      </c>
      <c r="F316" s="2" t="s">
        <v>15</v>
      </c>
      <c r="G316" s="2" t="s">
        <v>974</v>
      </c>
      <c r="H316" s="2" t="s">
        <v>258</v>
      </c>
      <c r="I316" s="2" t="str">
        <f>IFERROR(__xludf.DUMMYFUNCTION("GOOGLETRANSLATE(C316,""fr"",""en"")"),"At the maaf since 2004
I had 2 declarations or I am not responsible I have 50% bonus but I am terminated for the end of the year I find it unfair and no negotiation possible")</f>
        <v>At the maaf since 2004
I had 2 declarations or I am not responsible I have 50% bonus but I am terminated for the end of the year I find it unfair and no negotiation possible</v>
      </c>
    </row>
    <row r="317" ht="15.75" customHeight="1">
      <c r="B317" s="2" t="s">
        <v>975</v>
      </c>
      <c r="C317" s="2" t="s">
        <v>976</v>
      </c>
      <c r="D317" s="2" t="s">
        <v>682</v>
      </c>
      <c r="E317" s="2" t="s">
        <v>14</v>
      </c>
      <c r="F317" s="2" t="s">
        <v>15</v>
      </c>
      <c r="G317" s="2" t="s">
        <v>977</v>
      </c>
      <c r="H317" s="2" t="s">
        <v>258</v>
      </c>
      <c r="I317" s="2" t="str">
        <f>IFERROR(__xludf.DUMMYFUNCTION("GOOGLETRANSLATE(C317,""fr"",""en"")"),"Easy to arrange, everything by internet if you want, if not, there are agencies. Guarantee very well, even for old cars. Very attractive price with bonuses to be insured for more years.")</f>
        <v>Easy to arrange, everything by internet if you want, if not, there are agencies. Guarantee very well, even for old cars. Very attractive price with bonuses to be insured for more years.</v>
      </c>
    </row>
    <row r="318" ht="15.75" customHeight="1">
      <c r="B318" s="2" t="s">
        <v>978</v>
      </c>
      <c r="C318" s="2" t="s">
        <v>979</v>
      </c>
      <c r="D318" s="2" t="s">
        <v>682</v>
      </c>
      <c r="E318" s="2" t="s">
        <v>14</v>
      </c>
      <c r="F318" s="2" t="s">
        <v>15</v>
      </c>
      <c r="G318" s="2" t="s">
        <v>980</v>
      </c>
      <c r="H318" s="2" t="s">
        <v>262</v>
      </c>
      <c r="I318" s="2" t="str">
        <f>IFERROR(__xludf.DUMMYFUNCTION("GOOGLETRANSLATE(C318,""fr"",""en"")"),"I have been at the Maaf for a car and motorcycles for several years. Nothing to be complained about customer service, whether the agency (Strasbourg) or the platform. Sinister responsible in 2015, Ice Brising in March 2018 or vehicle changes. Unfortunatel"&amp;"y I have to part with it because only having the car, the price is no longer competitive ... on the contrary ...")</f>
        <v>I have been at the Maaf for a car and motorcycles for several years. Nothing to be complained about customer service, whether the agency (Strasbourg) or the platform. Sinister responsible in 2015, Ice Brising in March 2018 or vehicle changes. Unfortunately I have to part with it because only having the car, the price is no longer competitive ... on the contrary ...</v>
      </c>
    </row>
    <row r="319" ht="15.75" customHeight="1">
      <c r="B319" s="2" t="s">
        <v>981</v>
      </c>
      <c r="C319" s="2" t="s">
        <v>982</v>
      </c>
      <c r="D319" s="2" t="s">
        <v>682</v>
      </c>
      <c r="E319" s="2" t="s">
        <v>14</v>
      </c>
      <c r="F319" s="2" t="s">
        <v>15</v>
      </c>
      <c r="G319" s="2" t="s">
        <v>983</v>
      </c>
      <c r="H319" s="2" t="s">
        <v>272</v>
      </c>
      <c r="I319" s="2" t="str">
        <f>IFERROR(__xludf.DUMMYFUNCTION("GOOGLETRANSLATE(C319,""fr"",""en"")"),"An advisor who treats a client in a haughty and aggressive way, unable to listen and calmly take into account the arguments of the person in front of him.")</f>
        <v>An advisor who treats a client in a haughty and aggressive way, unable to listen and calmly take into account the arguments of the person in front of him.</v>
      </c>
    </row>
    <row r="320" ht="15.75" customHeight="1">
      <c r="B320" s="2" t="s">
        <v>984</v>
      </c>
      <c r="C320" s="2" t="s">
        <v>985</v>
      </c>
      <c r="D320" s="2" t="s">
        <v>682</v>
      </c>
      <c r="E320" s="2" t="s">
        <v>14</v>
      </c>
      <c r="F320" s="2" t="s">
        <v>15</v>
      </c>
      <c r="G320" s="2" t="s">
        <v>983</v>
      </c>
      <c r="H320" s="2" t="s">
        <v>272</v>
      </c>
      <c r="I320" s="2" t="str">
        <f>IFERROR(__xludf.DUMMYFUNCTION("GOOGLETRANSLATE(C320,""fr"",""en"")"),"More than 20 years at the MAAF, several contracts, an ultra faithful and without problem customer. This year I was entitled to hail on the vehicle plus a windshield, non -responsible claims therefore, and today the maaf resilled me at the end of the year "&amp;"on this vehicle because too many claims, and send me A double -class double -cost quote, high class
It is more the maaf that I prefer, this insurer has changed, no consideration for these customers, to flee. I terminate all my contracts")</f>
        <v>More than 20 years at the MAAF, several contracts, an ultra faithful and without problem customer. This year I was entitled to hail on the vehicle plus a windshield, non -responsible claims therefore, and today the maaf resilled me at the end of the year on this vehicle because too many claims, and send me A double -class double -cost quote, high class
It is more the maaf that I prefer, this insurer has changed, no consideration for these customers, to flee. I terminate all my contracts</v>
      </c>
    </row>
    <row r="321" ht="15.75" customHeight="1">
      <c r="B321" s="2" t="s">
        <v>986</v>
      </c>
      <c r="C321" s="2" t="s">
        <v>987</v>
      </c>
      <c r="D321" s="2" t="s">
        <v>682</v>
      </c>
      <c r="E321" s="2" t="s">
        <v>14</v>
      </c>
      <c r="F321" s="2" t="s">
        <v>15</v>
      </c>
      <c r="G321" s="2" t="s">
        <v>988</v>
      </c>
      <c r="H321" s="2" t="s">
        <v>272</v>
      </c>
      <c r="I321" s="2" t="str">
        <f>IFERROR(__xludf.DUMMYFUNCTION("GOOGLETRANSLATE(C321,""fr"",""en"")"),"Increase of more than double the franchise (150% more) following 2 accidents in 2 years despite a bonus for life maaf and more than 20 years of contribution it is unacceptable. It is the maaf that I prefer, beautiful pub To attract new customers !!!!!! Bu"&amp;"t for me it is decided I no longer prefer the maaf at all !!!!!! Withdrawal of all my contracts.
Nice recognition of loyalty to the maaf !!!!!!")</f>
        <v>Increase of more than double the franchise (150% more) following 2 accidents in 2 years despite a bonus for life maaf and more than 20 years of contribution it is unacceptable. It is the maaf that I prefer, beautiful pub To attract new customers !!!!!! But for me it is decided I no longer prefer the maaf at all !!!!!! Withdrawal of all my contracts.
Nice recognition of loyalty to the maaf !!!!!!</v>
      </c>
    </row>
    <row r="322" ht="15.75" customHeight="1">
      <c r="B322" s="2" t="s">
        <v>989</v>
      </c>
      <c r="C322" s="2" t="s">
        <v>990</v>
      </c>
      <c r="D322" s="2" t="s">
        <v>682</v>
      </c>
      <c r="E322" s="2" t="s">
        <v>14</v>
      </c>
      <c r="F322" s="2" t="s">
        <v>15</v>
      </c>
      <c r="G322" s="2" t="s">
        <v>991</v>
      </c>
      <c r="H322" s="2" t="s">
        <v>272</v>
      </c>
      <c r="I322" s="2" t="str">
        <f>IFERROR(__xludf.DUMMYFUNCTION("GOOGLETRANSLATE(C322,""fr"",""en"")"),"After more than 10 years of insurance at home, I have my contract terminated after two claims, including 1 windshield ... I am extremely disappointed by this insurer! Is not very trustworthy!")</f>
        <v>After more than 10 years of insurance at home, I have my contract terminated after two claims, including 1 windshield ... I am extremely disappointed by this insurer! Is not very trustworthy!</v>
      </c>
    </row>
    <row r="323" ht="15.75" customHeight="1">
      <c r="B323" s="2" t="s">
        <v>992</v>
      </c>
      <c r="C323" s="2" t="s">
        <v>993</v>
      </c>
      <c r="D323" s="2" t="s">
        <v>682</v>
      </c>
      <c r="E323" s="2" t="s">
        <v>14</v>
      </c>
      <c r="F323" s="2" t="s">
        <v>15</v>
      </c>
      <c r="G323" s="2" t="s">
        <v>994</v>
      </c>
      <c r="H323" s="2" t="s">
        <v>276</v>
      </c>
      <c r="I323" s="2" t="str">
        <f>IFERROR(__xludf.DUMMYFUNCTION("GOOGLETRANSLATE(C323,""fr"",""en"")"),"I called upon the mediator because the insurer wants me to get the responsibility for the accident (and therefore prevent me from changing insurer). The result was the termination of my insurance contract. This is intimidation !!!")</f>
        <v>I called upon the mediator because the insurer wants me to get the responsibility for the accident (and therefore prevent me from changing insurer). The result was the termination of my insurance contract. This is intimidation !!!</v>
      </c>
    </row>
    <row r="324" ht="15.75" customHeight="1">
      <c r="B324" s="2" t="s">
        <v>995</v>
      </c>
      <c r="C324" s="2" t="s">
        <v>996</v>
      </c>
      <c r="D324" s="2" t="s">
        <v>682</v>
      </c>
      <c r="E324" s="2" t="s">
        <v>14</v>
      </c>
      <c r="F324" s="2" t="s">
        <v>15</v>
      </c>
      <c r="G324" s="2" t="s">
        <v>997</v>
      </c>
      <c r="H324" s="2" t="s">
        <v>276</v>
      </c>
      <c r="I324" s="2" t="str">
        <f>IFERROR(__xludf.DUMMYFUNCTION("GOOGLETRANSLATE(C324,""fr"",""en"")"),"I have been insured at the MAAF for 2 years. Satisfied so far, I have a serious doubt about insurance practices to date!
Indeed, I received today an insurance letter with a new contract proposal where I am pretended that I asked them for a modification"&amp;" !!!!!! Of course, I never contacted them for that !! Because if I had done it, it would have been to put my car in ""garage insurance"" since it has broken for 3 months !! So the price is lower, but the services too !!!! Shed out the Ice Break and the As"&amp;"sistance kilometer at 0km !!! And to top it all, it is indicated to me ""without response from you, and believe that I regret it, this modification will not take effect and we will terminate, at maturity of your contract"" !!!!!!
So, if I do not accept"&amp;" this modification that I did not ask for, you saw me !!! Incredible manipulation and dishonesty !!
""It is the maaf that I prefer"" !!!! Your advertising is beautiful! But you really do nothing to make the customer prefer it too !!!
What is this way "&amp;"of forcing the customer to ensure it less while re-engaging it for a year !!! Are we trying to get around the Hamon law? That's it????!!!!!
Well you have only one thing, I will sign a new contract well! But certainly more at home !!
I who was so satis"&amp;"fied before your mail !!! It's a shame !!!!")</f>
        <v>I have been insured at the MAAF for 2 years. Satisfied so far, I have a serious doubt about insurance practices to date!
Indeed, I received today an insurance letter with a new contract proposal where I am pretended that I asked them for a modification !!!!!! Of course, I never contacted them for that !! Because if I had done it, it would have been to put my car in "garage insurance" since it has broken for 3 months !! So the price is lower, but the services too !!!! Shed out the Ice Break and the Assistance kilometer at 0km !!! And to top it all, it is indicated to me "without response from you, and believe that I regret it, this modification will not take effect and we will terminate, at maturity of your contract" !!!!!!
So, if I do not accept this modification that I did not ask for, you saw me !!! Incredible manipulation and dishonesty !!
"It is the maaf that I prefer" !!!! Your advertising is beautiful! But you really do nothing to make the customer prefer it too !!!
What is this way of forcing the customer to ensure it less while re-engaging it for a year !!! Are we trying to get around the Hamon law? That's it????!!!!!
Well you have only one thing, I will sign a new contract well! But certainly more at home !!
I who was so satisfied before your mail !!! It's a shame !!!!</v>
      </c>
    </row>
    <row r="325" ht="15.75" customHeight="1">
      <c r="B325" s="2" t="s">
        <v>998</v>
      </c>
      <c r="C325" s="2" t="s">
        <v>999</v>
      </c>
      <c r="D325" s="2" t="s">
        <v>682</v>
      </c>
      <c r="E325" s="2" t="s">
        <v>14</v>
      </c>
      <c r="F325" s="2" t="s">
        <v>15</v>
      </c>
      <c r="G325" s="2" t="s">
        <v>1000</v>
      </c>
      <c r="H325" s="2" t="s">
        <v>276</v>
      </c>
      <c r="I325" s="2" t="str">
        <f>IFERROR(__xludf.DUMMYFUNCTION("GOOGLETRANSLATE(C325,""fr"",""en"")"),"Like many here I am very unhappy with this insurance I have been a customer at their home for 15 years cars and house, I have never had the slightest disaster responsible recently I was the victim of an act of vandalism the two rear lights were Steps a br"&amp;"oken window and blows and scratches on the body. I filed a complaint and the expert went to see the vehicle it has decreed very arbitrarily that the blows and the scratches are predates on the date of the disaster, he must surely have a crystal ball. All "&amp;"that to tell you that it does not bother the Maaf to treat a favorite client (15 years of seniority) as they say a liar.
Advice go your way, as long as you bring them money everything is fine")</f>
        <v>Like many here I am very unhappy with this insurance I have been a customer at their home for 15 years cars and house, I have never had the slightest disaster responsible recently I was the victim of an act of vandalism the two rear lights were Steps a broken window and blows and scratches on the body. I filed a complaint and the expert went to see the vehicle it has decreed very arbitrarily that the blows and the scratches are predates on the date of the disaster, he must surely have a crystal ball. All that to tell you that it does not bother the Maaf to treat a favorite client (15 years of seniority) as they say a liar.
Advice go your way, as long as you bring them money everything is fine</v>
      </c>
    </row>
    <row r="326" ht="15.75" customHeight="1">
      <c r="B326" s="2" t="s">
        <v>1001</v>
      </c>
      <c r="C326" s="2" t="s">
        <v>1002</v>
      </c>
      <c r="D326" s="2" t="s">
        <v>682</v>
      </c>
      <c r="E326" s="2" t="s">
        <v>14</v>
      </c>
      <c r="F326" s="2" t="s">
        <v>15</v>
      </c>
      <c r="G326" s="2" t="s">
        <v>555</v>
      </c>
      <c r="H326" s="2" t="s">
        <v>276</v>
      </c>
      <c r="I326" s="2" t="str">
        <f>IFERROR(__xludf.DUMMYFUNCTION("GOOGLETRANSLATE(C326,""fr"",""en"")"),"Recently separated from my ex -spouse and newly tenant I contact the MAAF in early May to open an insurance contract for my rental and transfer my car to this new contract with new RIB and there bad surprise, my coefficient goes from 0.51 to 0 , 65 and my"&amp;" subscription increases a lot! I receive the papers by email but do not sign anything, I find out around me and I am confirmed that what I am offered is abusive. I have never had any accident created or suffered since my license in 1997 and if I drive 4 o"&amp;"r 5000 km per year it is the maximum ... I send an email on May 14 to the person to ask questions, ask To re -examine my file and I point out to passing errors in the documents to sign and there no response. Knowing that the deadline was on 01/06 I recall"&amp;"ed, I am told that no one can process my request because it is on Saturday they are ""busy"" and therefore an agent tells me that he is making an alert so that I am contacted the following Monday by phone. Of course nobody does so so I remind Tuesday and "&amp;"I am given an appointment for the next day. And the next day the agent does not make a gesture so I tell him to leave like that, I saw with my ex -spouse to reimburse him the contributions until December at the latest and I quickly go to see the 'A new in"&amp;"surer. And for the moment with all the quotes that I have received I have only spoiled for choice and for much cheaper in equal coverage! But I find it a shame that the maaf pushes its customers outside like that. You have to believe that they have too mu"&amp;"ch!")</f>
        <v>Recently separated from my ex -spouse and newly tenant I contact the MAAF in early May to open an insurance contract for my rental and transfer my car to this new contract with new RIB and there bad surprise, my coefficient goes from 0.51 to 0 , 65 and my subscription increases a lot! I receive the papers by email but do not sign anything, I find out around me and I am confirmed that what I am offered is abusive. I have never had any accident created or suffered since my license in 1997 and if I drive 4 or 5000 km per year it is the maximum ... I send an email on May 14 to the person to ask questions, ask To re -examine my file and I point out to passing errors in the documents to sign and there no response. Knowing that the deadline was on 01/06 I recalled, I am told that no one can process my request because it is on Saturday they are "busy" and therefore an agent tells me that he is making an alert so that I am contacted the following Monday by phone. Of course nobody does so so I remind Tuesday and I am given an appointment for the next day. And the next day the agent does not make a gesture so I tell him to leave like that, I saw with my ex -spouse to reimburse him the contributions until December at the latest and I quickly go to see the 'A new insurer. And for the moment with all the quotes that I have received I have only spoiled for choice and for much cheaper in equal coverage! But I find it a shame that the maaf pushes its customers outside like that. You have to believe that they have too much!</v>
      </c>
    </row>
    <row r="327" ht="15.75" customHeight="1">
      <c r="B327" s="2" t="s">
        <v>1003</v>
      </c>
      <c r="C327" s="2" t="s">
        <v>1004</v>
      </c>
      <c r="D327" s="2" t="s">
        <v>682</v>
      </c>
      <c r="E327" s="2" t="s">
        <v>14</v>
      </c>
      <c r="F327" s="2" t="s">
        <v>15</v>
      </c>
      <c r="G327" s="2" t="s">
        <v>1005</v>
      </c>
      <c r="H327" s="2" t="s">
        <v>276</v>
      </c>
      <c r="I327" s="2" t="str">
        <f>IFERROR(__xludf.DUMMYFUNCTION("GOOGLETRANSLATE(C327,""fr"",""en"")"),"Very satisfied.
I called a Sunday, little telephone waiting, I was wrong in the fuel of my car, I told the advisor that I felt so silly, she comforted me. Very friendly advisor!
Troubleshooting within 45 minutes after my call!
Thanks very much !")</f>
        <v>Very satisfied.
I called a Sunday, little telephone waiting, I was wrong in the fuel of my car, I told the advisor that I felt so silly, she comforted me. Very friendly advisor!
Troubleshooting within 45 minutes after my call!
Thanks very much !</v>
      </c>
    </row>
    <row r="328" ht="15.75" customHeight="1">
      <c r="B328" s="2" t="s">
        <v>1006</v>
      </c>
      <c r="C328" s="2" t="s">
        <v>1007</v>
      </c>
      <c r="D328" s="2" t="s">
        <v>682</v>
      </c>
      <c r="E328" s="2" t="s">
        <v>14</v>
      </c>
      <c r="F328" s="2" t="s">
        <v>15</v>
      </c>
      <c r="G328" s="2" t="s">
        <v>1008</v>
      </c>
      <c r="H328" s="2" t="s">
        <v>1009</v>
      </c>
      <c r="I328" s="2" t="str">
        <f>IFERROR(__xludf.DUMMYFUNCTION("GOOGLETRANSLATE(C328,""fr"",""en"")"),"My vehicle was stolen in January 2018.
I send them a flight declaration, a complaint, the supporting documents, the keys, even access to the cameras or was the vehicle. In short, all in good and due form
4 months later and after 20 reminders and calls ("&amp;"their GTC indicate an answer within 7 days) ... They dispatched a bailiff who arrives improvised.
He asks me for the intial purchase bill already sent 4 months before and told me to sign the amount of memory purchase (it was 4 years ago, you knew what yo"&amp;"u were doing on January 8, 2013 at 8:14 am; -).
I make a mistake and correct it 3 hours later, once the copy of this invoice sent by my accountant. I copy everything, in case ...
They answer me 2 months after they are based on this error so as not to re"&amp;"imburse.
The maaf, this company or you pay but don't have any concern, otherwise you have it in the bone.
I seized the insurance mediator and transferred to the media.
a shame
")</f>
        <v>My vehicle was stolen in January 2018.
I send them a flight declaration, a complaint, the supporting documents, the keys, even access to the cameras or was the vehicle. In short, all in good and due form
4 months later and after 20 reminders and calls (their GTC indicate an answer within 7 days) ... They dispatched a bailiff who arrives improvised.
He asks me for the intial purchase bill already sent 4 months before and told me to sign the amount of memory purchase (it was 4 years ago, you knew what you were doing on January 8, 2013 at 8:14 am; -).
I make a mistake and correct it 3 hours later, once the copy of this invoice sent by my accountant. I copy everything, in case ...
They answer me 2 months after they are based on this error so as not to reimburse.
The maaf, this company or you pay but don't have any concern, otherwise you have it in the bone.
I seized the insurance mediator and transferred to the media.
a shame
</v>
      </c>
    </row>
    <row r="329" ht="15.75" customHeight="1">
      <c r="B329" s="2" t="s">
        <v>1010</v>
      </c>
      <c r="C329" s="2" t="s">
        <v>1011</v>
      </c>
      <c r="D329" s="2" t="s">
        <v>682</v>
      </c>
      <c r="E329" s="2" t="s">
        <v>14</v>
      </c>
      <c r="F329" s="2" t="s">
        <v>15</v>
      </c>
      <c r="G329" s="2" t="s">
        <v>1012</v>
      </c>
      <c r="H329" s="2" t="s">
        <v>1009</v>
      </c>
      <c r="I329" s="2" t="str">
        <f>IFERROR(__xludf.DUMMYFUNCTION("GOOGLETRANSLATE(C329,""fr"",""en"")"),"Customer for 2 years (vehicle, house, ...), my vehicle was the victim of 1 act of vandalism + 1 responsible accident. Result of the races ""I no longer enter their criteria"" and they inform me that my contract ""will not be renewed"".")</f>
        <v>Customer for 2 years (vehicle, house, ...), my vehicle was the victim of 1 act of vandalism + 1 responsible accident. Result of the races "I no longer enter their criteria" and they inform me that my contract "will not be renewed".</v>
      </c>
    </row>
    <row r="330" ht="15.75" customHeight="1">
      <c r="B330" s="2" t="s">
        <v>1013</v>
      </c>
      <c r="C330" s="2" t="s">
        <v>1014</v>
      </c>
      <c r="D330" s="2" t="s">
        <v>682</v>
      </c>
      <c r="E330" s="2" t="s">
        <v>14</v>
      </c>
      <c r="F330" s="2" t="s">
        <v>15</v>
      </c>
      <c r="G330" s="2" t="s">
        <v>1015</v>
      </c>
      <c r="H330" s="2" t="s">
        <v>1009</v>
      </c>
      <c r="I330" s="2" t="str">
        <f>IFERROR(__xludf.DUMMYFUNCTION("GOOGLETRANSLATE(C330,""fr"",""en"")"),"Maaf Fréjus has no customer service!
We wanted to have the 2nd driver on one car and no longer the other. Maaf Fréjus did not respond to our request!")</f>
        <v>Maaf Fréjus has no customer service!
We wanted to have the 2nd driver on one car and no longer the other. Maaf Fréjus did not respond to our request!</v>
      </c>
    </row>
    <row r="331" ht="15.75" customHeight="1">
      <c r="B331" s="2" t="s">
        <v>1016</v>
      </c>
      <c r="C331" s="2" t="s">
        <v>1017</v>
      </c>
      <c r="D331" s="2" t="s">
        <v>682</v>
      </c>
      <c r="E331" s="2" t="s">
        <v>14</v>
      </c>
      <c r="F331" s="2" t="s">
        <v>15</v>
      </c>
      <c r="G331" s="2" t="s">
        <v>1018</v>
      </c>
      <c r="H331" s="2" t="s">
        <v>1009</v>
      </c>
      <c r="I331" s="2" t="str">
        <f>IFERROR(__xludf.DUMMYFUNCTION("GOOGLETRANSLATE(C331,""fr"",""en"")"),"20 years of loyalty, 11 contracts, everything was fine until the theft of a car in my closed courtyard, vehicle found burnt down, arrested burglars, vehicle value € 15,000, insured all risks, refusal of compensation .... because no Fire the keys having be"&amp;"en stolen from my home .... thank you the maaf!")</f>
        <v>20 years of loyalty, 11 contracts, everything was fine until the theft of a car in my closed courtyard, vehicle found burnt down, arrested burglars, vehicle value € 15,000, insured all risks, refusal of compensation .... because no Fire the keys having been stolen from my home .... thank you the maaf!</v>
      </c>
    </row>
    <row r="332" ht="15.75" customHeight="1">
      <c r="B332" s="2" t="s">
        <v>1019</v>
      </c>
      <c r="C332" s="2" t="s">
        <v>1020</v>
      </c>
      <c r="D332" s="2" t="s">
        <v>682</v>
      </c>
      <c r="E332" s="2" t="s">
        <v>14</v>
      </c>
      <c r="F332" s="2" t="s">
        <v>15</v>
      </c>
      <c r="G332" s="2" t="s">
        <v>1021</v>
      </c>
      <c r="H332" s="2" t="s">
        <v>559</v>
      </c>
      <c r="I332" s="2" t="str">
        <f>IFERROR(__xludf.DUMMYFUNCTION("GOOGLETRANSLATE(C332,""fr"",""en"")"),"I try to change insurance because the car comes back very expensive")</f>
        <v>I try to change insurance because the car comes back very expensive</v>
      </c>
    </row>
    <row r="333" ht="15.75" customHeight="1">
      <c r="B333" s="2" t="s">
        <v>1022</v>
      </c>
      <c r="C333" s="2" t="s">
        <v>1023</v>
      </c>
      <c r="D333" s="2" t="s">
        <v>682</v>
      </c>
      <c r="E333" s="2" t="s">
        <v>14</v>
      </c>
      <c r="F333" s="2" t="s">
        <v>15</v>
      </c>
      <c r="G333" s="2" t="s">
        <v>1024</v>
      </c>
      <c r="H333" s="2" t="s">
        <v>559</v>
      </c>
      <c r="I333" s="2" t="str">
        <f>IFERROR(__xludf.DUMMYFUNCTION("GOOGLETRANSLATE(C333,""fr"",""en"")"),"At the maaf we pay that's all, as soon as there is an accident we have been dragged for months, I always wait for my answer despite phone calls and emails
From then on 01/20/2018 I made an accident I set the observation their past expert refuses to take "&amp;"care of I paid for the counter expertise myself 740 € normally reimbursed by my insurance the two experts they are modifying the report
Yesterday I contacted my insurance to request the reimbursement of the counter expertise the answer is not I contact"&amp;"ed my lawyer
and my legal protection for the disaster they are said to be careful after attacking it against
From then on 01/20/2018 I am unanswered for EN and 04/20/2018 Still nothing from their part, Maaf with their pub at the TELE
Well all I vai"&amp;" contact Julien Courbet for this case")</f>
        <v>At the maaf we pay that's all, as soon as there is an accident we have been dragged for months, I always wait for my answer despite phone calls and emails
From then on 01/20/2018 I made an accident I set the observation their past expert refuses to take care of I paid for the counter expertise myself 740 € normally reimbursed by my insurance the two experts they are modifying the report
Yesterday I contacted my insurance to request the reimbursement of the counter expertise the answer is not I contacted my lawyer
and my legal protection for the disaster they are said to be careful after attacking it against
From then on 01/20/2018 I am unanswered for EN and 04/20/2018 Still nothing from their part, Maaf with their pub at the TELE
Well all I vai contact Julien Courbet for this case</v>
      </c>
    </row>
    <row r="334" ht="15.75" customHeight="1">
      <c r="B334" s="2" t="s">
        <v>1025</v>
      </c>
      <c r="C334" s="2" t="s">
        <v>1026</v>
      </c>
      <c r="D334" s="2" t="s">
        <v>682</v>
      </c>
      <c r="E334" s="2" t="s">
        <v>14</v>
      </c>
      <c r="F334" s="2" t="s">
        <v>15</v>
      </c>
      <c r="G334" s="2" t="s">
        <v>1027</v>
      </c>
      <c r="H334" s="2" t="s">
        <v>565</v>
      </c>
      <c r="I334" s="2" t="str">
        <f>IFERROR(__xludf.DUMMYFUNCTION("GOOGLETRANSLATE(C334,""fr"",""en"")"),"Mr. Christophe Guerin Agency Epinal has no interest to respond to potential customers and a priori behaves like a platform located abroad. This person does not meet any customer quality criteria also avoid maaf")</f>
        <v>Mr. Christophe Guerin Agency Epinal has no interest to respond to potential customers and a priori behaves like a platform located abroad. This person does not meet any customer quality criteria also avoid maaf</v>
      </c>
    </row>
    <row r="335" ht="15.75" customHeight="1">
      <c r="B335" s="2" t="s">
        <v>1028</v>
      </c>
      <c r="C335" s="2" t="s">
        <v>1029</v>
      </c>
      <c r="D335" s="2" t="s">
        <v>682</v>
      </c>
      <c r="E335" s="2" t="s">
        <v>14</v>
      </c>
      <c r="F335" s="2" t="s">
        <v>15</v>
      </c>
      <c r="G335" s="2" t="s">
        <v>564</v>
      </c>
      <c r="H335" s="2" t="s">
        <v>565</v>
      </c>
      <c r="I335" s="2" t="str">
        <f>IFERROR(__xludf.DUMMYFUNCTION("GOOGLETRANSLATE(C335,""fr"",""en"")"),"We tell you to cancel the flight option because the vehicle supposedly has no value, we send you to the Argus site and I see 2600 € estimated, so these ladies gentlemen Maaf consider that € 2600 is A small sum. And more excessive price.")</f>
        <v>We tell you to cancel the flight option because the vehicle supposedly has no value, we send you to the Argus site and I see 2600 € estimated, so these ladies gentlemen Maaf consider that € 2600 is A small sum. And more excessive price.</v>
      </c>
    </row>
    <row r="336" ht="15.75" customHeight="1">
      <c r="B336" s="2" t="s">
        <v>1030</v>
      </c>
      <c r="C336" s="2" t="s">
        <v>1031</v>
      </c>
      <c r="D336" s="2" t="s">
        <v>682</v>
      </c>
      <c r="E336" s="2" t="s">
        <v>14</v>
      </c>
      <c r="F336" s="2" t="s">
        <v>15</v>
      </c>
      <c r="G336" s="2" t="s">
        <v>1032</v>
      </c>
      <c r="H336" s="2" t="s">
        <v>565</v>
      </c>
      <c r="I336" s="2" t="str">
        <f>IFERROR(__xludf.DUMMYFUNCTION("GOOGLETRANSLATE(C336,""fr"",""en"")"),"No premium for loyalty despite 2 home (for 10 years) and car (4 years) (4 years): strong increases every year (up to 10%). Massy agency staff (91300) excessively unpleasant and superior: do they need customers? She closes ... and I leave the maaf forever."&amp;" However, I had placement projects at home, and I was already a satisfied customer 18 years ago. We are far from the imagery of advertising: as the slogan of a competitor says, ""who is customers""?")</f>
        <v>No premium for loyalty despite 2 home (for 10 years) and car (4 years) (4 years): strong increases every year (up to 10%). Massy agency staff (91300) excessively unpleasant and superior: do they need customers? She closes ... and I leave the maaf forever. However, I had placement projects at home, and I was already a satisfied customer 18 years ago. We are far from the imagery of advertising: as the slogan of a competitor says, "who is customers"?</v>
      </c>
    </row>
    <row r="337" ht="15.75" customHeight="1">
      <c r="B337" s="2" t="s">
        <v>1033</v>
      </c>
      <c r="C337" s="2" t="s">
        <v>1034</v>
      </c>
      <c r="D337" s="2" t="s">
        <v>682</v>
      </c>
      <c r="E337" s="2" t="s">
        <v>14</v>
      </c>
      <c r="F337" s="2" t="s">
        <v>15</v>
      </c>
      <c r="G337" s="2" t="s">
        <v>1035</v>
      </c>
      <c r="H337" s="2" t="s">
        <v>565</v>
      </c>
      <c r="I337" s="2" t="str">
        <f>IFERROR(__xludf.DUMMYFUNCTION("GOOGLETRANSLATE(C337,""fr"",""en"")"),"Far too expensive, the young driver's surprise.")</f>
        <v>Far too expensive, the young driver's surprise.</v>
      </c>
    </row>
    <row r="338" ht="15.75" customHeight="1">
      <c r="B338" s="2" t="s">
        <v>1036</v>
      </c>
      <c r="C338" s="2" t="s">
        <v>1037</v>
      </c>
      <c r="D338" s="2" t="s">
        <v>682</v>
      </c>
      <c r="E338" s="2" t="s">
        <v>14</v>
      </c>
      <c r="F338" s="2" t="s">
        <v>15</v>
      </c>
      <c r="G338" s="2" t="s">
        <v>1038</v>
      </c>
      <c r="H338" s="2" t="s">
        <v>565</v>
      </c>
      <c r="I338" s="2" t="str">
        <f>IFERROR(__xludf.DUMMYFUNCTION("GOOGLETRANSLATE(C338,""fr"",""en"")"),"At the MAAF we pay that's all, as soon as there is a problem we are dragged for months, I am still waiting for my answer despite phone calls and emails.")</f>
        <v>At the MAAF we pay that's all, as soon as there is a problem we are dragged for months, I am still waiting for my answer despite phone calls and emails.</v>
      </c>
    </row>
    <row r="339" ht="15.75" customHeight="1">
      <c r="B339" s="2" t="s">
        <v>1039</v>
      </c>
      <c r="C339" s="2" t="s">
        <v>1040</v>
      </c>
      <c r="D339" s="2" t="s">
        <v>682</v>
      </c>
      <c r="E339" s="2" t="s">
        <v>14</v>
      </c>
      <c r="F339" s="2" t="s">
        <v>15</v>
      </c>
      <c r="G339" s="2" t="s">
        <v>576</v>
      </c>
      <c r="H339" s="2" t="s">
        <v>577</v>
      </c>
      <c r="I339" s="2" t="str">
        <f>IFERROR(__xludf.DUMMYFUNCTION("GOOGLETRANSLATE(C339,""fr"",""en"")"),"I have nothing to complain about except that the price that I pay seems to me raised compared to other proposals that are made to me.")</f>
        <v>I have nothing to complain about except that the price that I pay seems to me raised compared to other proposals that are made to me.</v>
      </c>
    </row>
    <row r="340" ht="15.75" customHeight="1">
      <c r="B340" s="2" t="s">
        <v>1041</v>
      </c>
      <c r="C340" s="2" t="s">
        <v>1042</v>
      </c>
      <c r="D340" s="2" t="s">
        <v>682</v>
      </c>
      <c r="E340" s="2" t="s">
        <v>14</v>
      </c>
      <c r="F340" s="2" t="s">
        <v>15</v>
      </c>
      <c r="G340" s="2" t="s">
        <v>1043</v>
      </c>
      <c r="H340" s="2" t="s">
        <v>577</v>
      </c>
      <c r="I340" s="2" t="str">
        <f>IFERROR(__xludf.DUMMYFUNCTION("GOOGLETRANSLATE(C340,""fr"",""en"")"),"In Guadeloupe Professionalism 0")</f>
        <v>In Guadeloupe Professionalism 0</v>
      </c>
    </row>
    <row r="341" ht="15.75" customHeight="1">
      <c r="B341" s="2" t="s">
        <v>1044</v>
      </c>
      <c r="C341" s="2" t="s">
        <v>1045</v>
      </c>
      <c r="D341" s="2" t="s">
        <v>682</v>
      </c>
      <c r="E341" s="2" t="s">
        <v>14</v>
      </c>
      <c r="F341" s="2" t="s">
        <v>15</v>
      </c>
      <c r="G341" s="2" t="s">
        <v>1043</v>
      </c>
      <c r="H341" s="2" t="s">
        <v>577</v>
      </c>
      <c r="I341" s="2" t="str">
        <f>IFERROR(__xludf.DUMMYFUNCTION("GOOGLETRANSLATE(C341,""fr"",""en"")"),"Maaf insurance
Hello I have two cars insured at Maaf any risk of then 2015 50% + 7 years
Yesterday I did an unlikely accident
I contacted my insurance they are sent an expert to the garage for expertise my car I contacted the expert told me that your"&amp;" car was damaged because it is a merd expert like a dog he does not like abroad
I contacted my insurance to explain he told me to do against expert
The price 900 € at my expense, I advise you to avoid insured at Maaf Assurances is poor insurance for ind"&amp;"ividuals with their expert
In addition to that I will terminate all my contracts + I brought together 8 people at Maaf I will contact to change their insurance
Maaf with their ad
A kid from the expert at the Auto Expertise Cholet agency
")</f>
        <v>Maaf insurance
Hello I have two cars insured at Maaf any risk of then 2015 50% + 7 years
Yesterday I did an unlikely accident
I contacted my insurance they are sent an expert to the garage for expertise my car I contacted the expert told me that your car was damaged because it is a merd expert like a dog he does not like abroad
I contacted my insurance to explain he told me to do against expert
The price 900 € at my expense, I advise you to avoid insured at Maaf Assurances is poor insurance for individuals with their expert
In addition to that I will terminate all my contracts + I brought together 8 people at Maaf I will contact to change their insurance
Maaf with their ad
A kid from the expert at the Auto Expertise Cholet agency
</v>
      </c>
    </row>
    <row r="342" ht="15.75" customHeight="1">
      <c r="B342" s="2" t="s">
        <v>1046</v>
      </c>
      <c r="C342" s="2" t="s">
        <v>1047</v>
      </c>
      <c r="D342" s="2" t="s">
        <v>682</v>
      </c>
      <c r="E342" s="2" t="s">
        <v>14</v>
      </c>
      <c r="F342" s="2" t="s">
        <v>15</v>
      </c>
      <c r="G342" s="2" t="s">
        <v>1048</v>
      </c>
      <c r="H342" s="2" t="s">
        <v>577</v>
      </c>
      <c r="I342" s="2" t="str">
        <f>IFERROR(__xludf.DUMMYFUNCTION("GOOGLETRANSLATE(C342,""fr"",""en"")"),"Auto contract struck down in a completely abusive and arbitrary way after more than 30 years as a customer !!
With a bonus of 0.52, RC Pro Riderified for ""Political Subscription Evolution"" without having had any claim, I withdraw all my contracts, welc"&amp;"omed the Macif with pleasure!")</f>
        <v>Auto contract struck down in a completely abusive and arbitrary way after more than 30 years as a customer !!
With a bonus of 0.52, RC Pro Riderified for "Political Subscription Evolution" without having had any claim, I withdraw all my contracts, welcomed the Macif with pleasure!</v>
      </c>
    </row>
    <row r="343" ht="15.75" customHeight="1">
      <c r="B343" s="2" t="s">
        <v>1049</v>
      </c>
      <c r="C343" s="2" t="s">
        <v>1050</v>
      </c>
      <c r="D343" s="2" t="s">
        <v>682</v>
      </c>
      <c r="E343" s="2" t="s">
        <v>14</v>
      </c>
      <c r="F343" s="2" t="s">
        <v>15</v>
      </c>
      <c r="G343" s="2" t="s">
        <v>1048</v>
      </c>
      <c r="H343" s="2" t="s">
        <v>577</v>
      </c>
      <c r="I343" s="2" t="str">
        <f>IFERROR(__xludf.DUMMYFUNCTION("GOOGLETRANSLATE(C343,""fr"",""en"")"),"No problem with my insurance but little need for its services
")</f>
        <v>No problem with my insurance but little need for its services
</v>
      </c>
    </row>
    <row r="344" ht="15.75" customHeight="1">
      <c r="B344" s="2" t="s">
        <v>1051</v>
      </c>
      <c r="C344" s="2" t="s">
        <v>1052</v>
      </c>
      <c r="D344" s="2" t="s">
        <v>682</v>
      </c>
      <c r="E344" s="2" t="s">
        <v>14</v>
      </c>
      <c r="F344" s="2" t="s">
        <v>15</v>
      </c>
      <c r="G344" s="2" t="s">
        <v>1053</v>
      </c>
      <c r="H344" s="2" t="s">
        <v>286</v>
      </c>
      <c r="I344" s="2" t="str">
        <f>IFERROR(__xludf.DUMMYFUNCTION("GOOGLETRANSLATE(C344,""fr"",""en"")"),"Terrible! Do not go to them for auto and home insurance! Despite the laws put in place by the State it is impossible to terminate with them !!!!!!!!!!")</f>
        <v>Terrible! Do not go to them for auto and home insurance! Despite the laws put in place by the State it is impossible to terminate with them !!!!!!!!!!</v>
      </c>
    </row>
    <row r="345" ht="15.75" customHeight="1">
      <c r="B345" s="2" t="s">
        <v>1054</v>
      </c>
      <c r="C345" s="2" t="s">
        <v>1055</v>
      </c>
      <c r="D345" s="2" t="s">
        <v>682</v>
      </c>
      <c r="E345" s="2" t="s">
        <v>14</v>
      </c>
      <c r="F345" s="2" t="s">
        <v>15</v>
      </c>
      <c r="G345" s="2" t="s">
        <v>1056</v>
      </c>
      <c r="H345" s="2" t="s">
        <v>286</v>
      </c>
      <c r="I345" s="2" t="str">
        <f>IFERROR(__xludf.DUMMYFUNCTION("GOOGLETRANSLATE(C345,""fr"",""en"")"),"Eye for ice breaks")</f>
        <v>Eye for ice breaks</v>
      </c>
    </row>
    <row r="346" ht="15.75" customHeight="1">
      <c r="B346" s="2" t="s">
        <v>1057</v>
      </c>
      <c r="C346" s="2" t="s">
        <v>1058</v>
      </c>
      <c r="D346" s="2" t="s">
        <v>682</v>
      </c>
      <c r="E346" s="2" t="s">
        <v>14</v>
      </c>
      <c r="F346" s="2" t="s">
        <v>15</v>
      </c>
      <c r="G346" s="2" t="s">
        <v>1059</v>
      </c>
      <c r="H346" s="2" t="s">
        <v>286</v>
      </c>
      <c r="I346" s="2" t="str">
        <f>IFERROR(__xludf.DUMMYFUNCTION("GOOGLETRANSLATE(C346,""fr"",""en"")"),"Bad welcome, unpleasant employees who do not hesitate to be insulting towards his customers.
/! \ In addition they add options in the contracts.
I was added without my knowledge of deception insurance when I had asked for simple car insurance ....
(Maa"&amp;"f frejus)")</f>
        <v>Bad welcome, unpleasant employees who do not hesitate to be insulting towards his customers.
/! \ In addition they add options in the contracts.
I was added without my knowledge of deception insurance when I had asked for simple car insurance ....
(Maaf frejus)</v>
      </c>
    </row>
    <row r="347" ht="15.75" customHeight="1">
      <c r="B347" s="2" t="s">
        <v>1060</v>
      </c>
      <c r="C347" s="2" t="s">
        <v>1061</v>
      </c>
      <c r="D347" s="2" t="s">
        <v>682</v>
      </c>
      <c r="E347" s="2" t="s">
        <v>14</v>
      </c>
      <c r="F347" s="2" t="s">
        <v>15</v>
      </c>
      <c r="G347" s="2" t="s">
        <v>1059</v>
      </c>
      <c r="H347" s="2" t="s">
        <v>286</v>
      </c>
      <c r="I347" s="2" t="str">
        <f>IFERROR(__xludf.DUMMYFUNCTION("GOOGLETRANSLATE(C347,""fr"",""en"")"),"Insured since 2016 in this Cie with 50 % bonuses and without accident
I was surprised to see my insurance premium increased by almost 14 %. An advisor explains to me in 1st time that claims increased in 2016 which generates this increase. Following the 2"&amp;" free months granted to new members in early 2017, I would like to contact the MAAF again so that it explains this policy which consists on one side of increasing the premiums of current customers and granting free free For new memberships. The explanatio"&amp;"n, I doubted it is a specific budget for this promotional operation and for my personal case there are no possible negotiations.")</f>
        <v>Insured since 2016 in this Cie with 50 % bonuses and without accident
I was surprised to see my insurance premium increased by almost 14 %. An advisor explains to me in 1st time that claims increased in 2016 which generates this increase. Following the 2 free months granted to new members in early 2017, I would like to contact the MAAF again so that it explains this policy which consists on one side of increasing the premiums of current customers and granting free free For new memberships. The explanation, I doubted it is a specific budget for this promotional operation and for my personal case there are no possible negotiations.</v>
      </c>
    </row>
    <row r="348" ht="15.75" customHeight="1">
      <c r="B348" s="2" t="s">
        <v>1062</v>
      </c>
      <c r="C348" s="2" t="s">
        <v>1063</v>
      </c>
      <c r="D348" s="2" t="s">
        <v>682</v>
      </c>
      <c r="E348" s="2" t="s">
        <v>14</v>
      </c>
      <c r="F348" s="2" t="s">
        <v>15</v>
      </c>
      <c r="G348" s="2" t="s">
        <v>1064</v>
      </c>
      <c r="H348" s="2" t="s">
        <v>286</v>
      </c>
      <c r="I348" s="2" t="str">
        <f>IFERROR(__xludf.DUMMYFUNCTION("GOOGLETRANSLATE(C348,""fr"",""en"")"),"Insurance that does not want to take care of a non -responsible damage on my car, small stripes made by children throughout the car, I am assuring any risk and the advisor tells me first to go and file a complaint for the file to be Open, what I do and th"&amp;"en I remind and there I am told that I will have a 200euros deductible and that the amount of repairs will be capped at the value of the vehicle after expertise because the vehicle is over 10 years old.
I take a lot of care of my car on all fronts so I a"&amp;"ssure it all risk too and that from the start that I have it, it has been from 1999 and I have owned since 2010. I think that the maaf was better than Pacifica but I was wrong, they are the same, we pay but always find an excuse not to take care of the da"&amp;"mage even by being not responsible. To flee")</f>
        <v>Insurance that does not want to take care of a non -responsible damage on my car, small stripes made by children throughout the car, I am assuring any risk and the advisor tells me first to go and file a complaint for the file to be Open, what I do and then I remind and there I am told that I will have a 200euros deductible and that the amount of repairs will be capped at the value of the vehicle after expertise because the vehicle is over 10 years old.
I take a lot of care of my car on all fronts so I assure it all risk too and that from the start that I have it, it has been from 1999 and I have owned since 2010. I think that the maaf was better than Pacifica but I was wrong, they are the same, we pay but always find an excuse not to take care of the damage even by being not responsible. To flee</v>
      </c>
    </row>
    <row r="349" ht="15.75" customHeight="1">
      <c r="B349" s="2" t="s">
        <v>1065</v>
      </c>
      <c r="C349" s="2" t="s">
        <v>1066</v>
      </c>
      <c r="D349" s="2" t="s">
        <v>682</v>
      </c>
      <c r="E349" s="2" t="s">
        <v>14</v>
      </c>
      <c r="F349" s="2" t="s">
        <v>15</v>
      </c>
      <c r="G349" s="2" t="s">
        <v>1067</v>
      </c>
      <c r="H349" s="2" t="s">
        <v>286</v>
      </c>
      <c r="I349" s="2" t="str">
        <f>IFERROR(__xludf.DUMMYFUNCTION("GOOGLETRANSLATE(C349,""fr"",""en"")"),"Client for more than 10 years for car insurance, I was so far rather satisfied with prices and guarantees. I specify that in 10 years, I paid the Maaf without costing them a single penny, zero sinister to declare. I have moved several times. I first went "&amp;"from Gard to Ardèche. The risks of degradation being lower in Ardèche, my annual subscription has decreased by around € 50 on each vehicle. 3 years later, I do the opposite, I leave the Ardèche for the Gard (Nîmes). A advisor contacts me to inform me of a"&amp;" sharp price increase. Hold on well: more than 300 euros annual for my recent vehicle in all risks and more € 250 for a third -party vehicle who is over 10 years old and 215000km. So there it is no longer an increase, it is a staggering price change. Obvi"&amp;"ously I will terminate all my contracts at home and I strongly advise against this insurer. Small joke: the advisor of the Gard agency advised me to move because in a town located 10km from mine I will pay less. Who are we laughing at??")</f>
        <v>Client for more than 10 years for car insurance, I was so far rather satisfied with prices and guarantees. I specify that in 10 years, I paid the Maaf without costing them a single penny, zero sinister to declare. I have moved several times. I first went from Gard to Ardèche. The risks of degradation being lower in Ardèche, my annual subscription has decreased by around € 50 on each vehicle. 3 years later, I do the opposite, I leave the Ardèche for the Gard (Nîmes). A advisor contacts me to inform me of a sharp price increase. Hold on well: more than 300 euros annual for my recent vehicle in all risks and more € 250 for a third -party vehicle who is over 10 years old and 215000km. So there it is no longer an increase, it is a staggering price change. Obviously I will terminate all my contracts at home and I strongly advise against this insurer. Small joke: the advisor of the Gard agency advised me to move because in a town located 10km from mine I will pay less. Who are we laughing at??</v>
      </c>
    </row>
    <row r="350" ht="15.75" customHeight="1">
      <c r="B350" s="2" t="s">
        <v>1068</v>
      </c>
      <c r="C350" s="2" t="s">
        <v>1069</v>
      </c>
      <c r="D350" s="2" t="s">
        <v>682</v>
      </c>
      <c r="E350" s="2" t="s">
        <v>14</v>
      </c>
      <c r="F350" s="2" t="s">
        <v>15</v>
      </c>
      <c r="G350" s="2" t="s">
        <v>289</v>
      </c>
      <c r="H350" s="2" t="s">
        <v>286</v>
      </c>
      <c r="I350" s="2" t="str">
        <f>IFERROR(__xludf.DUMMYFUNCTION("GOOGLETRANSLATE(C350,""fr"",""en"")"),"Client for almost 30 years with only 2 self -employed people! Total disappointment since this year, an increase of 30% of my self -employed contract without coherent explanation (and despite even the progression of my bonus), error on claims (1 extra!), E"&amp;"rror on recording declaration km by internet yet well done, CONTROL CONTRACT by mistake during the year!, very late sending of the deadlines of deadlines not allowing renegotiation (18/12 for due to 01/01!) ....")</f>
        <v>Client for almost 30 years with only 2 self -employed people! Total disappointment since this year, an increase of 30% of my self -employed contract without coherent explanation (and despite even the progression of my bonus), error on claims (1 extra!), Error on recording declaration km by internet yet well done, CONTROL CONTRACT by mistake during the year!, very late sending of the deadlines of deadlines not allowing renegotiation (18/12 for due to 01/01!) ....</v>
      </c>
    </row>
    <row r="351" ht="15.75" customHeight="1">
      <c r="B351" s="2" t="s">
        <v>1070</v>
      </c>
      <c r="C351" s="2" t="s">
        <v>1071</v>
      </c>
      <c r="D351" s="2" t="s">
        <v>682</v>
      </c>
      <c r="E351" s="2" t="s">
        <v>14</v>
      </c>
      <c r="F351" s="2" t="s">
        <v>15</v>
      </c>
      <c r="G351" s="2" t="s">
        <v>1072</v>
      </c>
      <c r="H351" s="2" t="s">
        <v>587</v>
      </c>
      <c r="I351" s="2" t="str">
        <f>IFERROR(__xludf.DUMMYFUNCTION("GOOGLETRANSLATE(C351,""fr"",""en"")"),"Increase of 6% in 2018 has guaranteed equal and without any change or claim since the contract subscription")</f>
        <v>Increase of 6% in 2018 has guaranteed equal and without any change or claim since the contract subscription</v>
      </c>
    </row>
    <row r="352" ht="15.75" customHeight="1">
      <c r="B352" s="2" t="s">
        <v>1073</v>
      </c>
      <c r="C352" s="2" t="s">
        <v>1074</v>
      </c>
      <c r="D352" s="2" t="s">
        <v>682</v>
      </c>
      <c r="E352" s="2" t="s">
        <v>14</v>
      </c>
      <c r="F352" s="2" t="s">
        <v>15</v>
      </c>
      <c r="G352" s="2" t="s">
        <v>1075</v>
      </c>
      <c r="H352" s="2" t="s">
        <v>587</v>
      </c>
      <c r="I352" s="2" t="str">
        <f>IFERROR(__xludf.DUMMYFUNCTION("GOOGLETRANSLATE(C352,""fr"",""en"")"),"Maaf fucks the customer royally, the advice goes in their senses. Maaf a wanted M, try to reassure a vehicle after l, having withdrawn by replacing from another under the pretext that we have no right to keep a vehicle at home without insurance")</f>
        <v>Maaf fucks the customer royally, the advice goes in their senses. Maaf a wanted M, try to reassure a vehicle after l, having withdrawn by replacing from another under the pretext that we have no right to keep a vehicle at home without insurance</v>
      </c>
    </row>
    <row r="353" ht="15.75" customHeight="1">
      <c r="B353" s="2" t="s">
        <v>1076</v>
      </c>
      <c r="C353" s="2" t="s">
        <v>1077</v>
      </c>
      <c r="D353" s="2" t="s">
        <v>682</v>
      </c>
      <c r="E353" s="2" t="s">
        <v>14</v>
      </c>
      <c r="F353" s="2" t="s">
        <v>15</v>
      </c>
      <c r="G353" s="2" t="s">
        <v>1078</v>
      </c>
      <c r="H353" s="2" t="s">
        <v>587</v>
      </c>
      <c r="I353" s="2" t="str">
        <f>IFERROR(__xludf.DUMMYFUNCTION("GOOGLETRANSLATE(C353,""fr"",""en"")"),"This insurer imposes 20 % increase over 3 years! Despite a 50% bonus and no claim.
I have been assured at home for 36 years for two vehicles and my house.")</f>
        <v>This insurer imposes 20 % increase over 3 years! Despite a 50% bonus and no claim.
I have been assured at home for 36 years for two vehicles and my house.</v>
      </c>
    </row>
    <row r="354" ht="15.75" customHeight="1">
      <c r="B354" s="2" t="s">
        <v>1079</v>
      </c>
      <c r="C354" s="2" t="s">
        <v>1080</v>
      </c>
      <c r="D354" s="2" t="s">
        <v>682</v>
      </c>
      <c r="E354" s="2" t="s">
        <v>14</v>
      </c>
      <c r="F354" s="2" t="s">
        <v>15</v>
      </c>
      <c r="G354" s="2" t="s">
        <v>1081</v>
      </c>
      <c r="H354" s="2" t="s">
        <v>587</v>
      </c>
      <c r="I354" s="2" t="str">
        <f>IFERROR(__xludf.DUMMYFUNCTION("GOOGLETRANSLATE(C354,""fr"",""en"")"),"Hallucing! Customer at Maaf since 2005 with 2 vehicles (bonus 50% both), I just learned the day I want to replace the second vehicle following a (non -repairable) disaster that Maaf's headquarters refuse us any replacement for This vehicle ... We had not "&amp;"subscribed to the replacement vehicle option, so we were forced to buy a second quickly for our journeys and I am told no, too much sinister !!!
Basically, 2 broken ice, an accident, you release !!
And in addition, I just discovered that I could have be"&amp;"nefited from 10% discount on the second vehicle for 10 years ...
I have the impression that they only want to keep customers who need nothing or who are lucky enough to never have a problem ...
To flee !!!!")</f>
        <v>Hallucing! Customer at Maaf since 2005 with 2 vehicles (bonus 50% both), I just learned the day I want to replace the second vehicle following a (non -repairable) disaster that Maaf's headquarters refuse us any replacement for This vehicle ... We had not subscribed to the replacement vehicle option, so we were forced to buy a second quickly for our journeys and I am told no, too much sinister !!!
Basically, 2 broken ice, an accident, you release !!
And in addition, I just discovered that I could have benefited from 10% discount on the second vehicle for 10 years ...
I have the impression that they only want to keep customers who need nothing or who are lucky enough to never have a problem ...
To flee !!!!</v>
      </c>
    </row>
    <row r="355" ht="15.75" customHeight="1">
      <c r="B355" s="2" t="s">
        <v>1082</v>
      </c>
      <c r="C355" s="2" t="s">
        <v>1083</v>
      </c>
      <c r="D355" s="2" t="s">
        <v>682</v>
      </c>
      <c r="E355" s="2" t="s">
        <v>14</v>
      </c>
      <c r="F355" s="2" t="s">
        <v>15</v>
      </c>
      <c r="G355" s="2" t="s">
        <v>1084</v>
      </c>
      <c r="H355" s="2" t="s">
        <v>587</v>
      </c>
      <c r="I355" s="2" t="str">
        <f>IFERROR(__xludf.DUMMYFUNCTION("GOOGLETRANSLATE(C355,""fr"",""en"")"),"When you are insured at home, former customers no longer have them they have no more advantage because since I have been my insurance has not stopped increasing")</f>
        <v>When you are insured at home, former customers no longer have them they have no more advantage because since I have been my insurance has not stopped increasing</v>
      </c>
    </row>
    <row r="356" ht="15.75" customHeight="1">
      <c r="B356" s="2" t="s">
        <v>1085</v>
      </c>
      <c r="C356" s="2" t="s">
        <v>1086</v>
      </c>
      <c r="D356" s="2" t="s">
        <v>682</v>
      </c>
      <c r="E356" s="2" t="s">
        <v>14</v>
      </c>
      <c r="F356" s="2" t="s">
        <v>15</v>
      </c>
      <c r="G356" s="2" t="s">
        <v>1087</v>
      </c>
      <c r="H356" s="2" t="s">
        <v>587</v>
      </c>
      <c r="I356" s="2" t="str">
        <f>IFERROR(__xludf.DUMMYFUNCTION("GOOGLETRANSLATE(C356,""fr"",""en"")"),"Main vehicle insured with the maaf for 21 years, bonus a maaf 50 % since 2007 with bonus winner 8 %, are paid to the maaf in 21 years 17000 euros around (I have no trace of the cost of the premiums paid the first years). I cost the MAAF 9613.54 euros Amou"&amp;"nt obtained on my file IARD claims section. Without the direct compensation agreement for the insured, I would have cost the MAAF 5000 Euro less. How I know, I sent a recommended with acknowledgment of receipt so that the MAAF gives me the data concerning"&amp;" me in its possession. Well, according to them, they never received this recommended, and it took the intervention of the CNIL to obtain this data and while the CNIL had given them 15 days to communicate this file to me, I do not I received only 16 days a"&amp;"fter the CNIL mail. File requested in August 2017, obtained at the end of November 2017, what is fun is that in the file it only keeps the last 3 years of customer contact but that we see negative comments dated from 2011. Why have you asked My file: I wa"&amp;"s told by an acquaintance in whom I have perfectly confident that with my maaf file no possibility of negotiating anything in the event of a problem. I don't even dare imagine what customer files contain that have more claims than me. In short, no respect"&amp;" for loyal customers for years. A word of advice, ask that your file be communicated to you and if two months after if it does not enter the CNIL. Change insurer regularly, your contributions will drop because to attract new customers they lower the price"&amp;"s they compensate for during the following years with the increases they justify by increasing the cost of repairs.")</f>
        <v>Main vehicle insured with the maaf for 21 years, bonus a maaf 50 % since 2007 with bonus winner 8 %, are paid to the maaf in 21 years 17000 euros around (I have no trace of the cost of the premiums paid the first years). I cost the MAAF 9613.54 euros Amount obtained on my file IARD claims section. Without the direct compensation agreement for the insured, I would have cost the MAAF 5000 Euro less. How I know, I sent a recommended with acknowledgment of receipt so that the MAAF gives me the data concerning me in its possession. Well, according to them, they never received this recommended, and it took the intervention of the CNIL to obtain this data and while the CNIL had given them 15 days to communicate this file to me, I do not I received only 16 days after the CNIL mail. File requested in August 2017, obtained at the end of November 2017, what is fun is that in the file it only keeps the last 3 years of customer contact but that we see negative comments dated from 2011. Why have you asked My file: I was told by an acquaintance in whom I have perfectly confident that with my maaf file no possibility of negotiating anything in the event of a problem. I don't even dare imagine what customer files contain that have more claims than me. In short, no respect for loyal customers for years. A word of advice, ask that your file be communicated to you and if two months after if it does not enter the CNIL. Change insurer regularly, your contributions will drop because to attract new customers they lower the prices they compensate for during the following years with the increases they justify by increasing the cost of repairs.</v>
      </c>
    </row>
    <row r="357" ht="15.75" customHeight="1">
      <c r="B357" s="2" t="s">
        <v>1088</v>
      </c>
      <c r="C357" s="2" t="s">
        <v>1089</v>
      </c>
      <c r="D357" s="2" t="s">
        <v>682</v>
      </c>
      <c r="E357" s="2" t="s">
        <v>14</v>
      </c>
      <c r="F357" s="2" t="s">
        <v>15</v>
      </c>
      <c r="G357" s="2" t="s">
        <v>1090</v>
      </c>
      <c r="H357" s="2" t="s">
        <v>587</v>
      </c>
      <c r="I357" s="2" t="str">
        <f>IFERROR(__xludf.DUMMYFUNCTION("GOOGLETRANSLATE(C357,""fr"",""en"")"),"No respect for loyalty.")</f>
        <v>No respect for loyalty.</v>
      </c>
    </row>
    <row r="358" ht="15.75" customHeight="1">
      <c r="B358" s="2" t="s">
        <v>1091</v>
      </c>
      <c r="C358" s="2" t="s">
        <v>1092</v>
      </c>
      <c r="D358" s="2" t="s">
        <v>682</v>
      </c>
      <c r="E358" s="2" t="s">
        <v>14</v>
      </c>
      <c r="F358" s="2" t="s">
        <v>15</v>
      </c>
      <c r="G358" s="2" t="s">
        <v>1093</v>
      </c>
      <c r="H358" s="2" t="s">
        <v>293</v>
      </c>
      <c r="I358" s="2" t="str">
        <f>IFERROR(__xludf.DUMMYFUNCTION("GOOGLETRANSLATE(C358,""fr"",""en"")"),"A disaster !!! 8 years of permit and insurance without any clash, the slightest declaration. And there a hailstone storm and I am counted with a more ice damage to bodyboy (as if I were Monsieur Météo or as if I could kindly ask the hail to damage only my"&amp;" body). Following this I waited 6 months for my expertise, 3 months later still no news and the Maaf calls me to tell me that my vehicle had still not been appraised. So I asked another day so that the same expert reviews the same vehicle in the same gara"&amp;"ge !!!!! And to top it all, I received a letter of radiation last month and am now unable to find a new insurer")</f>
        <v>A disaster !!! 8 years of permit and insurance without any clash, the slightest declaration. And there a hailstone storm and I am counted with a more ice damage to bodyboy (as if I were Monsieur Météo or as if I could kindly ask the hail to damage only my body). Following this I waited 6 months for my expertise, 3 months later still no news and the Maaf calls me to tell me that my vehicle had still not been appraised. So I asked another day so that the same expert reviews the same vehicle in the same garage !!!!! And to top it all, I received a letter of radiation last month and am now unable to find a new insurer</v>
      </c>
    </row>
    <row r="359" ht="15.75" customHeight="1">
      <c r="B359" s="2" t="s">
        <v>1094</v>
      </c>
      <c r="C359" s="2" t="s">
        <v>1095</v>
      </c>
      <c r="D359" s="2" t="s">
        <v>682</v>
      </c>
      <c r="E359" s="2" t="s">
        <v>14</v>
      </c>
      <c r="F359" s="2" t="s">
        <v>15</v>
      </c>
      <c r="G359" s="2" t="s">
        <v>1096</v>
      </c>
      <c r="H359" s="2" t="s">
        <v>293</v>
      </c>
      <c r="I359" s="2" t="str">
        <f>IFERROR(__xludf.DUMMYFUNCTION("GOOGLETRANSLATE(C359,""fr"",""en"")"),"The disappointment is as great as the disgust that I am currently feeling.
5 years insured and 2 years in the second driver and I receive a letter from the termination of the contract for reasons ""frequency of claims"" not responsible (car pressed in a "&amp;"parking lot) with a bonus at 0.68
I said to myself at the beginning it is a joke but no we contribute for insurance, we get your car fucked and it is our fault of course. In addition, they do not have human considerations for once.
By signing the contra"&amp;"ct we do not inform the customer of this detail ... I do not recommend this insurance")</f>
        <v>The disappointment is as great as the disgust that I am currently feeling.
5 years insured and 2 years in the second driver and I receive a letter from the termination of the contract for reasons "frequency of claims" not responsible (car pressed in a parking lot) with a bonus at 0.68
I said to myself at the beginning it is a joke but no we contribute for insurance, we get your car fucked and it is our fault of course. In addition, they do not have human considerations for once.
By signing the contract we do not inform the customer of this detail ... I do not recommend this insurance</v>
      </c>
    </row>
    <row r="360" ht="15.75" customHeight="1">
      <c r="B360" s="2" t="s">
        <v>1097</v>
      </c>
      <c r="C360" s="2" t="s">
        <v>1098</v>
      </c>
      <c r="D360" s="2" t="s">
        <v>682</v>
      </c>
      <c r="E360" s="2" t="s">
        <v>14</v>
      </c>
      <c r="F360" s="2" t="s">
        <v>15</v>
      </c>
      <c r="G360" s="2" t="s">
        <v>1099</v>
      </c>
      <c r="H360" s="2" t="s">
        <v>293</v>
      </c>
      <c r="I360" s="2" t="str">
        <f>IFERROR(__xludf.DUMMYFUNCTION("GOOGLETRANSLATE(C360,""fr"",""en"")"),"20 years that I was a customer at Maaf: car insurance with bonuses at 0.50 for 10 years, home insurance, school insurance for some years, life insurance and now I have just been terminated by mail (not even a blow of thread !!!) all my contracts because i"&amp;"n 2017, I had 2 clashes (certainly responsible ... the law of series!) And a burglary in 2016.
In short, an insurer who no longer ensures in the event of a problem is not really a (good?) Insurer ...
A good hearing, hi maaf!
")</f>
        <v>20 years that I was a customer at Maaf: car insurance with bonuses at 0.50 for 10 years, home insurance, school insurance for some years, life insurance and now I have just been terminated by mail (not even a blow of thread !!!) all my contracts because in 2017, I had 2 clashes (certainly responsible ... the law of series!) And a burglary in 2016.
In short, an insurer who no longer ensures in the event of a problem is not really a (good?) Insurer ...
A good hearing, hi maaf!
</v>
      </c>
    </row>
    <row r="361" ht="15.75" customHeight="1">
      <c r="B361" s="2" t="s">
        <v>1100</v>
      </c>
      <c r="C361" s="2" t="s">
        <v>1101</v>
      </c>
      <c r="D361" s="2" t="s">
        <v>682</v>
      </c>
      <c r="E361" s="2" t="s">
        <v>14</v>
      </c>
      <c r="F361" s="2" t="s">
        <v>15</v>
      </c>
      <c r="G361" s="2" t="s">
        <v>1102</v>
      </c>
      <c r="H361" s="2" t="s">
        <v>297</v>
      </c>
      <c r="I361" s="2" t="str">
        <f>IFERROR(__xludf.DUMMYFUNCTION("GOOGLETRANSLATE(C361,""fr"",""en"")"),"Customer since 2010 Moto House Car
car still 2 at the same time Harley and Pick up
I just received my radiation for frequency sinitres 2000 euro in 2017 you must have a problem at the maaf")</f>
        <v>Customer since 2010 Moto House Car
car still 2 at the same time Harley and Pick up
I just received my radiation for frequency sinitres 2000 euro in 2017 you must have a problem at the maaf</v>
      </c>
    </row>
    <row r="362" ht="15.75" customHeight="1">
      <c r="B362" s="2" t="s">
        <v>1103</v>
      </c>
      <c r="C362" s="2" t="s">
        <v>1104</v>
      </c>
      <c r="D362" s="2" t="s">
        <v>682</v>
      </c>
      <c r="E362" s="2" t="s">
        <v>14</v>
      </c>
      <c r="F362" s="2" t="s">
        <v>15</v>
      </c>
      <c r="G362" s="2" t="s">
        <v>605</v>
      </c>
      <c r="H362" s="2" t="s">
        <v>297</v>
      </c>
      <c r="I362" s="2" t="str">
        <f>IFERROR(__xludf.DUMMYFUNCTION("GOOGLETRANSLATE(C362,""fr"",""en"")"),"Not always place a price point of view!
Other cheaper companies with the same guarantees")</f>
        <v>Not always place a price point of view!
Other cheaper companies with the same guarantees</v>
      </c>
    </row>
    <row r="363" ht="15.75" customHeight="1">
      <c r="B363" s="2" t="s">
        <v>1105</v>
      </c>
      <c r="C363" s="2" t="s">
        <v>1106</v>
      </c>
      <c r="D363" s="2" t="s">
        <v>682</v>
      </c>
      <c r="E363" s="2" t="s">
        <v>14</v>
      </c>
      <c r="F363" s="2" t="s">
        <v>15</v>
      </c>
      <c r="G363" s="2" t="s">
        <v>1107</v>
      </c>
      <c r="H363" s="2" t="s">
        <v>297</v>
      </c>
      <c r="I363" s="2" t="str">
        <f>IFERROR(__xludf.DUMMYFUNCTION("GOOGLETRANSLATE(C363,""fr"",""en"")"),"Tented like many people in the comments by pseudo responsible accident. 2 Vandalism on Carosserie, a outing of road parking in winter and insurance does not even try to defend me. I pay every month so bingo, penalty + increase in subscription. We pay insu"&amp;"rance to be thrown away. Pubs for low prices and nothing behind.")</f>
        <v>Tented like many people in the comments by pseudo responsible accident. 2 Vandalism on Carosserie, a outing of road parking in winter and insurance does not even try to defend me. I pay every month so bingo, penalty + increase in subscription. We pay insurance to be thrown away. Pubs for low prices and nothing behind.</v>
      </c>
    </row>
    <row r="364" ht="15.75" customHeight="1">
      <c r="B364" s="2" t="s">
        <v>1108</v>
      </c>
      <c r="C364" s="2" t="s">
        <v>1109</v>
      </c>
      <c r="D364" s="2" t="s">
        <v>682</v>
      </c>
      <c r="E364" s="2" t="s">
        <v>14</v>
      </c>
      <c r="F364" s="2" t="s">
        <v>15</v>
      </c>
      <c r="G364" s="2" t="s">
        <v>617</v>
      </c>
      <c r="H364" s="2" t="s">
        <v>297</v>
      </c>
      <c r="I364" s="2" t="str">
        <f>IFERROR(__xludf.DUMMYFUNCTION("GOOGLETRANSLATE(C364,""fr"",""en"")"),"To avoid!
I had a non-responsible accident (with evidence) but the insurance concludes a 50% responsibility for the deductible and the penalty and not to bother either (I currently start a procedure against Maaf I am therefore convinced of my non -respon"&amp;"sibility).
""Neither effective nor inexpensive it is the maaf that costs more""")</f>
        <v>To avoid!
I had a non-responsible accident (with evidence) but the insurance concludes a 50% responsibility for the deductible and the penalty and not to bother either (I currently start a procedure against Maaf I am therefore convinced of my non -responsibility).
"Neither effective nor inexpensive it is the maaf that costs more"</v>
      </c>
    </row>
    <row r="365" ht="15.75" customHeight="1">
      <c r="B365" s="2" t="s">
        <v>1110</v>
      </c>
      <c r="C365" s="2" t="s">
        <v>1111</v>
      </c>
      <c r="D365" s="2" t="s">
        <v>682</v>
      </c>
      <c r="E365" s="2" t="s">
        <v>14</v>
      </c>
      <c r="F365" s="2" t="s">
        <v>15</v>
      </c>
      <c r="G365" s="2" t="s">
        <v>1112</v>
      </c>
      <c r="H365" s="2" t="s">
        <v>297</v>
      </c>
      <c r="I365" s="2" t="str">
        <f>IFERROR(__xludf.DUMMYFUNCTION("GOOGLETRANSLATE(C365,""fr"",""en"")"),"Very disappointed by the MAAF. During a family vacation we broke down we joined the help service. All the days we were dealing with different people who sometimes did not take the time to read our file. In addition, some were very unpleasant. We waited 7 "&amp;"hours at the garage to finally go home because the Maaf could not provide us with any suitable solution. The only proposals made were to give us Type B type B cars (tiny trunk) while there were four of us with animals and a Renault Espace type car")</f>
        <v>Very disappointed by the MAAF. During a family vacation we broke down we joined the help service. All the days we were dealing with different people who sometimes did not take the time to read our file. In addition, some were very unpleasant. We waited 7 hours at the garage to finally go home because the Maaf could not provide us with any suitable solution. The only proposals made were to give us Type B type B cars (tiny trunk) while there were four of us with animals and a Renault Espace type car</v>
      </c>
    </row>
    <row r="366" ht="15.75" customHeight="1">
      <c r="B366" s="2" t="s">
        <v>1113</v>
      </c>
      <c r="C366" s="2" t="s">
        <v>1114</v>
      </c>
      <c r="D366" s="2" t="s">
        <v>682</v>
      </c>
      <c r="E366" s="2" t="s">
        <v>14</v>
      </c>
      <c r="F366" s="2" t="s">
        <v>15</v>
      </c>
      <c r="G366" s="2" t="s">
        <v>620</v>
      </c>
      <c r="H366" s="2" t="s">
        <v>297</v>
      </c>
      <c r="I366" s="2" t="str">
        <f>IFERROR(__xludf.DUMMYFUNCTION("GOOGLETRANSLATE(C366,""fr"",""en"")"),"I needed insurance last year for a disaster, everything went perfectly and settled quickly. Lately I needed assistance, its quick, effective summer and they took into account my needs.")</f>
        <v>I needed insurance last year for a disaster, everything went perfectly and settled quickly. Lately I needed assistance, its quick, effective summer and they took into account my needs.</v>
      </c>
    </row>
    <row r="367" ht="15.75" customHeight="1">
      <c r="B367" s="2" t="s">
        <v>1115</v>
      </c>
      <c r="C367" s="2" t="s">
        <v>1116</v>
      </c>
      <c r="D367" s="2" t="s">
        <v>682</v>
      </c>
      <c r="E367" s="2" t="s">
        <v>14</v>
      </c>
      <c r="F367" s="2" t="s">
        <v>15</v>
      </c>
      <c r="G367" s="2" t="s">
        <v>1117</v>
      </c>
      <c r="H367" s="2" t="s">
        <v>301</v>
      </c>
      <c r="I367" s="2" t="str">
        <f>IFERROR(__xludf.DUMMYFUNCTION("GOOGLETRANSLATE(C367,""fr"",""en"")"),"Any comment would be unpleasant ....")</f>
        <v>Any comment would be unpleasant ....</v>
      </c>
    </row>
    <row r="368" ht="15.75" customHeight="1">
      <c r="B368" s="2" t="s">
        <v>1118</v>
      </c>
      <c r="C368" s="2" t="s">
        <v>1119</v>
      </c>
      <c r="D368" s="2" t="s">
        <v>682</v>
      </c>
      <c r="E368" s="2" t="s">
        <v>14</v>
      </c>
      <c r="F368" s="2" t="s">
        <v>15</v>
      </c>
      <c r="G368" s="2" t="s">
        <v>1120</v>
      </c>
      <c r="H368" s="2" t="s">
        <v>301</v>
      </c>
      <c r="I368" s="2" t="str">
        <f>IFERROR(__xludf.DUMMYFUNCTION("GOOGLETRANSLATE(C368,""fr"",""en"")"),"ASHAMED ! It's a money machine!
Customer for 10 years, no accident, bonus of 0.57.
I want to add a new new vehicle to my name and the only driver on it. Not possible because my wife is enhanced (in another insurance!). What is the point of being faithfu"&amp;"l to an insurer, I am not responsible for my wife's penalty!
I am outraged - Flee !!
(Armentières agency in the North)")</f>
        <v>ASHAMED ! It's a money machine!
Customer for 10 years, no accident, bonus of 0.57.
I want to add a new new vehicle to my name and the only driver on it. Not possible because my wife is enhanced (in another insurance!). What is the point of being faithful to an insurer, I am not responsible for my wife's penalty!
I am outraged - Flee !!
(Armentières agency in the North)</v>
      </c>
    </row>
    <row r="369" ht="15.75" customHeight="1">
      <c r="B369" s="2" t="s">
        <v>1121</v>
      </c>
      <c r="C369" s="2" t="s">
        <v>1122</v>
      </c>
      <c r="D369" s="2" t="s">
        <v>682</v>
      </c>
      <c r="E369" s="2" t="s">
        <v>14</v>
      </c>
      <c r="F369" s="2" t="s">
        <v>15</v>
      </c>
      <c r="G369" s="2" t="s">
        <v>1123</v>
      </c>
      <c r="H369" s="2" t="s">
        <v>301</v>
      </c>
      <c r="I369" s="2" t="str">
        <f>IFERROR(__xludf.DUMMYFUNCTION("GOOGLETRANSLATE(C369,""fr"",""en"")"),"34 years of insurance at Maaf ... 3800 euros in contributions paid each year .... and well today, I see that loyalty is useless. The MAAF does not take it into account.
A disaster whose veracity they doubt the facts ...
Benefit of the life bonus, ensure"&amp;"d any risk!
So that in the final phase, my disaster is not taken care of.
What would have been my interest in making a false statement ????
There .... I am no longer !!!!!
So, I informed them during my appointment of this day of my dissatisfaction and"&amp;" that I left from their home ...
A real gachi .........................
")</f>
        <v>34 years of insurance at Maaf ... 3800 euros in contributions paid each year .... and well today, I see that loyalty is useless. The MAAF does not take it into account.
A disaster whose veracity they doubt the facts ...
Benefit of the life bonus, ensured any risk!
So that in the final phase, my disaster is not taken care of.
What would have been my interest in making a false statement ????
There .... I am no longer !!!!!
So, I informed them during my appointment of this day of my dissatisfaction and that I left from their home ...
A real gachi .........................
</v>
      </c>
    </row>
    <row r="370" ht="15.75" customHeight="1">
      <c r="B370" s="2" t="s">
        <v>1124</v>
      </c>
      <c r="C370" s="2" t="s">
        <v>1125</v>
      </c>
      <c r="D370" s="2" t="s">
        <v>682</v>
      </c>
      <c r="E370" s="2" t="s">
        <v>14</v>
      </c>
      <c r="F370" s="2" t="s">
        <v>15</v>
      </c>
      <c r="G370" s="2" t="s">
        <v>1126</v>
      </c>
      <c r="H370" s="2" t="s">
        <v>301</v>
      </c>
      <c r="I370" s="2" t="str">
        <f>IFERROR(__xludf.DUMMYFUNCTION("GOOGLETRANSLATE(C370,""fr"",""en"")"),"Avoid if you are faithful to your insurance (30 years), which you only had 1 liable liable.")</f>
        <v>Avoid if you are faithful to your insurance (30 years), which you only had 1 liable liable.</v>
      </c>
    </row>
    <row r="371" ht="15.75" customHeight="1">
      <c r="B371" s="2" t="s">
        <v>1127</v>
      </c>
      <c r="C371" s="2" t="s">
        <v>1128</v>
      </c>
      <c r="D371" s="2" t="s">
        <v>682</v>
      </c>
      <c r="E371" s="2" t="s">
        <v>14</v>
      </c>
      <c r="F371" s="2" t="s">
        <v>15</v>
      </c>
      <c r="G371" s="2" t="s">
        <v>1129</v>
      </c>
      <c r="H371" s="2" t="s">
        <v>1130</v>
      </c>
      <c r="I371" s="2" t="str">
        <f>IFERROR(__xludf.DUMMYFUNCTION("GOOGLETRANSLATE(C371,""fr"",""en"")"),"More than 30 years of maaf, 50 % bonus, 8 % bonus good driver. Last year small hanging on a private parking, therefore responsible at 50 %. This year I am announced by phone that my franchise will go from 300 to 500 euros and that it is like that there is"&amp;" not to discuss. The year before and without disaster it had already gone from 200 to 300 euros without explanation ... I start to boil. What is it for signing contracts if everything is questioned at the slightest peccadille !! For the past two years, I "&amp;"have started to be unhappy with the MAAF. Previously no problem. In addition I think that their prices are not very advantageous, I think I go to see elsewhere.")</f>
        <v>More than 30 years of maaf, 50 % bonus, 8 % bonus good driver. Last year small hanging on a private parking, therefore responsible at 50 %. This year I am announced by phone that my franchise will go from 300 to 500 euros and that it is like that there is not to discuss. The year before and without disaster it had already gone from 200 to 300 euros without explanation ... I start to boil. What is it for signing contracts if everything is questioned at the slightest peccadille !! For the past two years, I have started to be unhappy with the MAAF. Previously no problem. In addition I think that their prices are not very advantageous, I think I go to see elsewhere.</v>
      </c>
    </row>
    <row r="372" ht="15.75" customHeight="1">
      <c r="B372" s="2" t="s">
        <v>1131</v>
      </c>
      <c r="C372" s="2" t="s">
        <v>1132</v>
      </c>
      <c r="D372" s="2" t="s">
        <v>682</v>
      </c>
      <c r="E372" s="2" t="s">
        <v>14</v>
      </c>
      <c r="F372" s="2" t="s">
        <v>15</v>
      </c>
      <c r="G372" s="2" t="s">
        <v>1133</v>
      </c>
      <c r="H372" s="2" t="s">
        <v>1130</v>
      </c>
      <c r="I372" s="2" t="str">
        <f>IFERROR(__xludf.DUMMYFUNCTION("GOOGLETRANSLATE(C372,""fr"",""en"")"),"Impossible to retract without paying.
They refused to reimburse me for the amount paid
The MAAF refuses to reimburse me, and a dispute is in progress. It's really the gallery and the advisers do not speak well, I do not recommend at all")</f>
        <v>Impossible to retract without paying.
They refused to reimburse me for the amount paid
The MAAF refuses to reimburse me, and a dispute is in progress. It's really the gallery and the advisers do not speak well, I do not recommend at all</v>
      </c>
    </row>
    <row r="373" ht="15.75" customHeight="1">
      <c r="B373" s="2" t="s">
        <v>1134</v>
      </c>
      <c r="C373" s="2" t="s">
        <v>1135</v>
      </c>
      <c r="D373" s="2" t="s">
        <v>682</v>
      </c>
      <c r="E373" s="2" t="s">
        <v>14</v>
      </c>
      <c r="F373" s="2" t="s">
        <v>15</v>
      </c>
      <c r="G373" s="2" t="s">
        <v>1136</v>
      </c>
      <c r="H373" s="2" t="s">
        <v>1130</v>
      </c>
      <c r="I373" s="2" t="str">
        <f>IFERROR(__xludf.DUMMYFUNCTION("GOOGLETRANSLATE(C373,""fr"",""en"")"),"Maaf client for more than 10 years and beneficiary of the life bonus and the maximum winning price on 3 vehicles for many years, I see myself today ""taxed"" arbitrarily by the maaf of a franchise increase because I I had my second responsible accident (w"&amp;"ithout third party concerned therefore without spending partly opposing) this year 2017, the previous one dating from 2014 and both in maneuvers with my 7.50m long campsite.
I protested considering that this is a disguised penalty, but Maaf seems to pers"&amp;"ist (which tries to prove its little objectivity and analysis) so I seriously study the termination of all my contracts.")</f>
        <v>Maaf client for more than 10 years and beneficiary of the life bonus and the maximum winning price on 3 vehicles for many years, I see myself today "taxed" arbitrarily by the maaf of a franchise increase because I I had my second responsible accident (without third party concerned therefore without spending partly opposing) this year 2017, the previous one dating from 2014 and both in maneuvers with my 7.50m long campsite.
I protested considering that this is a disguised penalty, but Maaf seems to persist (which tries to prove its little objectivity and analysis) so I seriously study the termination of all my contracts.</v>
      </c>
    </row>
    <row r="374" ht="15.75" customHeight="1">
      <c r="B374" s="2" t="s">
        <v>1137</v>
      </c>
      <c r="C374" s="2" t="s">
        <v>1138</v>
      </c>
      <c r="D374" s="2" t="s">
        <v>682</v>
      </c>
      <c r="E374" s="2" t="s">
        <v>14</v>
      </c>
      <c r="F374" s="2" t="s">
        <v>15</v>
      </c>
      <c r="G374" s="2" t="s">
        <v>1139</v>
      </c>
      <c r="H374" s="2" t="s">
        <v>1140</v>
      </c>
      <c r="I374" s="2" t="str">
        <f>IFERROR(__xludf.DUMMYFUNCTION("GOOGLETRANSLATE(C374,""fr"",""en"")"),"We have 8 MAAF contracts, plus 3 multi-risk with my mother-in-law, my wife, making a background in rear march struck my car = a crumpled wing. (This went to our home) in the minutes that Follow I post the photos to my friends on fb.Donc The car has not mo"&amp;"ved. The Expert de la Maaf decides that it is not possible, so .... it is for your dear societaire. Expert at the insurer's boot. In summary I am a fraudster, I make a false declaration ect ... Faced with this incompetent expert I will have a counter expe"&amp;"rtise carried out next week with reconstruction of the vehicles in place (we have 4 cars) the expert had even lost my wife's file swearing to us that he had not assembled the vehicle, the garage had to refresh his memory to this MR, he found the file and "&amp;"a Classified without follow -up. Tow how the expert of the maaf works. In any case I think very seriously to terminate the 11 contracts, and to Go see elsewhere.No Mr Maaf I am honest, on the head of my 3 children and my 5 grandchildren, I did not arrive "&amp;"at 67 to make a false statement!")</f>
        <v>We have 8 MAAF contracts, plus 3 multi-risk with my mother-in-law, my wife, making a background in rear march struck my car = a crumpled wing. (This went to our home) in the minutes that Follow I post the photos to my friends on fb.Donc The car has not moved. The Expert de la Maaf decides that it is not possible, so .... it is for your dear societaire. Expert at the insurer's boot. In summary I am a fraudster, I make a false declaration ect ... Faced with this incompetent expert I will have a counter expertise carried out next week with reconstruction of the vehicles in place (we have 4 cars) the expert had even lost my wife's file swearing to us that he had not assembled the vehicle, the garage had to refresh his memory to this MR, he found the file and a Classified without follow -up. Tow how the expert of the maaf works. In any case I think very seriously to terminate the 11 contracts, and to Go see elsewhere.No Mr Maaf I am honest, on the head of my 3 children and my 5 grandchildren, I did not arrive at 67 to make a false statement!</v>
      </c>
    </row>
    <row r="375" ht="15.75" customHeight="1">
      <c r="B375" s="2" t="s">
        <v>1141</v>
      </c>
      <c r="C375" s="2" t="s">
        <v>1142</v>
      </c>
      <c r="D375" s="2" t="s">
        <v>682</v>
      </c>
      <c r="E375" s="2" t="s">
        <v>14</v>
      </c>
      <c r="F375" s="2" t="s">
        <v>15</v>
      </c>
      <c r="G375" s="2" t="s">
        <v>1143</v>
      </c>
      <c r="H375" s="2" t="s">
        <v>1140</v>
      </c>
      <c r="I375" s="2" t="str">
        <f>IFERROR(__xludf.DUMMYFUNCTION("GOOGLETRANSLATE(C375,""fr"",""en"")"),"Incompetent insurance which makes a contract subscribe by phone and which terminates you after an agency appointment !!!")</f>
        <v>Incompetent insurance which makes a contract subscribe by phone and which terminates you after an agency appointment !!!</v>
      </c>
    </row>
    <row r="376" ht="15.75" customHeight="1">
      <c r="B376" s="2" t="s">
        <v>1144</v>
      </c>
      <c r="C376" s="2" t="s">
        <v>1145</v>
      </c>
      <c r="D376" s="2" t="s">
        <v>682</v>
      </c>
      <c r="E376" s="2" t="s">
        <v>14</v>
      </c>
      <c r="F376" s="2" t="s">
        <v>15</v>
      </c>
      <c r="G376" s="2" t="s">
        <v>1146</v>
      </c>
      <c r="H376" s="2" t="s">
        <v>1140</v>
      </c>
      <c r="I376" s="2" t="str">
        <f>IFERROR(__xludf.DUMMYFUNCTION("GOOGLETRANSLATE(C376,""fr"",""en"")"),"Know that a young driver must be ""presented"" by a family member insured at the MAAF to obtain a quote. How does a young person who does not have a dad and mom behind. Inadmissible of the share of mutualist insurance. Close to the refusal of sale.")</f>
        <v>Know that a young driver must be "presented" by a family member insured at the MAAF to obtain a quote. How does a young person who does not have a dad and mom behind. Inadmissible of the share of mutualist insurance. Close to the refusal of sale.</v>
      </c>
    </row>
    <row r="377" ht="15.75" customHeight="1">
      <c r="B377" s="2" t="s">
        <v>1147</v>
      </c>
      <c r="C377" s="2" t="s">
        <v>1148</v>
      </c>
      <c r="D377" s="2" t="s">
        <v>682</v>
      </c>
      <c r="E377" s="2" t="s">
        <v>14</v>
      </c>
      <c r="F377" s="2" t="s">
        <v>15</v>
      </c>
      <c r="G377" s="2" t="s">
        <v>1146</v>
      </c>
      <c r="H377" s="2" t="s">
        <v>1140</v>
      </c>
      <c r="I377" s="2" t="str">
        <f>IFERROR(__xludf.DUMMYFUNCTION("GOOGLETRANSLATE(C377,""fr"",""en"")"),"10 years of seniority at the MAAF, more than 1,600 euros in various insurance premiums including 2 cars: for one, 1 ice broken in 2017 and another in 2016, for the other 1 ice breaker in 2016 And an act of vandalism in 2015 with identified third party and"&amp;" legal proceedings in progress ... Not a responsibility in all of this and yet we have just warned me that I was going to be terminated for too many claims while I benefit from a bonus Of more than 50%, one of the 2 cars of which was going to have the lif"&amp;"e bonus on January 1, 2018 (this may explain it).
What a surprise! What a feeling of betrayal!
I am going to ""move"" all my contracts to another insurer/mutual confidence.")</f>
        <v>10 years of seniority at the MAAF, more than 1,600 euros in various insurance premiums including 2 cars: for one, 1 ice broken in 2017 and another in 2016, for the other 1 ice breaker in 2016 And an act of vandalism in 2015 with identified third party and legal proceedings in progress ... Not a responsibility in all of this and yet we have just warned me that I was going to be terminated for too many claims while I benefit from a bonus Of more than 50%, one of the 2 cars of which was going to have the life bonus on January 1, 2018 (this may explain it).
What a surprise! What a feeling of betrayal!
I am going to "move" all my contracts to another insurer/mutual confidence.</v>
      </c>
    </row>
    <row r="378" ht="15.75" customHeight="1">
      <c r="B378" s="2" t="s">
        <v>1149</v>
      </c>
      <c r="C378" s="2" t="s">
        <v>1150</v>
      </c>
      <c r="D378" s="2" t="s">
        <v>682</v>
      </c>
      <c r="E378" s="2" t="s">
        <v>14</v>
      </c>
      <c r="F378" s="2" t="s">
        <v>15</v>
      </c>
      <c r="G378" s="2" t="s">
        <v>1151</v>
      </c>
      <c r="H378" s="2" t="s">
        <v>1140</v>
      </c>
      <c r="I378" s="2" t="str">
        <f>IFERROR(__xludf.DUMMYFUNCTION("GOOGLETRANSLATE(C378,""fr"",""en"")"),"Insurance which respects its customers and which keeps its commitments, I regret having left for my car insurance but being young driver the price was too high")</f>
        <v>Insurance which respects its customers and which keeps its commitments, I regret having left for my car insurance but being young driver the price was too high</v>
      </c>
    </row>
    <row r="379" ht="15.75" customHeight="1">
      <c r="B379" s="2" t="s">
        <v>1152</v>
      </c>
      <c r="C379" s="2" t="s">
        <v>1153</v>
      </c>
      <c r="D379" s="2" t="s">
        <v>682</v>
      </c>
      <c r="E379" s="2" t="s">
        <v>14</v>
      </c>
      <c r="F379" s="2" t="s">
        <v>15</v>
      </c>
      <c r="G379" s="2" t="s">
        <v>1154</v>
      </c>
      <c r="H379" s="2" t="s">
        <v>633</v>
      </c>
      <c r="I379" s="2" t="str">
        <f>IFERROR(__xludf.DUMMYFUNCTION("GOOGLETRANSLATE(C379,""fr"",""en"")"),"When everything is fine. The day you need him (non -responsible sinister) he shows his true face: odious or even cynical customer service that makes you feel that you are a ""ball"". We only ask for his due or some clarifications on his sinister file (aft"&amp;"er several unanswered emails) we find ourselves being reprimanded. No dialogue possible: they are right (""the expert never makes an error"" I was told !!! amazing) you are wrong. There is nothing more to wait
You hang up completely dazed with in additio"&amp;"n the unpleasant feeling of being ""the service pitch"" ....
RUN AWAY !!!")</f>
        <v>When everything is fine. The day you need him (non -responsible sinister) he shows his true face: odious or even cynical customer service that makes you feel that you are a "ball". We only ask for his due or some clarifications on his sinister file (after several unanswered emails) we find ourselves being reprimanded. No dialogue possible: they are right ("the expert never makes an error" I was told !!! amazing) you are wrong. There is nothing more to wait
You hang up completely dazed with in addition the unpleasant feeling of being "the service pitch" ....
RUN AWAY !!!</v>
      </c>
    </row>
    <row r="380" ht="15.75" customHeight="1">
      <c r="B380" s="2" t="s">
        <v>1155</v>
      </c>
      <c r="C380" s="2" t="s">
        <v>1156</v>
      </c>
      <c r="D380" s="2" t="s">
        <v>682</v>
      </c>
      <c r="E380" s="2" t="s">
        <v>14</v>
      </c>
      <c r="F380" s="2" t="s">
        <v>15</v>
      </c>
      <c r="G380" s="2" t="s">
        <v>1157</v>
      </c>
      <c r="H380" s="2" t="s">
        <v>633</v>
      </c>
      <c r="I380" s="2" t="str">
        <f>IFERROR(__xludf.DUMMYFUNCTION("GOOGLETRANSLATE(C380,""fr"",""en"")"),"I fully agree, the maaf is no longer a mutual but insurance. It takes you hostage with the franchise, either you accept the increase, or, the contract is automatically terminated on the due date. I have been insured for 35 years, unfortunately I had 3 cla"&amp;"ims over 3 years including 2 non -responsible, he doubled the franchise which goes from 200 to 400 €. There are no more customer relationships. We are a contract number with statistics. There is no longer any use to remain faithful to some organizations. "&amp;"It's too bad
Christine")</f>
        <v>I fully agree, the maaf is no longer a mutual but insurance. It takes you hostage with the franchise, either you accept the increase, or, the contract is automatically terminated on the due date. I have been insured for 35 years, unfortunately I had 3 claims over 3 years including 2 non -responsible, he doubled the franchise which goes from 200 to 400 €. There are no more customer relationships. We are a contract number with statistics. There is no longer any use to remain faithful to some organizations. It's too bad
Christine</v>
      </c>
    </row>
    <row r="381" ht="15.75" customHeight="1">
      <c r="B381" s="2" t="s">
        <v>1158</v>
      </c>
      <c r="C381" s="2" t="s">
        <v>1159</v>
      </c>
      <c r="D381" s="2" t="s">
        <v>682</v>
      </c>
      <c r="E381" s="2" t="s">
        <v>14</v>
      </c>
      <c r="F381" s="2" t="s">
        <v>15</v>
      </c>
      <c r="G381" s="2" t="s">
        <v>638</v>
      </c>
      <c r="H381" s="2" t="s">
        <v>633</v>
      </c>
      <c r="I381" s="2" t="str">
        <f>IFERROR(__xludf.DUMMYFUNCTION("GOOGLETRANSLATE(C381,""fr"",""en"")"),"I have been with them 4 vehicles for 15 years since I was insured more of my home. I have stole my vehicle in January and since I have been galere to be compensated. He we offer me 1500 € for a vehicle on the side 4600 € as I refused their Aumone he do no"&amp;"t want to reimburse me under the pretext that I cannot provide proof of purchase while the old owner provided me A certificate with the amount paid for the vehicle. I contacted their reclamation service which laughed at me, telling me that I only joined t"&amp;"he mediator, and during this time I continue to pay the insurance of a vehicle that I no longer have (normal).")</f>
        <v>I have been with them 4 vehicles for 15 years since I was insured more of my home. I have stole my vehicle in January and since I have been galere to be compensated. He we offer me 1500 € for a vehicle on the side 4600 € as I refused their Aumone he do not want to reimburse me under the pretext that I cannot provide proof of purchase while the old owner provided me A certificate with the amount paid for the vehicle. I contacted their reclamation service which laughed at me, telling me that I only joined the mediator, and during this time I continue to pay the insurance of a vehicle that I no longer have (normal).</v>
      </c>
    </row>
    <row r="382" ht="15.75" customHeight="1">
      <c r="B382" s="2" t="s">
        <v>1160</v>
      </c>
      <c r="C382" s="2" t="s">
        <v>1161</v>
      </c>
      <c r="D382" s="2" t="s">
        <v>682</v>
      </c>
      <c r="E382" s="2" t="s">
        <v>14</v>
      </c>
      <c r="F382" s="2" t="s">
        <v>15</v>
      </c>
      <c r="G382" s="2" t="s">
        <v>1162</v>
      </c>
      <c r="H382" s="2" t="s">
        <v>633</v>
      </c>
      <c r="I382" s="2" t="str">
        <f>IFERROR(__xludf.DUMMYFUNCTION("GOOGLETRANSLATE(C382,""fr"",""en"")"),"Really professional agency of Annemasse to avoid absolutely director and secretary very lamentable not to make a car credit with them !!!!")</f>
        <v>Really professional agency of Annemasse to avoid absolutely director and secretary very lamentable not to make a car credit with them !!!!</v>
      </c>
    </row>
    <row r="383" ht="15.75" customHeight="1">
      <c r="B383" s="2" t="s">
        <v>1163</v>
      </c>
      <c r="C383" s="2" t="s">
        <v>1164</v>
      </c>
      <c r="D383" s="2" t="s">
        <v>682</v>
      </c>
      <c r="E383" s="2" t="s">
        <v>14</v>
      </c>
      <c r="F383" s="2" t="s">
        <v>15</v>
      </c>
      <c r="G383" s="2" t="s">
        <v>1165</v>
      </c>
      <c r="H383" s="2" t="s">
        <v>647</v>
      </c>
      <c r="I383" s="2" t="str">
        <f>IFERROR(__xludf.DUMMYFUNCTION("GOOGLETRANSLATE(C383,""fr"",""en"")"),"Please note, insurer to avoid. Do not be seduced by phony televised promises. I currently live a real nightmare and it's not over. I strongly advise against this insurance which may seem for some as on. A DISASTER. She assures that slab")</f>
        <v>Please note, insurer to avoid. Do not be seduced by phony televised promises. I currently live a real nightmare and it's not over. I strongly advise against this insurance which may seem for some as on. A DISASTER. She assures that slab</v>
      </c>
    </row>
    <row r="384" ht="15.75" customHeight="1">
      <c r="B384" s="2" t="s">
        <v>1166</v>
      </c>
      <c r="C384" s="2" t="s">
        <v>1167</v>
      </c>
      <c r="D384" s="2" t="s">
        <v>682</v>
      </c>
      <c r="E384" s="2" t="s">
        <v>14</v>
      </c>
      <c r="F384" s="2" t="s">
        <v>15</v>
      </c>
      <c r="G384" s="2" t="s">
        <v>1168</v>
      </c>
      <c r="H384" s="2" t="s">
        <v>647</v>
      </c>
      <c r="I384" s="2" t="str">
        <f>IFERROR(__xludf.DUMMYFUNCTION("GOOGLETRANSLATE(C384,""fr"",""en"")"),"Ah ah ah, if you are not a customer with them, they do not wish to provide young drivers. Bravo, beautiful insurance !!!!!!! for me an assurance to put in the basket, young insurer will become old, I hope that in a few years they will bite their fingers !"&amp;"!")</f>
        <v>Ah ah ah, if you are not a customer with them, they do not wish to provide young drivers. Bravo, beautiful insurance !!!!!!! for me an assurance to put in the basket, young insurer will become old, I hope that in a few years they will bite their fingers !!</v>
      </c>
    </row>
    <row r="385" ht="15.75" customHeight="1">
      <c r="B385" s="2" t="s">
        <v>1169</v>
      </c>
      <c r="C385" s="2" t="s">
        <v>1170</v>
      </c>
      <c r="D385" s="2" t="s">
        <v>682</v>
      </c>
      <c r="E385" s="2" t="s">
        <v>14</v>
      </c>
      <c r="F385" s="2" t="s">
        <v>15</v>
      </c>
      <c r="G385" s="2" t="s">
        <v>1171</v>
      </c>
      <c r="H385" s="2" t="s">
        <v>651</v>
      </c>
      <c r="I385" s="2" t="str">
        <f>IFERROR(__xludf.DUMMYFUNCTION("GOOGLETRANSLATE(C385,""fr"",""en"")"),"After 10 years without disaster or problem, following speeding (134 km/h for 90 authorized), the MAAF unilaterally terminated my automotive contract and my motorcycle contract!
Suddenly, I find myself in the panade to find a new one. Thank you the maaf!")</f>
        <v>After 10 years without disaster or problem, following speeding (134 km/h for 90 authorized), the MAAF unilaterally terminated my automotive contract and my motorcycle contract!
Suddenly, I find myself in the panade to find a new one. Thank you the maaf!</v>
      </c>
    </row>
    <row r="386" ht="15.75" customHeight="1">
      <c r="B386" s="2" t="s">
        <v>1172</v>
      </c>
      <c r="C386" s="2" t="s">
        <v>1173</v>
      </c>
      <c r="D386" s="2" t="s">
        <v>682</v>
      </c>
      <c r="E386" s="2" t="s">
        <v>14</v>
      </c>
      <c r="F386" s="2" t="s">
        <v>15</v>
      </c>
      <c r="G386" s="2" t="s">
        <v>1174</v>
      </c>
      <c r="H386" s="2" t="s">
        <v>313</v>
      </c>
      <c r="I386" s="2" t="str">
        <f>IFERROR(__xludf.DUMMYFUNCTION("GOOGLETRANSLATE(C386,""fr"",""en"")"),"17 % increase in January 2017 and this is ""normal""")</f>
        <v>17 % increase in January 2017 and this is "normal"</v>
      </c>
    </row>
    <row r="387" ht="15.75" customHeight="1">
      <c r="B387" s="2" t="s">
        <v>1175</v>
      </c>
      <c r="C387" s="2" t="s">
        <v>1176</v>
      </c>
      <c r="D387" s="2" t="s">
        <v>682</v>
      </c>
      <c r="E387" s="2" t="s">
        <v>14</v>
      </c>
      <c r="F387" s="2" t="s">
        <v>15</v>
      </c>
      <c r="G387" s="2" t="s">
        <v>1177</v>
      </c>
      <c r="H387" s="2" t="s">
        <v>313</v>
      </c>
      <c r="I387" s="2" t="str">
        <f>IFERROR(__xludf.DUMMYFUNCTION("GOOGLETRANSLATE(C387,""fr"",""en"")"),"NUM. MAAF claim file: B1709424
Detailed following the disaster which I have no liability committed: broken left rear lights, folded rear bumper, pierced and striped, chest does not want to close properly.
Expertise by photo remotely by expert from the M"&amp;"AAF (SOCIETE ATHEXIS in Angers located on Patton Avenue).
Dechus noted by the expert: broken left rear light (to be changed). Disfunction of the trunk will be due to wear for a vehicle totaling 157,000kms. The worst is to come, for the rear bumper, it sp"&amp;"ecifies that the damage is unrelated to the disaster.
Following this I contact Maaf who advocates me to make a counter expertise at my expense, not reimbursed even if my expert proves me right and convicted the expert of the Maaf. This is not enough, bec"&amp;"ause if the two experts do not agree, Maaf will hire a third expert that I will have to pay up to 50%.
I was at Direct Insurance before, I believe that I will go back. They had reimbursed me my counter-expertise at the time ...
Too bad, I had repatriate"&amp;"d my two auto contracts, my home insurance and my son's school insurance at Maaf.
Left like that, I will have to terminate everything ....
Really disappointed with Maaf ...
It has money to make ads to end up on TV, but when it is necessary to compensat"&amp;"e the victims, the wallet, we see it more ....
")</f>
        <v>NUM. MAAF claim file: B1709424
Detailed following the disaster which I have no liability committed: broken left rear lights, folded rear bumper, pierced and striped, chest does not want to close properly.
Expertise by photo remotely by expert from the MAAF (SOCIETE ATHEXIS in Angers located on Patton Avenue).
Dechus noted by the expert: broken left rear light (to be changed). Disfunction of the trunk will be due to wear for a vehicle totaling 157,000kms. The worst is to come, for the rear bumper, it specifies that the damage is unrelated to the disaster.
Following this I contact Maaf who advocates me to make a counter expertise at my expense, not reimbursed even if my expert proves me right and convicted the expert of the Maaf. This is not enough, because if the two experts do not agree, Maaf will hire a third expert that I will have to pay up to 50%.
I was at Direct Insurance before, I believe that I will go back. They had reimbursed me my counter-expertise at the time ...
Too bad, I had repatriated my two auto contracts, my home insurance and my son's school insurance at Maaf.
Left like that, I will have to terminate everything ....
Really disappointed with Maaf ...
It has money to make ads to end up on TV, but when it is necessary to compensate the victims, the wallet, we see it more ....
</v>
      </c>
    </row>
    <row r="388" ht="15.75" customHeight="1">
      <c r="B388" s="2" t="s">
        <v>1178</v>
      </c>
      <c r="C388" s="2" t="s">
        <v>1179</v>
      </c>
      <c r="D388" s="2" t="s">
        <v>682</v>
      </c>
      <c r="E388" s="2" t="s">
        <v>14</v>
      </c>
      <c r="F388" s="2" t="s">
        <v>15</v>
      </c>
      <c r="G388" s="2" t="s">
        <v>313</v>
      </c>
      <c r="H388" s="2" t="s">
        <v>313</v>
      </c>
      <c r="I388" s="2" t="str">
        <f>IFERROR(__xludf.DUMMYFUNCTION("GOOGLETRANSLATE(C388,""fr"",""en"")"),"Maaf Assurance does not respect its commitments
Do not leave you the choice of your expert or your convenience store even less of the garage before making the repairs")</f>
        <v>Maaf Assurance does not respect its commitments
Do not leave you the choice of your expert or your convenience store even less of the garage before making the repairs</v>
      </c>
    </row>
    <row r="389" ht="15.75" customHeight="1">
      <c r="B389" s="2" t="s">
        <v>1180</v>
      </c>
      <c r="C389" s="2" t="s">
        <v>1181</v>
      </c>
      <c r="D389" s="2" t="s">
        <v>682</v>
      </c>
      <c r="E389" s="2" t="s">
        <v>14</v>
      </c>
      <c r="F389" s="2" t="s">
        <v>15</v>
      </c>
      <c r="G389" s="2" t="s">
        <v>1182</v>
      </c>
      <c r="H389" s="2" t="s">
        <v>317</v>
      </c>
      <c r="I389" s="2" t="str">
        <f>IFERROR(__xludf.DUMMYFUNCTION("GOOGLETRANSLATE(C389,""fr"",""en"")"),"At the opening of your contracts we take place the red carpet, then for information you struggle and there I made a poc on a bumper and I am terminated after 5 years with them !! And then you have to see with what kindness I kindly invited me to change in"&amp;"surance for the end of the year. What do we pay for ???? I really do not recommend this insurance, liars imbued with their person and ""ghost"" !!!")</f>
        <v>At the opening of your contracts we take place the red carpet, then for information you struggle and there I made a poc on a bumper and I am terminated after 5 years with them !! And then you have to see with what kindness I kindly invited me to change insurance for the end of the year. What do we pay for ???? I really do not recommend this insurance, liars imbued with their person and "ghost" !!!</v>
      </c>
    </row>
    <row r="390" ht="15.75" customHeight="1">
      <c r="B390" s="2" t="s">
        <v>1183</v>
      </c>
      <c r="C390" s="2" t="s">
        <v>1184</v>
      </c>
      <c r="D390" s="2" t="s">
        <v>682</v>
      </c>
      <c r="E390" s="2" t="s">
        <v>14</v>
      </c>
      <c r="F390" s="2" t="s">
        <v>15</v>
      </c>
      <c r="G390" s="2" t="s">
        <v>1185</v>
      </c>
      <c r="H390" s="2" t="s">
        <v>317</v>
      </c>
      <c r="I390" s="2" t="str">
        <f>IFERROR(__xludf.DUMMYFUNCTION("GOOGLETRANSLATE(C390,""fr"",""en"")"),"Customer at home since I have a license (2006), I have been terminated without any responsible accident. To really avoid, insurance far from being cheap, it has no more guarantee than another insurance. Telephone interviews are far from cordial and pleasa"&amp;"nt (unpleasant limit)")</f>
        <v>Customer at home since I have a license (2006), I have been terminated without any responsible accident. To really avoid, insurance far from being cheap, it has no more guarantee than another insurance. Telephone interviews are far from cordial and pleasant (unpleasant limit)</v>
      </c>
    </row>
    <row r="391" ht="15.75" customHeight="1">
      <c r="B391" s="2" t="s">
        <v>1186</v>
      </c>
      <c r="C391" s="2" t="s">
        <v>1187</v>
      </c>
      <c r="D391" s="2" t="s">
        <v>682</v>
      </c>
      <c r="E391" s="2" t="s">
        <v>14</v>
      </c>
      <c r="F391" s="2" t="s">
        <v>15</v>
      </c>
      <c r="G391" s="2" t="s">
        <v>1188</v>
      </c>
      <c r="H391" s="2" t="s">
        <v>317</v>
      </c>
      <c r="I391" s="2" t="str">
        <f>IFERROR(__xludf.DUMMYFUNCTION("GOOGLETRANSLATE(C391,""fr"",""en"")"),"I am disappointed, I thought you were more attentive to your customers.")</f>
        <v>I am disappointed, I thought you were more attentive to your customers.</v>
      </c>
    </row>
    <row r="392" ht="15.75" customHeight="1">
      <c r="B392" s="2" t="s">
        <v>1189</v>
      </c>
      <c r="C392" s="2" t="s">
        <v>1190</v>
      </c>
      <c r="D392" s="2" t="s">
        <v>682</v>
      </c>
      <c r="E392" s="2" t="s">
        <v>14</v>
      </c>
      <c r="F392" s="2" t="s">
        <v>15</v>
      </c>
      <c r="G392" s="2" t="s">
        <v>1191</v>
      </c>
      <c r="H392" s="2" t="s">
        <v>1192</v>
      </c>
      <c r="I392" s="2" t="str">
        <f>IFERROR(__xludf.DUMMYFUNCTION("GOOGLETRANSLATE(C392,""fr"",""en"")"),"My mother kisses my vehicle by parking next to my vehicle and before my eyes! We make a statement. She is compensated without problem by her insurer (Pacifica) while the Maaf refuses me the reimbursement pretending to be false declaration according to her"&amp;" expert 'I will have done this alone with an object or the Maaf claim even evokes that My co -driver concubine could have hung without telling me with a fixed object on the road !! I call on an independent expert and who dossier attests attests that a han"&amp;"ging took place by maneuvering, white vehicle, accrediting my declaration. Result the MAAF does not want to hear anything the expert paid by the MAAF refuses everything contacts with the independent expert no conciliation no discussion nothing. Scandalous"&amp;". Yet provided for 10 years at the MAAF. Since then I went to Maif and it's day and night!")</f>
        <v>My mother kisses my vehicle by parking next to my vehicle and before my eyes! We make a statement. She is compensated without problem by her insurer (Pacifica) while the Maaf refuses me the reimbursement pretending to be false declaration according to her expert 'I will have done this alone with an object or the Maaf claim even evokes that My co -driver concubine could have hung without telling me with a fixed object on the road !! I call on an independent expert and who dossier attests attests that a hanging took place by maneuvering, white vehicle, accrediting my declaration. Result the MAAF does not want to hear anything the expert paid by the MAAF refuses everything contacts with the independent expert no conciliation no discussion nothing. Scandalous. Yet provided for 10 years at the MAAF. Since then I went to Maif and it's day and night!</v>
      </c>
    </row>
    <row r="393" ht="15.75" customHeight="1">
      <c r="B393" s="2" t="s">
        <v>784</v>
      </c>
      <c r="C393" s="2" t="s">
        <v>1193</v>
      </c>
      <c r="D393" s="2" t="s">
        <v>682</v>
      </c>
      <c r="E393" s="2" t="s">
        <v>14</v>
      </c>
      <c r="F393" s="2" t="s">
        <v>15</v>
      </c>
      <c r="G393" s="2" t="s">
        <v>1194</v>
      </c>
      <c r="H393" s="2" t="s">
        <v>1192</v>
      </c>
      <c r="I393" s="2" t="str">
        <f>IFERROR(__xludf.DUMMYFUNCTION("GOOGLETRANSLATE(C393,""fr"",""en"")"),"I am about to leave Maaf, because Assurland offers a lower price in this insurance, and € 200 less at MMA. I have been 50% for over 15 years!
The complaint is taken lightly, even by contempt.")</f>
        <v>I am about to leave Maaf, because Assurland offers a lower price in this insurance, and € 200 less at MMA. I have been 50% for over 15 years!
The complaint is taken lightly, even by contempt.</v>
      </c>
    </row>
    <row r="394" ht="15.75" customHeight="1">
      <c r="B394" s="2" t="s">
        <v>1195</v>
      </c>
      <c r="C394" s="2" t="s">
        <v>1196</v>
      </c>
      <c r="D394" s="2" t="s">
        <v>682</v>
      </c>
      <c r="E394" s="2" t="s">
        <v>14</v>
      </c>
      <c r="F394" s="2" t="s">
        <v>15</v>
      </c>
      <c r="G394" s="2" t="s">
        <v>1197</v>
      </c>
      <c r="H394" s="2" t="s">
        <v>1192</v>
      </c>
      <c r="I394" s="2" t="str">
        <f>IFERROR(__xludf.DUMMYFUNCTION("GOOGLETRANSLATE(C394,""fr"",""en"")"),"Prices increase without reasons, I am disappointed I will change
It is totally abnormal that my contributions is increased by 10% while I am at the bonus 50% auto motorcycle without sinister")</f>
        <v>Prices increase without reasons, I am disappointed I will change
It is totally abnormal that my contributions is increased by 10% while I am at the bonus 50% auto motorcycle without sinister</v>
      </c>
    </row>
    <row r="395" ht="15.75" customHeight="1">
      <c r="B395" s="2" t="s">
        <v>1198</v>
      </c>
      <c r="C395" s="2" t="s">
        <v>1199</v>
      </c>
      <c r="D395" s="2" t="s">
        <v>1200</v>
      </c>
      <c r="E395" s="2" t="s">
        <v>14</v>
      </c>
      <c r="F395" s="2" t="s">
        <v>15</v>
      </c>
      <c r="G395" s="2" t="s">
        <v>1201</v>
      </c>
      <c r="H395" s="2" t="s">
        <v>1202</v>
      </c>
      <c r="I395" s="2" t="str">
        <f>IFERROR(__xludf.DUMMYFUNCTION("GOOGLETRANSLATE(C395,""fr"",""en"")"),"The maif turns you after twenty years without arguments overnight. (degradation of customer relations) Beautiful excuse on their part !!!
Flee this insurance and go elsewhere")</f>
        <v>The maif turns you after twenty years without arguments overnight. (degradation of customer relations) Beautiful excuse on their part !!!
Flee this insurance and go elsewhere</v>
      </c>
    </row>
    <row r="396" ht="15.75" customHeight="1">
      <c r="B396" s="2" t="s">
        <v>1203</v>
      </c>
      <c r="C396" s="2" t="s">
        <v>1204</v>
      </c>
      <c r="D396" s="2" t="s">
        <v>1200</v>
      </c>
      <c r="E396" s="2" t="s">
        <v>14</v>
      </c>
      <c r="F396" s="2" t="s">
        <v>15</v>
      </c>
      <c r="G396" s="2" t="s">
        <v>1201</v>
      </c>
      <c r="H396" s="2" t="s">
        <v>1202</v>
      </c>
      <c r="I396" s="2" t="str">
        <f>IFERROR(__xludf.DUMMYFUNCTION("GOOGLETRANSLATE(C396,""fr"",""en"")"),"Insured for 11 years at home I have just received a letter of termination of all my contracts due to the alteration of commercial relationship no concern this year with them the only contact that I had it is that I have moved and in addition I pay more de"&amp;"ar in short .... lamentable
At the exit I pay much cheaper elsewhere it does me do me finally service
")</f>
        <v>Insured for 11 years at home I have just received a letter of termination of all my contracts due to the alteration of commercial relationship no concern this year with them the only contact that I had it is that I have moved and in addition I pay more dear in short .... lamentable
At the exit I pay much cheaper elsewhere it does me do me finally service
</v>
      </c>
    </row>
    <row r="397" ht="15.75" customHeight="1">
      <c r="B397" s="2" t="s">
        <v>1205</v>
      </c>
      <c r="C397" s="2" t="s">
        <v>1206</v>
      </c>
      <c r="D397" s="2" t="s">
        <v>1200</v>
      </c>
      <c r="E397" s="2" t="s">
        <v>14</v>
      </c>
      <c r="F397" s="2" t="s">
        <v>15</v>
      </c>
      <c r="G397" s="2" t="s">
        <v>1207</v>
      </c>
      <c r="H397" s="2" t="s">
        <v>325</v>
      </c>
      <c r="I397" s="2" t="str">
        <f>IFERROR(__xludf.DUMMYFUNCTION("GOOGLETRANSLATE(C397,""fr"",""en"")"),"Fortunately, I only had to use Maif twice, but each time they have been incredibly reactive. This time they sent me a tow truck in record time and they found me a rental car in less than five minutes (by apologizing for making me wait!). It is obvious tha"&amp;"t we are more likely to leave comments online when you are unhappy, but in this case it is so positive that I have to share. Even the garage employee told me that among all the insurances he works with, MAIF is the most effective.
So don't listen to the "&amp;"negative ...")</f>
        <v>Fortunately, I only had to use Maif twice, but each time they have been incredibly reactive. This time they sent me a tow truck in record time and they found me a rental car in less than five minutes (by apologizing for making me wait!). It is obvious that we are more likely to leave comments online when you are unhappy, but in this case it is so positive that I have to share. Even the garage employee told me that among all the insurances he works with, MAIF is the most effective.
So don't listen to the negative ...</v>
      </c>
    </row>
    <row r="398" ht="15.75" customHeight="1">
      <c r="B398" s="2" t="s">
        <v>1208</v>
      </c>
      <c r="C398" s="2" t="s">
        <v>1209</v>
      </c>
      <c r="D398" s="2" t="s">
        <v>1200</v>
      </c>
      <c r="E398" s="2" t="s">
        <v>14</v>
      </c>
      <c r="F398" s="2" t="s">
        <v>15</v>
      </c>
      <c r="G398" s="2" t="s">
        <v>1210</v>
      </c>
      <c r="H398" s="2" t="s">
        <v>329</v>
      </c>
      <c r="I398" s="2" t="str">
        <f>IFERROR(__xludf.DUMMYFUNCTION("GOOGLETRANSLATE(C398,""fr"",""en"")"),"Insured at MAIF for more than 30 years, with contributions greater than € 3000/year, a claim was not supported on the pretext that it was predictable.
In no case were my arguments taken into account.
The various insurances (auto, housing, etc.) are expe"&amp;"nsive, and the conciliation policy, which existed at the start of insurance, is well buried.
To flee.....")</f>
        <v>Insured at MAIF for more than 30 years, with contributions greater than € 3000/year, a claim was not supported on the pretext that it was predictable.
In no case were my arguments taken into account.
The various insurances (auto, housing, etc.) are expensive, and the conciliation policy, which existed at the start of insurance, is well buried.
To flee.....</v>
      </c>
    </row>
    <row r="399" ht="15.75" customHeight="1">
      <c r="B399" s="2" t="s">
        <v>1211</v>
      </c>
      <c r="C399" s="2" t="s">
        <v>1212</v>
      </c>
      <c r="D399" s="2" t="s">
        <v>1200</v>
      </c>
      <c r="E399" s="2" t="s">
        <v>14</v>
      </c>
      <c r="F399" s="2" t="s">
        <v>15</v>
      </c>
      <c r="G399" s="2" t="s">
        <v>1213</v>
      </c>
      <c r="H399" s="2" t="s">
        <v>329</v>
      </c>
      <c r="I399" s="2" t="str">
        <f>IFERROR(__xludf.DUMMYFUNCTION("GOOGLETRANSLATE(C399,""fr"",""en"")"),"I don't know if we can talk about insurance as such.
My mother has been insured for 31 years and has been up to date with her contributions
She has just had a non -responsible accident, no assistance and proposal to buy back her vehicle has a ridiculous"&amp;" price worthy of a carpet merchant!
Unworthy of an insurer to abuse the advanced age of people ...
Go there to pay your contributions but do not rely on insurance to compensate you not responsible damage caused by an identified third party!
I dare not "&amp;"imagine if we are responsible ...
I was insured at Axa and Allianz and even brokers (with 4 non -responsible damages) their quality was suddenly admirable in relation to what my mother lives because of Maif.
")</f>
        <v>I don't know if we can talk about insurance as such.
My mother has been insured for 31 years and has been up to date with her contributions
She has just had a non -responsible accident, no assistance and proposal to buy back her vehicle has a ridiculous price worthy of a carpet merchant!
Unworthy of an insurer to abuse the advanced age of people ...
Go there to pay your contributions but do not rely on insurance to compensate you not responsible damage caused by an identified third party!
I dare not imagine if we are responsible ...
I was insured at Axa and Allianz and even brokers (with 4 non -responsible damages) their quality was suddenly admirable in relation to what my mother lives because of Maif.
</v>
      </c>
    </row>
    <row r="400" ht="15.75" customHeight="1">
      <c r="B400" s="2" t="s">
        <v>1214</v>
      </c>
      <c r="C400" s="2" t="s">
        <v>1215</v>
      </c>
      <c r="D400" s="2" t="s">
        <v>1200</v>
      </c>
      <c r="E400" s="2" t="s">
        <v>14</v>
      </c>
      <c r="F400" s="2" t="s">
        <v>15</v>
      </c>
      <c r="G400" s="2" t="s">
        <v>1216</v>
      </c>
      <c r="H400" s="2" t="s">
        <v>329</v>
      </c>
      <c r="I400" s="2" t="str">
        <f>IFERROR(__xludf.DUMMYFUNCTION("GOOGLETRANSLATE(C400,""fr"",""en"")"),"Insured at Maif Auto. My vehicle was affected in my own car park in February 2020. The shock was so powerful that it fell and hit the wall driving the trunk, in addition to the front (hood/engine ...); In front of the damage, the convenience store asked m"&amp;"e if the accident was due to a pileup! Arrived at Citroën at the end of the afternoon the bodied chief asked me the same question.
I called the MAIF and really the management of this file was remarkable: each decision -making hesitation to know if I acce"&amp;"pted the repairs or the proposal to buy the vehicle, etc., all the interlocutors that I had been At the cleat, present, reassuring, pleasant and patient, it was the same with the expert and the chief coachbuilder. Of course this type of claim, and under t"&amp;"he conditions of confinement all the same, have not settled in one day, this generates a certain number of documents, telephone calls, etc. My statement was made February 4 and my account was credited in early April 2020! As far as I'm concerned, and I in"&amp;"sist on the ""concerns me"", everything has been perfect. I bought a car in June 2021 with the insurer of the maize.")</f>
        <v>Insured at Maif Auto. My vehicle was affected in my own car park in February 2020. The shock was so powerful that it fell and hit the wall driving the trunk, in addition to the front (hood/engine ...); In front of the damage, the convenience store asked me if the accident was due to a pileup! Arrived at Citroën at the end of the afternoon the bodied chief asked me the same question.
I called the MAIF and really the management of this file was remarkable: each decision -making hesitation to know if I accepted the repairs or the proposal to buy the vehicle, etc., all the interlocutors that I had been At the cleat, present, reassuring, pleasant and patient, it was the same with the expert and the chief coachbuilder. Of course this type of claim, and under the conditions of confinement all the same, have not settled in one day, this generates a certain number of documents, telephone calls, etc. My statement was made February 4 and my account was credited in early April 2020! As far as I'm concerned, and I insist on the "concerns me", everything has been perfect. I bought a car in June 2021 with the insurer of the maize.</v>
      </c>
    </row>
    <row r="401" ht="15.75" customHeight="1">
      <c r="B401" s="2" t="s">
        <v>1217</v>
      </c>
      <c r="C401" s="2" t="s">
        <v>1218</v>
      </c>
      <c r="D401" s="2" t="s">
        <v>1200</v>
      </c>
      <c r="E401" s="2" t="s">
        <v>14</v>
      </c>
      <c r="F401" s="2" t="s">
        <v>15</v>
      </c>
      <c r="G401" s="2" t="s">
        <v>1219</v>
      </c>
      <c r="H401" s="2" t="s">
        <v>329</v>
      </c>
      <c r="I401" s="2" t="str">
        <f>IFERROR(__xludf.DUMMYFUNCTION("GOOGLETRANSLATE(C401,""fr"",""en"")"),"I have been in Maif for my car and a time for the motorcycle in addition for years. I happened to have an accident (not my fault) or worries with the windshield. They have always been very responsive, without looking for concern and competent. At the admi"&amp;"nistrative level when you ask for a paper everything is done very quickly too. Bravo to them!")</f>
        <v>I have been in Maif for my car and a time for the motorcycle in addition for years. I happened to have an accident (not my fault) or worries with the windshield. They have always been very responsive, without looking for concern and competent. At the administrative level when you ask for a paper everything is done very quickly too. Bravo to them!</v>
      </c>
    </row>
    <row r="402" ht="15.75" customHeight="1">
      <c r="B402" s="2" t="s">
        <v>1220</v>
      </c>
      <c r="C402" s="2" t="s">
        <v>1221</v>
      </c>
      <c r="D402" s="2" t="s">
        <v>1200</v>
      </c>
      <c r="E402" s="2" t="s">
        <v>14</v>
      </c>
      <c r="F402" s="2" t="s">
        <v>15</v>
      </c>
      <c r="G402" s="2" t="s">
        <v>1222</v>
      </c>
      <c r="H402" s="2" t="s">
        <v>693</v>
      </c>
      <c r="I402" s="2" t="str">
        <f>IFERROR(__xludf.DUMMYFUNCTION("GOOGLETRANSLATE(C402,""fr"",""en"")"),"The former militant insurer has become a money to make money no longer taking into account the interests of his insured. The money and profitability have become the orde words of this mutual. While I have been driving a motor vehicle for 40 years without "&amp;"the slightest responsible accident, it was only 3 claims (vehicle hit in the back parking and a red light, swarm on highway) to trigger the insurer's wrath activist. Pitiful, lamentable and in this time that does not respect anything and anyone.")</f>
        <v>The former militant insurer has become a money to make money no longer taking into account the interests of his insured. The money and profitability have become the orde words of this mutual. While I have been driving a motor vehicle for 40 years without the slightest responsible accident, it was only 3 claims (vehicle hit in the back parking and a red light, swarm on highway) to trigger the insurer's wrath activist. Pitiful, lamentable and in this time that does not respect anything and anyone.</v>
      </c>
    </row>
    <row r="403" ht="15.75" customHeight="1">
      <c r="B403" s="2" t="s">
        <v>1223</v>
      </c>
      <c r="C403" s="2" t="s">
        <v>1224</v>
      </c>
      <c r="D403" s="2" t="s">
        <v>1200</v>
      </c>
      <c r="E403" s="2" t="s">
        <v>14</v>
      </c>
      <c r="F403" s="2" t="s">
        <v>15</v>
      </c>
      <c r="G403" s="2" t="s">
        <v>1225</v>
      </c>
      <c r="H403" s="2" t="s">
        <v>693</v>
      </c>
      <c r="I403" s="2" t="str">
        <f>IFERROR(__xludf.DUMMYFUNCTION("GOOGLETRANSLATE(C403,""fr"",""en"")"),"I only terminated my insurance because client at home for many years, I paid my insurance to the third party more expensive than all risk insurance. Too bad you didn't contacted me to get your price.")</f>
        <v>I only terminated my insurance because client at home for many years, I paid my insurance to the third party more expensive than all risk insurance. Too bad you didn't contacted me to get your price.</v>
      </c>
    </row>
    <row r="404" ht="15.75" customHeight="1">
      <c r="B404" s="2" t="s">
        <v>1226</v>
      </c>
      <c r="C404" s="2" t="s">
        <v>1227</v>
      </c>
      <c r="D404" s="2" t="s">
        <v>1200</v>
      </c>
      <c r="E404" s="2" t="s">
        <v>14</v>
      </c>
      <c r="F404" s="2" t="s">
        <v>15</v>
      </c>
      <c r="G404" s="2" t="s">
        <v>1228</v>
      </c>
      <c r="H404" s="2" t="s">
        <v>333</v>
      </c>
      <c r="I404" s="2" t="str">
        <f>IFERROR(__xludf.DUMMYFUNCTION("GOOGLETRANSLATE(C404,""fr"",""en"")"),"Very disappointed .. indeed by wanting to change automobile, the quote proposed by the MAIF was far too excessive. Therefore, I decide to terminate my contracts to go elsewhere.
I then discovered (in June) that my home insurance (for accommodation that I"&amp;" left in March) had still not been terminated.
I call them (pending 25 minutes on the reception server), I am advised that I would be reimbursing as quickly as possible for home insurance &amp; for car insurance. Patience, patience: I recall on July 16 or I "&amp;"am told that the transfer would be made on August 12.
When it comes to taking us it is very simple, however, when it comes to repaying = no one.
I had to push a rant so that I was reimbursing my 250 € that I expected.")</f>
        <v>Very disappointed .. indeed by wanting to change automobile, the quote proposed by the MAIF was far too excessive. Therefore, I decide to terminate my contracts to go elsewhere.
I then discovered (in June) that my home insurance (for accommodation that I left in March) had still not been terminated.
I call them (pending 25 minutes on the reception server), I am advised that I would be reimbursing as quickly as possible for home insurance &amp; for car insurance. Patience, patience: I recall on July 16 or I am told that the transfer would be made on August 12.
When it comes to taking us it is very simple, however, when it comes to repaying = no one.
I had to push a rant so that I was reimbursing my 250 € that I expected.</v>
      </c>
    </row>
    <row r="405" ht="15.75" customHeight="1">
      <c r="B405" s="2" t="s">
        <v>1229</v>
      </c>
      <c r="C405" s="2" t="s">
        <v>1230</v>
      </c>
      <c r="D405" s="2" t="s">
        <v>1200</v>
      </c>
      <c r="E405" s="2" t="s">
        <v>14</v>
      </c>
      <c r="F405" s="2" t="s">
        <v>15</v>
      </c>
      <c r="G405" s="2" t="s">
        <v>332</v>
      </c>
      <c r="H405" s="2" t="s">
        <v>333</v>
      </c>
      <c r="I405" s="2" t="str">
        <f>IFERROR(__xludf.DUMMYFUNCTION("GOOGLETRANSLATE(C405,""fr"",""en"")"),"Hello
I'm sorry but I too will leave the maif, I have a vehicle, three home insurance, and the pompom is legal insurance that served nothing when I needed help they are always right Finding the flaw and like the others they recommend that I make an AR le"&amp;"tter to request extra contractual care 1300 euros thrown out the window we also have driver protection")</f>
        <v>Hello
I'm sorry but I too will leave the maif, I have a vehicle, three home insurance, and the pompom is legal insurance that served nothing when I needed help they are always right Finding the flaw and like the others they recommend that I make an AR letter to request extra contractual care 1300 euros thrown out the window we also have driver protection</v>
      </c>
    </row>
    <row r="406" ht="15.75" customHeight="1">
      <c r="B406" s="2" t="s">
        <v>1231</v>
      </c>
      <c r="C406" s="2" t="s">
        <v>1232</v>
      </c>
      <c r="D406" s="2" t="s">
        <v>1200</v>
      </c>
      <c r="E406" s="2" t="s">
        <v>14</v>
      </c>
      <c r="F406" s="2" t="s">
        <v>15</v>
      </c>
      <c r="G406" s="2" t="s">
        <v>339</v>
      </c>
      <c r="H406" s="2" t="s">
        <v>340</v>
      </c>
      <c r="I406" s="2" t="str">
        <f>IFERROR(__xludf.DUMMYFUNCTION("GOOGLETRANSLATE(C406,""fr"",""en"")"),"vanherpestephane@yahoo.fr
MAIF member for more than 25 we have just been humiliated. We struck a sewer mouth which caused the projection of the plate on our rear door. Following a Baclée expertise of a cabinet anxious to be zealous with the MAIF, we ar"&amp;"e told that our declaration is not in line with the damage and therefore sticks two claims (one for the expected wheel, the other for the door). We have established an observation of roads with the town hall we dispute the expertise and after several week"&amp;"s without news, the MAIF makes us understand that it is better to accept to say that it is better to admit a false declaration (which we have not committed)
Rather than commissioning expertise (2) at our expense. We are also threatened with confidence in"&amp;" insurance. After a complaint that was useless, MAIF did not bother to contact the town hall insurance where the claim took place. We finally accepted the two claims, therefore to admit a false statement that we did not commit. We are stuck between the Ma"&amp;"if who plays the watch, the cowbows of the expertise cabinet that go up falsely false statements and the need to recover our vehicle. After almost three months of immobilization, I come to recover my vehicle and therefore pay my two franchises of € 300 to"&amp;" which I have been added € 50 of surplus for dilapidation of the tire to change. Our interlocutors of the platforms have been contemptuous or even heinous, we have been changed on our local delegation which are incompetent (they tell us that they have nev"&amp;"er done sinister, that he does not know how we do), we have we Sent an ""activist"" who praised us the many skills of Maif. Obviously, I always expect an answer for the reimbursement of my subscription for the immobilization of my vehicle. It is not a fee"&amp;"ling of injustice that we feel, it is a contemptuous humiliation. We are not all dishonest insured. MAIF has become a company that prefers to pay for good advertisements rather than managing the files of their members humanly. I put a star because I could"&amp;"n't put less.")</f>
        <v>vanherpestephane@yahoo.fr
MAIF member for more than 25 we have just been humiliated. We struck a sewer mouth which caused the projection of the plate on our rear door. Following a Baclée expertise of a cabinet anxious to be zealous with the MAIF, we are told that our declaration is not in line with the damage and therefore sticks two claims (one for the expected wheel, the other for the door). We have established an observation of roads with the town hall we dispute the expertise and after several weeks without news, the MAIF makes us understand that it is better to accept to say that it is better to admit a false declaration (which we have not committed)
Rather than commissioning expertise (2) at our expense. We are also threatened with confidence in insurance. After a complaint that was useless, MAIF did not bother to contact the town hall insurance where the claim took place. We finally accepted the two claims, therefore to admit a false statement that we did not commit. We are stuck between the Maif who plays the watch, the cowbows of the expertise cabinet that go up falsely false statements and the need to recover our vehicle. After almost three months of immobilization, I come to recover my vehicle and therefore pay my two franchises of € 300 to which I have been added € 50 of surplus for dilapidation of the tire to change. Our interlocutors of the platforms have been contemptuous or even heinous, we have been changed on our local delegation which are incompetent (they tell us that they have never done sinister, that he does not know how we do), we have we Sent an "activist" who praised us the many skills of Maif. Obviously, I always expect an answer for the reimbursement of my subscription for the immobilization of my vehicle. It is not a feeling of injustice that we feel, it is a contemptuous humiliation. We are not all dishonest insured. MAIF has become a company that prefers to pay for good advertisements rather than managing the files of their members humanly. I put a star because I couldn't put less.</v>
      </c>
    </row>
    <row r="407" ht="15.75" customHeight="1">
      <c r="B407" s="2" t="s">
        <v>1233</v>
      </c>
      <c r="C407" s="2" t="s">
        <v>1234</v>
      </c>
      <c r="D407" s="2" t="s">
        <v>1200</v>
      </c>
      <c r="E407" s="2" t="s">
        <v>14</v>
      </c>
      <c r="F407" s="2" t="s">
        <v>15</v>
      </c>
      <c r="G407" s="2" t="s">
        <v>1235</v>
      </c>
      <c r="H407" s="2" t="s">
        <v>340</v>
      </c>
      <c r="I407" s="2" t="str">
        <f>IFERROR(__xludf.DUMMYFUNCTION("GOOGLETRANSLATE(C407,""fr"",""en"")"),"MAIF is not attentive to its customers. They never readjust the prices, that is why I made a comparison and that I decided to change insurance. I earn € 7 per month for the same guarantees. They always find a closed in the contract so as not to reimburse.")</f>
        <v>MAIF is not attentive to its customers. They never readjust the prices, that is why I made a comparison and that I decided to change insurance. I earn € 7 per month for the same guarantees. They always find a closed in the contract so as not to reimburse.</v>
      </c>
    </row>
    <row r="408" ht="15.75" customHeight="1">
      <c r="B408" s="2" t="s">
        <v>1236</v>
      </c>
      <c r="C408" s="2" t="s">
        <v>1237</v>
      </c>
      <c r="D408" s="2" t="s">
        <v>1200</v>
      </c>
      <c r="E408" s="2" t="s">
        <v>14</v>
      </c>
      <c r="F408" s="2" t="s">
        <v>15</v>
      </c>
      <c r="G408" s="2" t="s">
        <v>1238</v>
      </c>
      <c r="H408" s="2" t="s">
        <v>340</v>
      </c>
      <c r="I408" s="2" t="str">
        <f>IFERROR(__xludf.DUMMYFUNCTION("GOOGLETRANSLATE(C408,""fr"",""en"")"),"Maif member for 24 years (in all risks), I did not have to complain about Maif (never had a responsible accident) until today where I had a 2nd hanging (a truck is me Returning inside by backing without looking: accident for which I am not responsible). T"&amp;"he front cover is damaged, and the front bumper has shocked. The MAIF (after expertise) will replace the hood but does not want to repair the damage suffered by this sinister on the bumper before, on the pretext that it was already damaged and, according "&amp;"to the expert, ""to replace"". Personally, I had not planned to replace him he went very well (Esquinée on the sides when leaving a parking box). I find it abnormal: the minimum, when one is the victim of an accident, is to recover the car in the same sta"&amp;"te as before this disaster. However, the MAIF categorically refuses it, taking refuge behind the ""oral"" opinion of the expert (he does not mention the damage on the shield due to this disaster), except to pay a counter-expertise of my pocket. If nothing"&amp;" is done, I think I will sell this case and quickly change insurer (both for the car and the rest as long as you do). MAIF services have deteriorated well now, despite their recent advertising campaign (a certain logic?).")</f>
        <v>Maif member for 24 years (in all risks), I did not have to complain about Maif (never had a responsible accident) until today where I had a 2nd hanging (a truck is me Returning inside by backing without looking: accident for which I am not responsible). The front cover is damaged, and the front bumper has shocked. The MAIF (after expertise) will replace the hood but does not want to repair the damage suffered by this sinister on the bumper before, on the pretext that it was already damaged and, according to the expert, "to replace". Personally, I had not planned to replace him he went very well (Esquinée on the sides when leaving a parking box). I find it abnormal: the minimum, when one is the victim of an accident, is to recover the car in the same state as before this disaster. However, the MAIF categorically refuses it, taking refuge behind the "oral" opinion of the expert (he does not mention the damage on the shield due to this disaster), except to pay a counter-expertise of my pocket. If nothing is done, I think I will sell this case and quickly change insurer (both for the car and the rest as long as you do). MAIF services have deteriorated well now, despite their recent advertising campaign (a certain logic?).</v>
      </c>
    </row>
    <row r="409" ht="15.75" customHeight="1">
      <c r="B409" s="2" t="s">
        <v>1239</v>
      </c>
      <c r="C409" s="2" t="s">
        <v>1240</v>
      </c>
      <c r="D409" s="2" t="s">
        <v>1200</v>
      </c>
      <c r="E409" s="2" t="s">
        <v>14</v>
      </c>
      <c r="F409" s="2" t="s">
        <v>15</v>
      </c>
      <c r="G409" s="2" t="s">
        <v>346</v>
      </c>
      <c r="H409" s="2" t="s">
        <v>340</v>
      </c>
      <c r="I409" s="2" t="str">
        <f>IFERROR(__xludf.DUMMYFUNCTION("GOOGLETRANSLATE(C409,""fr"",""en"")"),"I have been insured at MAIF for over fifty years, and I am very satisfied.
What more can be said . They are very professional. Bravo for them. Continuez")</f>
        <v>I have been insured at MAIF for over fifty years, and I am very satisfied.
What more can be said . They are very professional. Bravo for them. Continuez</v>
      </c>
    </row>
    <row r="410" ht="15.75" customHeight="1">
      <c r="B410" s="2" t="s">
        <v>1241</v>
      </c>
      <c r="C410" s="2" t="s">
        <v>1242</v>
      </c>
      <c r="D410" s="2" t="s">
        <v>1200</v>
      </c>
      <c r="E410" s="2" t="s">
        <v>14</v>
      </c>
      <c r="F410" s="2" t="s">
        <v>15</v>
      </c>
      <c r="G410" s="2" t="s">
        <v>1243</v>
      </c>
      <c r="H410" s="2" t="s">
        <v>350</v>
      </c>
      <c r="I410" s="2" t="str">
        <f>IFERROR(__xludf.DUMMYFUNCTION("GOOGLETRANSLATE(C410,""fr"",""en"")"),"I did not manage to ensure my new vehicle
I do not know the reason for this refusal
I have been a member for over 40 years and a bonus q 50%
I will have to leave them to my big regret
")</f>
        <v>I did not manage to ensure my new vehicle
I do not know the reason for this refusal
I have been a member for over 40 years and a bonus q 50%
I will have to leave them to my big regret
</v>
      </c>
    </row>
    <row r="411" ht="15.75" customHeight="1">
      <c r="B411" s="2" t="s">
        <v>1244</v>
      </c>
      <c r="C411" s="2" t="s">
        <v>1245</v>
      </c>
      <c r="D411" s="2" t="s">
        <v>1200</v>
      </c>
      <c r="E411" s="2" t="s">
        <v>14</v>
      </c>
      <c r="F411" s="2" t="s">
        <v>15</v>
      </c>
      <c r="G411" s="2" t="s">
        <v>1246</v>
      </c>
      <c r="H411" s="2" t="s">
        <v>350</v>
      </c>
      <c r="I411" s="2" t="str">
        <f>IFERROR(__xludf.DUMMYFUNCTION("GOOGLETRANSLATE(C411,""fr"",""en"")")," Hello, about 50 years old at La Maif, 2 cars at all risk, house, etc.: relatively satisfied, but ...:
 Small ""responsible"" accident with my parked vehicle, insured any risk by the MAIF (very strong gust of wind which damaged the door when leaving), de"&amp;"ductible 260 €: OK.
I do not ask the loan vehicle maif to which I have the right for a week, time planned for repair to find a used door etc. (vehicle loan, however option included in my maif insurance for 1 sem.): being able to move by bike, I do it by "&amp;"mutual economy, if this word still has a meaning, ""mutual feelings"" ...
 Choice of the professional repairer by myself (whom I know), but not approved-Maif: therefore the expert's office tells me on the phone that I will not have access to his quote an"&amp;"d that it is there Write that I will have to advance the repair costs myself to the repairer and that after only with the invoice acquitted the maif will reimburse me.
 I remind you immediately and the expert and the maif, by phone and in writing by emai"&amp;"l, that the law has changed on this point since December 3, 2020, according to the ""article L211-5-2 - Insurance code - Légifrance"" The insured no longer has to advance the costs* repair expenses to the professional, even if the latter is not part of th"&amp;"e list of repairers approved by insurance, these costs* having to be paid directly by insurance to the repairer (*minus the franchise).
 While for other requests for intelligence the response of the MAIF is usually relatively rapid, to date no written "&amp;"response on this point by the maif (on the phone I am maintained the opposite, that it will not change with the maif, that 'You have to make a check for the repairer that he would only covers after reimbursement by the MAIF) ...")</f>
        <v> Hello, about 50 years old at La Maif, 2 cars at all risk, house, etc.: relatively satisfied, but ...:
 Small "responsible" accident with my parked vehicle, insured any risk by the MAIF (very strong gust of wind which damaged the door when leaving), deductible 260 €: OK.
I do not ask the loan vehicle maif to which I have the right for a week, time planned for repair to find a used door etc. (vehicle loan, however option included in my maif insurance for 1 sem.): being able to move by bike, I do it by mutual economy, if this word still has a meaning, "mutual feelings" ...
 Choice of the professional repairer by myself (whom I know), but not approved-Maif: therefore the expert's office tells me on the phone that I will not have access to his quote and that it is there Write that I will have to advance the repair costs myself to the repairer and that after only with the invoice acquitted the maif will reimburse me.
 I remind you immediately and the expert and the maif, by phone and in writing by email, that the law has changed on this point since December 3, 2020, according to the "article L211-5-2 - Insurance code - Légifrance" The insured no longer has to advance the costs* repair expenses to the professional, even if the latter is not part of the list of repairers approved by insurance, these costs* having to be paid directly by insurance to the repairer (*minus the franchise).
 While for other requests for intelligence the response of the MAIF is usually relatively rapid, to date no written response on this point by the maif (on the phone I am maintained the opposite, that it will not change with the maif, that 'You have to make a check for the repairer that he would only covers after reimbursement by the MAIF) ...</v>
      </c>
    </row>
    <row r="412" ht="15.75" customHeight="1">
      <c r="B412" s="2" t="s">
        <v>1247</v>
      </c>
      <c r="C412" s="2" t="s">
        <v>1248</v>
      </c>
      <c r="D412" s="2" t="s">
        <v>1200</v>
      </c>
      <c r="E412" s="2" t="s">
        <v>14</v>
      </c>
      <c r="F412" s="2" t="s">
        <v>15</v>
      </c>
      <c r="G412" s="2" t="s">
        <v>1249</v>
      </c>
      <c r="H412" s="2" t="s">
        <v>350</v>
      </c>
      <c r="I412" s="2" t="str">
        <f>IFERROR(__xludf.DUMMYFUNCTION("GOOGLETRANSLATE(C412,""fr"",""en"")"),"I regret that all the employees are formatted and answer as they are asked for them. The maif is not a philanthropic company, I have several contracts with this insurance, more money placed. I don't have the feeling of being a faithful customer (for over "&amp;"30 years) the maif has changed a lot but not in good.")</f>
        <v>I regret that all the employees are formatted and answer as they are asked for them. The maif is not a philanthropic company, I have several contracts with this insurance, more money placed. I don't have the feeling of being a faithful customer (for over 30 years) the maif has changed a lot but not in good.</v>
      </c>
    </row>
    <row r="413" ht="15.75" customHeight="1">
      <c r="B413" s="2" t="s">
        <v>1250</v>
      </c>
      <c r="C413" s="2" t="s">
        <v>1251</v>
      </c>
      <c r="D413" s="2" t="s">
        <v>1200</v>
      </c>
      <c r="E413" s="2" t="s">
        <v>14</v>
      </c>
      <c r="F413" s="2" t="s">
        <v>15</v>
      </c>
      <c r="G413" s="2" t="s">
        <v>1252</v>
      </c>
      <c r="H413" s="2" t="s">
        <v>360</v>
      </c>
      <c r="I413" s="2" t="str">
        <f>IFERROR(__xludf.DUMMYFUNCTION("GOOGLETRANSLATE(C413,""fr"",""en"")"),"Complicated insurer. They threw me because on my bank he had a bug bravo activists. I end up with 3 vehicles and 1 house without insurance. So saying they waited. I am too disgusted.")</f>
        <v>Complicated insurer. They threw me because on my bank he had a bug bravo activists. I end up with 3 vehicles and 1 house without insurance. So saying they waited. I am too disgusted.</v>
      </c>
    </row>
    <row r="414" ht="15.75" customHeight="1">
      <c r="B414" s="2" t="s">
        <v>1253</v>
      </c>
      <c r="C414" s="2" t="s">
        <v>1254</v>
      </c>
      <c r="D414" s="2" t="s">
        <v>1200</v>
      </c>
      <c r="E414" s="2" t="s">
        <v>14</v>
      </c>
      <c r="F414" s="2" t="s">
        <v>15</v>
      </c>
      <c r="G414" s="2" t="s">
        <v>1255</v>
      </c>
      <c r="H414" s="2" t="s">
        <v>364</v>
      </c>
      <c r="I414" s="2" t="str">
        <f>IFERROR(__xludf.DUMMYFUNCTION("GOOGLETRANSLATE(C414,""fr"",""en"")"),"Well, I have been in Maif for 36 years (militant insurer). Good relationships, good assistance.
I bought a car that I assure my favorite insurer: Maif
I am sent for the 8th time my contract to sign electronically. There is no link to do it or the possib"&amp;"ility of opening attachments. I may say it ... I am sending me Always the same mail.ca annoys me a little. I ask them to send me my contract to sign paper version ... I'm still waiting. It also annoys me ... go the maif set this! If I do not sign my contr"&amp;"act that my insurer will tell me if I have an accident? That I have not signed my contract !!!!! please answer.")</f>
        <v>Well, I have been in Maif for 36 years (militant insurer). Good relationships, good assistance.
I bought a car that I assure my favorite insurer: Maif
I am sent for the 8th time my contract to sign electronically. There is no link to do it or the possibility of opening attachments. I may say it ... I am sending me Always the same mail.ca annoys me a little. I ask them to send me my contract to sign paper version ... I'm still waiting. It also annoys me ... go the maif set this! If I do not sign my contract that my insurer will tell me if I have an accident? That I have not signed my contract !!!!! please answer.</v>
      </c>
    </row>
    <row r="415" ht="15.75" customHeight="1">
      <c r="B415" s="2" t="s">
        <v>1256</v>
      </c>
      <c r="C415" s="2" t="s">
        <v>1257</v>
      </c>
      <c r="D415" s="2" t="s">
        <v>1200</v>
      </c>
      <c r="E415" s="2" t="s">
        <v>14</v>
      </c>
      <c r="F415" s="2" t="s">
        <v>15</v>
      </c>
      <c r="G415" s="2" t="s">
        <v>748</v>
      </c>
      <c r="H415" s="2" t="s">
        <v>371</v>
      </c>
      <c r="I415" s="2" t="str">
        <f>IFERROR(__xludf.DUMMYFUNCTION("GOOGLETRANSLATE(C415,""fr"",""en"")"),"Hello.
I note a significant drop in the quality of service of MAIF. I have been there for 30 years since.
In September 2020, my vehicle was damaged by a third party who recognizes 100% the claim.
MAIF manages the file. So I have the car repaired.
The "&amp;"professional asks me to settle the franchise of € 330, which I do on the advice of the MAIF, this one telling me that the reimbursement should happen just after.
Except that for these three months, no refund. MAIF informs me that it cannot come into cont"&amp;"act with third party insurance to obtain reimbursement.
Yet under the general conditions it is stipulated:
""• event fully attributable to an identified third party, whether or not insured
In this case, we pay the insured a sum corresponding to the amo"&amp;"unt of the franchise, as a advance on
the expected appeal "".
The mediator will soon receive a request from me.")</f>
        <v>Hello.
I note a significant drop in the quality of service of MAIF. I have been there for 30 years since.
In September 2020, my vehicle was damaged by a third party who recognizes 100% the claim.
MAIF manages the file. So I have the car repaired.
The professional asks me to settle the franchise of € 330, which I do on the advice of the MAIF, this one telling me that the reimbursement should happen just after.
Except that for these three months, no refund. MAIF informs me that it cannot come into contact with third party insurance to obtain reimbursement.
Yet under the general conditions it is stipulated:
"• event fully attributable to an identified third party, whether or not insured
In this case, we pay the insured a sum corresponding to the amount of the franchise, as a advance on
the expected appeal ".
The mediator will soon receive a request from me.</v>
      </c>
    </row>
    <row r="416" ht="15.75" customHeight="1">
      <c r="B416" s="2" t="s">
        <v>1258</v>
      </c>
      <c r="C416" s="2" t="s">
        <v>1259</v>
      </c>
      <c r="D416" s="2" t="s">
        <v>1200</v>
      </c>
      <c r="E416" s="2" t="s">
        <v>14</v>
      </c>
      <c r="F416" s="2" t="s">
        <v>15</v>
      </c>
      <c r="G416" s="2" t="s">
        <v>1260</v>
      </c>
      <c r="H416" s="2" t="s">
        <v>17</v>
      </c>
      <c r="I416" s="2" t="str">
        <f>IFERROR(__xludf.DUMMYFUNCTION("GOOGLETRANSLATE(C416,""fr"",""en"")"),"Following broken ice.
Replaced windshield
Quick management. No need to call insurance.
Just the form to send.
A few months after taking my insurance")</f>
        <v>Following broken ice.
Replaced windshield
Quick management. No need to call insurance.
Just the form to send.
A few months after taking my insurance</v>
      </c>
    </row>
    <row r="417" ht="15.75" customHeight="1">
      <c r="B417" s="2" t="s">
        <v>1261</v>
      </c>
      <c r="C417" s="2" t="s">
        <v>1262</v>
      </c>
      <c r="D417" s="2" t="s">
        <v>1200</v>
      </c>
      <c r="E417" s="2" t="s">
        <v>14</v>
      </c>
      <c r="F417" s="2" t="s">
        <v>15</v>
      </c>
      <c r="G417" s="2" t="s">
        <v>1263</v>
      </c>
      <c r="H417" s="2" t="s">
        <v>21</v>
      </c>
      <c r="I417" s="2" t="str">
        <f>IFERROR(__xludf.DUMMYFUNCTION("GOOGLETRANSLATE(C417,""fr"",""en"")"),"My daughter wanted to insure himself from the MAIF following the purchase of her 1st car in early December.
She is 23 years old, obtained her license at 18 and drives accompanied. Until now she used to be my vehicle, that of her father where that of her "&amp;"brother the 3 insured at La Maif.
MAIF refused the insured because she has no other contract with them!
 Incompeinable !!!!")</f>
        <v>My daughter wanted to insure himself from the MAIF following the purchase of her 1st car in early December.
She is 23 years old, obtained her license at 18 and drives accompanied. Until now she used to be my vehicle, that of her father where that of her brother the 3 insured at La Maif.
MAIF refused the insured because she has no other contract with them!
 Incompeinable !!!!</v>
      </c>
    </row>
    <row r="418" ht="15.75" customHeight="1">
      <c r="B418" s="2" t="s">
        <v>1264</v>
      </c>
      <c r="C418" s="2" t="s">
        <v>1265</v>
      </c>
      <c r="D418" s="2" t="s">
        <v>1200</v>
      </c>
      <c r="E418" s="2" t="s">
        <v>14</v>
      </c>
      <c r="F418" s="2" t="s">
        <v>15</v>
      </c>
      <c r="G418" s="2" t="s">
        <v>1263</v>
      </c>
      <c r="H418" s="2" t="s">
        <v>21</v>
      </c>
      <c r="I418" s="2" t="str">
        <f>IFERROR(__xludf.DUMMYFUNCTION("GOOGLETRANSLATE(C418,""fr"",""en"")"),"Hello, Before I was at the Matmut, customer since 1986, but with my change of vehicle I noticed by asking for a quote as for the same guarantees car + house, I pay 30 for cents less at the maif that summarizes everything for me .")</f>
        <v>Hello, Before I was at the Matmut, customer since 1986, but with my change of vehicle I noticed by asking for a quote as for the same guarantees car + house, I pay 30 for cents less at the maif that summarizes everything for me .</v>
      </c>
    </row>
    <row r="419" ht="15.75" customHeight="1">
      <c r="B419" s="2" t="s">
        <v>1266</v>
      </c>
      <c r="C419" s="2" t="s">
        <v>1267</v>
      </c>
      <c r="D419" s="2" t="s">
        <v>1200</v>
      </c>
      <c r="E419" s="2" t="s">
        <v>14</v>
      </c>
      <c r="F419" s="2" t="s">
        <v>15</v>
      </c>
      <c r="G419" s="2" t="s">
        <v>1268</v>
      </c>
      <c r="H419" s="2" t="s">
        <v>21</v>
      </c>
      <c r="I419" s="2" t="str">
        <f>IFERROR(__xludf.DUMMYFUNCTION("GOOGLETRANSLATE(C419,""fr"",""en"")"),"We had a really bad karma at the end of 2020: car accident which required to redo the body on the left side, then breakdown on the highway 1 month later at 100km from home, on the holiday route. Thanks to our all -risk insurance and the quality of assista"&amp;"nce and maif care, no stress, we were able to have the car repaired the first time then have it towed and continue in taxi to our destination during From our 2nd misadventure, all without really wasting time. What a relief !
In summary, excellent managem"&amp;"ent, reactive and adapted to our needs. Thank you !")</f>
        <v>We had a really bad karma at the end of 2020: car accident which required to redo the body on the left side, then breakdown on the highway 1 month later at 100km from home, on the holiday route. Thanks to our all -risk insurance and the quality of assistance and maif care, no stress, we were able to have the car repaired the first time then have it towed and continue in taxi to our destination during From our 2nd misadventure, all without really wasting time. What a relief !
In summary, excellent management, reactive and adapted to our needs. Thank you !</v>
      </c>
    </row>
    <row r="420" ht="15.75" customHeight="1">
      <c r="B420" s="2" t="s">
        <v>1269</v>
      </c>
      <c r="C420" s="2" t="s">
        <v>1270</v>
      </c>
      <c r="D420" s="2" t="s">
        <v>1200</v>
      </c>
      <c r="E420" s="2" t="s">
        <v>14</v>
      </c>
      <c r="F420" s="2" t="s">
        <v>15</v>
      </c>
      <c r="G420" s="2" t="s">
        <v>1271</v>
      </c>
      <c r="H420" s="2" t="s">
        <v>21</v>
      </c>
      <c r="I420" s="2" t="str">
        <f>IFERROR(__xludf.DUMMYFUNCTION("GOOGLETRANSLATE(C420,""fr"",""en"")"),"Boj I really regret having was ensuring by Maiif oblige to terminate Chatel law I found much elsewhere because we are told a price then we are taken from another price")</f>
        <v>Boj I really regret having was ensuring by Maiif oblige to terminate Chatel law I found much elsewhere because we are told a price then we are taken from another price</v>
      </c>
    </row>
    <row r="421" ht="15.75" customHeight="1">
      <c r="B421" s="2" t="s">
        <v>1272</v>
      </c>
      <c r="C421" s="2" t="s">
        <v>1273</v>
      </c>
      <c r="D421" s="2" t="s">
        <v>1200</v>
      </c>
      <c r="E421" s="2" t="s">
        <v>14</v>
      </c>
      <c r="F421" s="2" t="s">
        <v>15</v>
      </c>
      <c r="G421" s="2" t="s">
        <v>770</v>
      </c>
      <c r="H421" s="2" t="s">
        <v>21</v>
      </c>
      <c r="I421" s="2" t="str">
        <f>IFERROR(__xludf.DUMMYFUNCTION("GOOGLETRANSLATE(C421,""fr"",""en"")"),"Maif has a very good service, but the problem is the price of its services, it is too much ... too expensive, it is even exorbitant compared to the competition for the same guarantees.")</f>
        <v>Maif has a very good service, but the problem is the price of its services, it is too much ... too expensive, it is even exorbitant compared to the competition for the same guarantees.</v>
      </c>
    </row>
    <row r="422" ht="15.75" customHeight="1">
      <c r="B422" s="2" t="s">
        <v>1274</v>
      </c>
      <c r="C422" s="2" t="s">
        <v>1275</v>
      </c>
      <c r="D422" s="2" t="s">
        <v>1200</v>
      </c>
      <c r="E422" s="2" t="s">
        <v>14</v>
      </c>
      <c r="F422" s="2" t="s">
        <v>15</v>
      </c>
      <c r="G422" s="2" t="s">
        <v>24</v>
      </c>
      <c r="H422" s="2" t="s">
        <v>21</v>
      </c>
      <c r="I422" s="2" t="str">
        <f>IFERROR(__xludf.DUMMYFUNCTION("GOOGLETRANSLATE(C422,""fr"",""en"")"),"I would like to have a link to give my opinion on the legal protection of MAIF, is this possible?
I am very embarrassed by the way the mutual interpreter and manages the files.")</f>
        <v>I would like to have a link to give my opinion on the legal protection of MAIF, is this possible?
I am very embarrassed by the way the mutual interpreter and manages the files.</v>
      </c>
    </row>
    <row r="423" ht="15.75" customHeight="1">
      <c r="B423" s="2" t="s">
        <v>1276</v>
      </c>
      <c r="C423" s="2" t="s">
        <v>1277</v>
      </c>
      <c r="D423" s="2" t="s">
        <v>1200</v>
      </c>
      <c r="E423" s="2" t="s">
        <v>14</v>
      </c>
      <c r="F423" s="2" t="s">
        <v>15</v>
      </c>
      <c r="G423" s="2" t="s">
        <v>1278</v>
      </c>
      <c r="H423" s="2" t="s">
        <v>21</v>
      </c>
      <c r="I423" s="2" t="str">
        <f>IFERROR(__xludf.DUMMYFUNCTION("GOOGLETRANSLATE(C423,""fr"",""en"")"),"With MAIF car insurance for over 10 years and home insurance, which we have accepted additional options recently (if we had known!), We come, after purchase from another vehicle, to learn by phone that we are struck off. No accident in 10 years, contribut"&amp;"ions always paid in time ... at our request for an explanation, we are told a dark story of ""Ice Broke"" in 2019, without the interloster being able to tell us more, everything By finding our request for an unlimited explanation. An ""activist"" must cal"&amp;"l us but given the previous comments it is not likely to happen. We agreed to pay more than other insurance by the values ​​than that promoted. What a mistake ! Insurance to flee!")</f>
        <v>With MAIF car insurance for over 10 years and home insurance, which we have accepted additional options recently (if we had known!), We come, after purchase from another vehicle, to learn by phone that we are struck off. No accident in 10 years, contributions always paid in time ... at our request for an explanation, we are told a dark story of "Ice Broke" in 2019, without the interloster being able to tell us more, everything By finding our request for an unlimited explanation. An "activist" must call us but given the previous comments it is not likely to happen. We agreed to pay more than other insurance by the values ​​than that promoted. What a mistake ! Insurance to flee!</v>
      </c>
    </row>
    <row r="424" ht="15.75" customHeight="1">
      <c r="B424" s="2" t="s">
        <v>1279</v>
      </c>
      <c r="C424" s="2" t="s">
        <v>1280</v>
      </c>
      <c r="D424" s="2" t="s">
        <v>1200</v>
      </c>
      <c r="E424" s="2" t="s">
        <v>14</v>
      </c>
      <c r="F424" s="2" t="s">
        <v>15</v>
      </c>
      <c r="G424" s="2" t="s">
        <v>408</v>
      </c>
      <c r="H424" s="2" t="s">
        <v>21</v>
      </c>
      <c r="I424" s="2" t="str">
        <f>IFERROR(__xludf.DUMMYFUNCTION("GOOGLETRANSLATE(C424,""fr"",""en"")"),"I find vehicle insurance too expensive.
Being at the maximum bonus and paying so expensive is not normal !!
We haven't had an accident for ten years.")</f>
        <v>I find vehicle insurance too expensive.
Being at the maximum bonus and paying so expensive is not normal !!
We haven't had an accident for ten years.</v>
      </c>
    </row>
    <row r="425" ht="15.75" customHeight="1">
      <c r="B425" s="2" t="s">
        <v>1281</v>
      </c>
      <c r="C425" s="2" t="s">
        <v>1282</v>
      </c>
      <c r="D425" s="2" t="s">
        <v>1200</v>
      </c>
      <c r="E425" s="2" t="s">
        <v>14</v>
      </c>
      <c r="F425" s="2" t="s">
        <v>15</v>
      </c>
      <c r="G425" s="2" t="s">
        <v>1283</v>
      </c>
      <c r="H425" s="2" t="s">
        <v>21</v>
      </c>
      <c r="I425" s="2" t="str">
        <f>IFERROR(__xludf.DUMMYFUNCTION("GOOGLETRANSLATE(C425,""fr"",""en"")"),"Your prices are too high, which is why I called on the Sue Assurland competition, in order to compare. After comparison I found the companies that offer the same guarantees as you but at too low prices. Which tempts me to go to competition.")</f>
        <v>Your prices are too high, which is why I called on the Sue Assurland competition, in order to compare. After comparison I found the companies that offer the same guarantees as you but at too low prices. Which tempts me to go to competition.</v>
      </c>
    </row>
    <row r="426" ht="15.75" customHeight="1">
      <c r="B426" s="2" t="s">
        <v>1284</v>
      </c>
      <c r="C426" s="2" t="s">
        <v>1285</v>
      </c>
      <c r="D426" s="2" t="s">
        <v>1200</v>
      </c>
      <c r="E426" s="2" t="s">
        <v>14</v>
      </c>
      <c r="F426" s="2" t="s">
        <v>15</v>
      </c>
      <c r="G426" s="2" t="s">
        <v>37</v>
      </c>
      <c r="H426" s="2" t="s">
        <v>31</v>
      </c>
      <c r="I426" s="2" t="str">
        <f>IFERROR(__xludf.DUMMYFUNCTION("GOOGLETRANSLATE(C426,""fr"",""en"")"),"3 vehicles provided on different levels. Very happy with the services (including digital), a lot of responsiveness, never worries. I've been a customer for 43 years with other services such as Raqvam. Militant insurer.")</f>
        <v>3 vehicles provided on different levels. Very happy with the services (including digital), a lot of responsiveness, never worries. I've been a customer for 43 years with other services such as Raqvam. Militant insurer.</v>
      </c>
    </row>
    <row r="427" ht="15.75" customHeight="1">
      <c r="B427" s="2" t="s">
        <v>1286</v>
      </c>
      <c r="C427" s="2" t="s">
        <v>1287</v>
      </c>
      <c r="D427" s="2" t="s">
        <v>1200</v>
      </c>
      <c r="E427" s="2" t="s">
        <v>14</v>
      </c>
      <c r="F427" s="2" t="s">
        <v>15</v>
      </c>
      <c r="G427" s="2" t="s">
        <v>419</v>
      </c>
      <c r="H427" s="2" t="s">
        <v>31</v>
      </c>
      <c r="I427" s="2" t="str">
        <f>IFERROR(__xludf.DUMMYFUNCTION("GOOGLETRANSLATE(C427,""fr"",""en"")"),"Very friendly team, very attentive, very responsive, a very good relational sense with these customers as well as moral support that does a lot of good
Mrs. Hermand")</f>
        <v>Very friendly team, very attentive, very responsive, a very good relational sense with these customers as well as moral support that does a lot of good
Mrs. Hermand</v>
      </c>
    </row>
    <row r="428" ht="15.75" customHeight="1">
      <c r="B428" s="2" t="s">
        <v>1288</v>
      </c>
      <c r="C428" s="2" t="s">
        <v>1289</v>
      </c>
      <c r="D428" s="2" t="s">
        <v>1200</v>
      </c>
      <c r="E428" s="2" t="s">
        <v>14</v>
      </c>
      <c r="F428" s="2" t="s">
        <v>15</v>
      </c>
      <c r="G428" s="2" t="s">
        <v>1290</v>
      </c>
      <c r="H428" s="2" t="s">
        <v>49</v>
      </c>
      <c r="I428" s="2" t="str">
        <f>IFERROR(__xludf.DUMMYFUNCTION("GOOGLETRANSLATE(C428,""fr"",""en"")"),"Dear insurance for a vehicle stored in a garage and which has not been riding for 4 years.
In addition, internal communication problem: the information does not seem to go from one office to another ...")</f>
        <v>Dear insurance for a vehicle stored in a garage and which has not been riding for 4 years.
In addition, internal communication problem: the information does not seem to go from one office to another ...</v>
      </c>
    </row>
    <row r="429" ht="15.75" customHeight="1">
      <c r="B429" s="2" t="s">
        <v>1291</v>
      </c>
      <c r="C429" s="2" t="s">
        <v>1292</v>
      </c>
      <c r="D429" s="2" t="s">
        <v>1200</v>
      </c>
      <c r="E429" s="2" t="s">
        <v>14</v>
      </c>
      <c r="F429" s="2" t="s">
        <v>15</v>
      </c>
      <c r="G429" s="2" t="s">
        <v>1293</v>
      </c>
      <c r="H429" s="2" t="s">
        <v>49</v>
      </c>
      <c r="I429" s="2" t="str">
        <f>IFERROR(__xludf.DUMMYFUNCTION("GOOGLETRANSLATE(C429,""fr"",""en"")")," Perfect car insurance for guarantees and price. Home in an excellent agency and telephone as well as professional knowledge.")</f>
        <v> Perfect car insurance for guarantees and price. Home in an excellent agency and telephone as well as professional knowledge.</v>
      </c>
    </row>
    <row r="430" ht="15.75" customHeight="1">
      <c r="B430" s="2" t="s">
        <v>1294</v>
      </c>
      <c r="C430" s="2" t="s">
        <v>1295</v>
      </c>
      <c r="D430" s="2" t="s">
        <v>1200</v>
      </c>
      <c r="E430" s="2" t="s">
        <v>14</v>
      </c>
      <c r="F430" s="2" t="s">
        <v>15</v>
      </c>
      <c r="G430" s="2" t="s">
        <v>1296</v>
      </c>
      <c r="H430" s="2" t="s">
        <v>49</v>
      </c>
      <c r="I430" s="2" t="str">
        <f>IFERROR(__xludf.DUMMYFUNCTION("GOOGLETRANSLATE(C430,""fr"",""en"")"),"Very bad telephone reception from MAIF during a quote. The advisor was laughing disrespectful, totally non -professional without any customer sense. It returns a very poor image of the maif ...")</f>
        <v>Very bad telephone reception from MAIF during a quote. The advisor was laughing disrespectful, totally non -professional without any customer sense. It returns a very poor image of the maif ...</v>
      </c>
    </row>
    <row r="431" ht="15.75" customHeight="1">
      <c r="B431" s="2" t="s">
        <v>1297</v>
      </c>
      <c r="C431" s="2" t="s">
        <v>1298</v>
      </c>
      <c r="D431" s="2" t="s">
        <v>1200</v>
      </c>
      <c r="E431" s="2" t="s">
        <v>14</v>
      </c>
      <c r="F431" s="2" t="s">
        <v>15</v>
      </c>
      <c r="G431" s="2" t="s">
        <v>422</v>
      </c>
      <c r="H431" s="2" t="s">
        <v>49</v>
      </c>
      <c r="I431" s="2" t="str">
        <f>IFERROR(__xludf.DUMMYFUNCTION("GOOGLETRANSLATE(C431,""fr"",""en"")"),"We found our vehicle damaged in the parking lot of a hypermarket (rectilinear stripes and parallels from the left front wing to the left rear wing, passing through the door). The person fled. The expert thinks that we hit a safety slide! If I had struck a"&amp;" safety slide as the expert claims, my vehicle will in my opinion be much more damaged! Because on a fast track with a speed of at least 100km/h, it is impossible for me to believe that this is the kind of damage that I currently have on my vehicle! Insur"&amp;"ance refuses to compensate us since our declaration is contrary to the opinion of the expert. I made a complaint with the gendarmerie to obtain the supermarket monitoring videos. I am assured of all risks ""Formula fullness"". The situation in which I am "&amp;"looks more like hell than fullness! In view, numerous testimonies on the site are to wonder if the MAIF and its mandated experts are not in collusion! MAIF has no consideration for its insured. Militant insurer, it's a liar insurer! I do not recommend thi"&amp;"s insurance!")</f>
        <v>We found our vehicle damaged in the parking lot of a hypermarket (rectilinear stripes and parallels from the left front wing to the left rear wing, passing through the door). The person fled. The expert thinks that we hit a safety slide! If I had struck a safety slide as the expert claims, my vehicle will in my opinion be much more damaged! Because on a fast track with a speed of at least 100km/h, it is impossible for me to believe that this is the kind of damage that I currently have on my vehicle! Insurance refuses to compensate us since our declaration is contrary to the opinion of the expert. I made a complaint with the gendarmerie to obtain the supermarket monitoring videos. I am assured of all risks "Formula fullness". The situation in which I am looks more like hell than fullness! In view, numerous testimonies on the site are to wonder if the MAIF and its mandated experts are not in collusion! MAIF has no consideration for its insured. Militant insurer, it's a liar insurer! I do not recommend this insurance!</v>
      </c>
    </row>
    <row r="432" ht="15.75" customHeight="1">
      <c r="B432" s="2" t="s">
        <v>1299</v>
      </c>
      <c r="C432" s="2" t="s">
        <v>1300</v>
      </c>
      <c r="D432" s="2" t="s">
        <v>1200</v>
      </c>
      <c r="E432" s="2" t="s">
        <v>14</v>
      </c>
      <c r="F432" s="2" t="s">
        <v>15</v>
      </c>
      <c r="G432" s="2" t="s">
        <v>1301</v>
      </c>
      <c r="H432" s="2" t="s">
        <v>49</v>
      </c>
      <c r="I432" s="2" t="str">
        <f>IFERROR(__xludf.DUMMYFUNCTION("GOOGLETRANSLATE(C432,""fr"",""en"")"),"Victim of a small collision out of my presence, I supposed a parking shock. Without evidence, the expert decreed that it was a shock while I was driving. Refusal of the management MAIF when I am assured of all risks. Lots of exchanges to try to convince m"&amp;"yself that I was wrong to be right. Result: to save 131 € the MAIF loses a client who for 55 years has made him win a lot, apart from a few small snots. I no longer trust this insurance for whom the big pompous words have become empty of meaning!")</f>
        <v>Victim of a small collision out of my presence, I supposed a parking shock. Without evidence, the expert decreed that it was a shock while I was driving. Refusal of the management MAIF when I am assured of all risks. Lots of exchanges to try to convince myself that I was wrong to be right. Result: to save 131 € the MAIF loses a client who for 55 years has made him win a lot, apart from a few small snots. I no longer trust this insurance for whom the big pompous words have become empty of meaning!</v>
      </c>
    </row>
    <row r="433" ht="15.75" customHeight="1">
      <c r="B433" s="2" t="s">
        <v>1302</v>
      </c>
      <c r="C433" s="2" t="s">
        <v>1303</v>
      </c>
      <c r="D433" s="2" t="s">
        <v>1200</v>
      </c>
      <c r="E433" s="2" t="s">
        <v>14</v>
      </c>
      <c r="F433" s="2" t="s">
        <v>15</v>
      </c>
      <c r="G433" s="2" t="s">
        <v>1304</v>
      </c>
      <c r="H433" s="2" t="s">
        <v>49</v>
      </c>
      <c r="I433" s="2" t="str">
        <f>IFERROR(__xludf.DUMMYFUNCTION("GOOGLETRANSLATE(C433,""fr"",""en"")"),"DEGUELASSE - True to the saying: insurance, as long as you pay (I am in all -risk formula / attention to those who are at the third party !!!) everything is fine but in the event of a disaster it is something else. A zero would be a compliment for these d"&amp;"ummies!
No precedent with Maif, good payer / never unpaid.
I find my vehicle (Golf Carat, value of around 17,000 euros) damaged one morning, going to work (parked, I was damaged on the left side and the author did not leave me his contact details). I de"&amp;"clare this claim the same day and respect the requests of the MAIF (these incompetent).
I thought, insured in high -end formulas, that by doing the necessary, my vehicle would be appraised and then put back as it is.
Mandated expert cabinet GxxxxxXT, M."&amp;" DX TXXXX LXXX JXXXX wanted to see the vehicle twice (a distance expertise + one in real), he wanted to see it a 3rd time, maybe even a 4th time if I had not informed that I was putting leave every time to come ...
The date of actual expertise on March 1"&amp;"1, the report on May 15, 2020 (65 days for an expertise report, it stings CQFD: the containment is not responsible for all the elements in hand - C 'is the excuse given by the maif, non-receipable !!!).
He was on teleworking and if it was true, with conf"&amp;"inement and if he put 65 days by file, he would have a job until the year 3000.
The Maif expert to change her mind 4 times (emails sent to the incompetent maif + him).
1st opinion: I made the expertise 03/11/2020, there is no reason to issue an oppositi"&amp;"on,
2nd opinion: I have a doubt about a circular movement on the rim, the rest ok,
3rd opinion: 05/15/2020, CR of expertise not supported before bumper before + rim AV. left,
4th opinion: 08/28/2020, the day of the third expertise, OK for the bumper bu"&amp;"t a doubt for the rim (report of third expertise being proof and transmitted to the maif-they cannot say that They are not aware !!!)
All this for, that after 65 days of meditation with himself, he refuses me to take care of part of the damage, we do not"&amp;" know why ??? According to him, the rim + front bumper come from a previous disaster or were already deteriorated)
Unable to accept this conclusion, even if the sized jeans, among young people it is fashionable, I inform the maif, Mrs. RXXXXXE, (this pse"&amp;"udo assurance) who wants to know nothing and every time I call, I am told that we must read the file (great follow -up of your members).
In the end, I conversed with Mrs. Ryxxxxe, Mrs. Grxxxy, and others whose confidentiality law does not allow me to wri"&amp;"te the name but I could make the organization chart of the MAIF sinister service in 2020 S ' He wishes.
Paying for a counter expertise made on 08/28/2020 in the presence of the expert + counter-expert and myself.
This agrees and attests that my request "&amp;"is admissible.
This expert from the GXXXXXXT was mistaken in the finishing of my vehicle (value problem) and refuses to communicate to me the modified expert report as advocated the law (art. Of the code R326-3 of the code of the code Road), in collusion"&amp;" with Mrs. RXXXXXE who believe themselves above the law of our Republic.
Refusing to assume their mistakes / incompetence, they inform me that they do a commercial gesture and take care of the damage.
Refusal to assume the immobilization of the vehicle "&amp;"which has molded in the box, the request for a discount, the moral damage, the canceled holidays etc ...
My vehicle has moldy 170 days (km of expertise and against expertise being proof and noted by the 2 experts) in the box.
The law proves me right and"&amp;" the maif via Mme Rxxxxxe are apparently above the laws.
This dispute will settle in court.
This expert who declared me that in 12 years of experience, he knew with me, his 1st request for a third year does not digest a decision contrary to his own (giv"&amp;"en by a sworn expert like him).
He also told me that the MAIF asked him unlike other insurance to ""look"" when there is no responsible third party. DEPLORABLE.
Go to the maif if you are sure you have no problems if not flee them !!!!!!!
Count on me "&amp;"for negative advertising reflecting your level of service.
")</f>
        <v>DEGUELASSE - True to the saying: insurance, as long as you pay (I am in all -risk formula / attention to those who are at the third party !!!) everything is fine but in the event of a disaster it is something else. A zero would be a compliment for these dummies!
No precedent with Maif, good payer / never unpaid.
I find my vehicle (Golf Carat, value of around 17,000 euros) damaged one morning, going to work (parked, I was damaged on the left side and the author did not leave me his contact details). I declare this claim the same day and respect the requests of the MAIF (these incompetent).
I thought, insured in high -end formulas, that by doing the necessary, my vehicle would be appraised and then put back as it is.
Mandated expert cabinet GxxxxxXT, M. DX TXXXX LXXX JXXXX wanted to see the vehicle twice (a distance expertise + one in real), he wanted to see it a 3rd time, maybe even a 4th time if I had not informed that I was putting leave every time to come ...
The date of actual expertise on March 11, the report on May 15, 2020 (65 days for an expertise report, it stings CQFD: the containment is not responsible for all the elements in hand - C 'is the excuse given by the maif, non-receipable !!!).
He was on teleworking and if it was true, with confinement and if he put 65 days by file, he would have a job until the year 3000.
The Maif expert to change her mind 4 times (emails sent to the incompetent maif + him).
1st opinion: I made the expertise 03/11/2020, there is no reason to issue an opposition,
2nd opinion: I have a doubt about a circular movement on the rim, the rest ok,
3rd opinion: 05/15/2020, CR of expertise not supported before bumper before + rim AV. left,
4th opinion: 08/28/2020, the day of the third expertise, OK for the bumper but a doubt for the rim (report of third expertise being proof and transmitted to the maif-they cannot say that They are not aware !!!)
All this for, that after 65 days of meditation with himself, he refuses me to take care of part of the damage, we do not know why ??? According to him, the rim + front bumper come from a previous disaster or were already deteriorated)
Unable to accept this conclusion, even if the sized jeans, among young people it is fashionable, I inform the maif, Mrs. RXXXXXE, (this pseudo assurance) who wants to know nothing and every time I call, I am told that we must read the file (great follow -up of your members).
In the end, I conversed with Mrs. Ryxxxxe, Mrs. Grxxxy, and others whose confidentiality law does not allow me to write the name but I could make the organization chart of the MAIF sinister service in 2020 S ' He wishes.
Paying for a counter expertise made on 08/28/2020 in the presence of the expert + counter-expert and myself.
This agrees and attests that my request is admissible.
This expert from the GXXXXXXT was mistaken in the finishing of my vehicle (value problem) and refuses to communicate to me the modified expert report as advocated the law (art. Of the code R326-3 of the code of the code Road), in collusion with Mrs. RXXXXXE who believe themselves above the law of our Republic.
Refusing to assume their mistakes / incompetence, they inform me that they do a commercial gesture and take care of the damage.
Refusal to assume the immobilization of the vehicle which has molded in the box, the request for a discount, the moral damage, the canceled holidays etc ...
My vehicle has moldy 170 days (km of expertise and against expertise being proof and noted by the 2 experts) in the box.
The law proves me right and the maif via Mme Rxxxxxe are apparently above the laws.
This dispute will settle in court.
This expert who declared me that in 12 years of experience, he knew with me, his 1st request for a third year does not digest a decision contrary to his own (given by a sworn expert like him).
He also told me that the MAIF asked him unlike other insurance to "look" when there is no responsible third party. DEPLORABLE.
Go to the maif if you are sure you have no problems if not flee them !!!!!!!
Count on me for negative advertising reflecting your level of service.
</v>
      </c>
    </row>
    <row r="434" ht="15.75" customHeight="1">
      <c r="B434" s="2" t="s">
        <v>1305</v>
      </c>
      <c r="C434" s="2" t="s">
        <v>1306</v>
      </c>
      <c r="D434" s="2" t="s">
        <v>1200</v>
      </c>
      <c r="E434" s="2" t="s">
        <v>14</v>
      </c>
      <c r="F434" s="2" t="s">
        <v>15</v>
      </c>
      <c r="G434" s="2" t="s">
        <v>68</v>
      </c>
      <c r="H434" s="2" t="s">
        <v>56</v>
      </c>
      <c r="I434" s="2" t="str">
        <f>IFERROR(__xludf.DUMMYFUNCTION("GOOGLETRANSLATE(C434,""fr"",""en"")"),"I have been in Maif for about 30 years. It is an excellent insurance, serious and which reimbursed me well when I sometimes had incidents. For example having had financial difficulties at a time in my life I bought a car at a thousand euros. I committed a"&amp;"n imprudence and the car was destroyed. While I was therefore in wrong MAIF reimbursed me a thousand euros. However, for some models, it is possible to find cheaper elsewhere. To summarize excellent insurance, offices everywhere allowing to be explained a"&amp;"nd therefore Inevitably more expensive than the insurance that we find on the internet but where you can struggle in the event of a dispute. You have to make a choice: the seriousness and efficiency of the maif but with a certain or cheaper cost elsewhere"&amp;" but ... ...")</f>
        <v>I have been in Maif for about 30 years. It is an excellent insurance, serious and which reimbursed me well when I sometimes had incidents. For example having had financial difficulties at a time in my life I bought a car at a thousand euros. I committed an imprudence and the car was destroyed. While I was therefore in wrong MAIF reimbursed me a thousand euros. However, for some models, it is possible to find cheaper elsewhere. To summarize excellent insurance, offices everywhere allowing to be explained and therefore Inevitably more expensive than the insurance that we find on the internet but where you can struggle in the event of a dispute. You have to make a choice: the seriousness and efficiency of the maif but with a certain or cheaper cost elsewhere but ... ...</v>
      </c>
    </row>
    <row r="435" ht="15.75" customHeight="1">
      <c r="B435" s="2" t="s">
        <v>1307</v>
      </c>
      <c r="C435" s="2" t="s">
        <v>1308</v>
      </c>
      <c r="D435" s="2" t="s">
        <v>1200</v>
      </c>
      <c r="E435" s="2" t="s">
        <v>14</v>
      </c>
      <c r="F435" s="2" t="s">
        <v>15</v>
      </c>
      <c r="G435" s="2" t="s">
        <v>1309</v>
      </c>
      <c r="H435" s="2" t="s">
        <v>56</v>
      </c>
      <c r="I435" s="2" t="str">
        <f>IFERROR(__xludf.DUMMYFUNCTION("GOOGLETRANSLATE(C435,""fr"",""en"")"),"Insurance or everything is complicated, and especially the figures, the amounts, the explanations of the contracts, always the costs of termination, change etc etc. I had an audious telephone correspondent, unable to explain to me why I was not going to b"&amp;"e reimbursing in September paid when I terminated in August ... in short thank you after years at home .")</f>
        <v>Insurance or everything is complicated, and especially the figures, the amounts, the explanations of the contracts, always the costs of termination, change etc etc. I had an audious telephone correspondent, unable to explain to me why I was not going to be reimbursing in September paid when I terminated in August ... in short thank you after years at home .</v>
      </c>
    </row>
    <row r="436" ht="15.75" customHeight="1">
      <c r="B436" s="2" t="s">
        <v>1310</v>
      </c>
      <c r="C436" s="2" t="s">
        <v>1311</v>
      </c>
      <c r="D436" s="2" t="s">
        <v>1200</v>
      </c>
      <c r="E436" s="2" t="s">
        <v>14</v>
      </c>
      <c r="F436" s="2" t="s">
        <v>15</v>
      </c>
      <c r="G436" s="2" t="s">
        <v>84</v>
      </c>
      <c r="H436" s="2" t="s">
        <v>72</v>
      </c>
      <c r="I436" s="2" t="str">
        <f>IFERROR(__xludf.DUMMYFUNCTION("GOOGLETRANSLATE(C436,""fr"",""en"")"),"I just declared a sinister broken ice in Maif. I had to make 7 calls and stay 3 or 4 hours with them to take care of ... What wasted time for just a window!
And each time a new interlocutor to who we must re -explain the details of the file ... It would "&amp;"take only one person who follows the file!")</f>
        <v>I just declared a sinister broken ice in Maif. I had to make 7 calls and stay 3 or 4 hours with them to take care of ... What wasted time for just a window!
And each time a new interlocutor to who we must re -explain the details of the file ... It would take only one person who follows the file!</v>
      </c>
    </row>
    <row r="437" ht="15.75" customHeight="1">
      <c r="B437" s="2" t="s">
        <v>1312</v>
      </c>
      <c r="C437" s="2" t="s">
        <v>1313</v>
      </c>
      <c r="D437" s="2" t="s">
        <v>1200</v>
      </c>
      <c r="E437" s="2" t="s">
        <v>14</v>
      </c>
      <c r="F437" s="2" t="s">
        <v>15</v>
      </c>
      <c r="G437" s="2" t="s">
        <v>1314</v>
      </c>
      <c r="H437" s="2" t="s">
        <v>72</v>
      </c>
      <c r="I437" s="2" t="str">
        <f>IFERROR(__xludf.DUMMYFUNCTION("GOOGLETRANSLATE(C437,""fr"",""en"")"),"Je.suis doubly disappointed by this insurer, to flee because everything is fine until a disaster arrives and you are so alone. I had an accident not too serious abroad and the dispatched expert declares that the vehicle is therefore impossible to ensure e"&amp;"ven if you repair your vehicle yourself. They offer me in the process a repatriation in. Aircraft by plane because the doctor declares that I am unfit to drive when I have nothing serious and offer you your carrier vehicle. I will repair my vehicle and go"&amp;" to go to lift the.ve and then change insurer. A help that liquid and just ca.")</f>
        <v>Je.suis doubly disappointed by this insurer, to flee because everything is fine until a disaster arrives and you are so alone. I had an accident not too serious abroad and the dispatched expert declares that the vehicle is therefore impossible to ensure even if you repair your vehicle yourself. They offer me in the process a repatriation in. Aircraft by plane because the doctor declares that I am unfit to drive when I have nothing serious and offer you your carrier vehicle. I will repair my vehicle and go to go to lift the.ve and then change insurer. A help that liquid and just ca.</v>
      </c>
    </row>
    <row r="438" ht="15.75" customHeight="1">
      <c r="B438" s="2" t="s">
        <v>1315</v>
      </c>
      <c r="C438" s="2" t="s">
        <v>1316</v>
      </c>
      <c r="D438" s="2" t="s">
        <v>1200</v>
      </c>
      <c r="E438" s="2" t="s">
        <v>14</v>
      </c>
      <c r="F438" s="2" t="s">
        <v>15</v>
      </c>
      <c r="G438" s="2" t="s">
        <v>1317</v>
      </c>
      <c r="H438" s="2" t="s">
        <v>72</v>
      </c>
      <c r="I438" s="2" t="str">
        <f>IFERROR(__xludf.DUMMYFUNCTION("GOOGLETRANSLATE(C438,""fr"",""en"")"),"I have been a member of MAIF for 46 years.
I assure two vehicles one having 4 years of seniority and the other being 10 years old (vam contracts and PACS according to the name of the maif) and an apartment in multi -risk housing (raqvam).
I had the mi"&amp;"sfortune to have a disaster in shared responsibility on my 10 year old car (a micro sinister whose stake was 960 € divided between me and the third party, the latter had a car even older than mine ).
Result, I saw my insurance premium leaping + 24 % th"&amp;"e following year and my bonus reduced from 0.50 to 0.54.
A member with 46 years of seniority ""will not be better treated in the event of claims: these are managed anonymously by specialized platforms"" (read on a specialized site)
I confirm that loya"&amp;"lty is not at all rewarded by the insurer.
At my charge, I must admit that I have never taken care of insurance contracts. I am in Maif because my wife is a civil servant. By peeling the MAIF contracts, I discovered that I paid around 60 % of the contr"&amp;"ibution of the year 2021. It's ubuesque!
Insurers take the money where it is (as the other would say). Consequently, the insured must do the same: do not stay more than 7 or 8 years with the same insurer and play the competition. With the so -called Ha"&amp;"mon law, we can terminate an insurance contract at any time spent the period of one year; The new insurer takes care of termination procedures for you.
I pay € 1,550 per year with three Auto and MRH contracts. A equivalent guarantees, I reduce the bill"&amp;" by almost 50 %.
The peculiarity of the MAIF consists in gargling with humanist values ​​""of militant insurer says mutualist"" ... while in fact the maif is not distinguished * absolutely not * from other insurers.
I have been a member of MAIF for 46"&amp;" years.
I assure two vehicles one having 4 years of seniority and the other having 10 years (vam contracts and PACS according to the name of the maif) and an apartment in multi -risk housing (mrh) (raqvam).
I had the misfortune to have a disaster in s"&amp;"hared liability with my 10 year old car (a micro sinister whose stake was 960 € divided between me and the third party, the latter had a car even older than mine ).
Result, I saw my insurance premium leaping + 24 % the following year and my bonus reduc"&amp;"ed from 0.50 to 0.54.
A member with 46 years of seniority ""will not be better treated in the event of claims: these are managed anonymously by specialized platforms"" (read on a specialized site)
I confirm that loyalty is not at all rewarded by the i"&amp;"nsurer.
At my charge, I must admit that I have never taken care of insurance contracts. I am in Maif because my wife is a civil servant. By peeling the MAIF contracts, I discovered that I paid in advance in 2020 about 60 % of the contribution of the ye"&amp;"ar 2021. It is ubiquitous!
Insurers take the money where it is (as the other would say). Consequently, the insured must do the same: do not stay more than 7 or 8 years with the same insurer and play the competition. With the so -called Hamon law, we ca"&amp;"n terminate an insurance contract at any time spent the period of one year; The new insurer takes care of termination procedures for you.
I pay € 1,550 per year with three Auto and MRH contracts. A equivalent guarantees, I reduce the bill by almost 50 "&amp;"%.
The peculiarity of the MAIF consists in gargling with humanist values ​​""of militant insurer says mutualist"" ... while in fact the maif is not distinguished * absolutely not * from other insurers.
")</f>
        <v>I have been a member of MAIF for 46 years.
I assure two vehicles one having 4 years of seniority and the other being 10 years old (vam contracts and PACS according to the name of the maif) and an apartment in multi -risk housing (raqvam).
I had the misfortune to have a disaster in shared responsibility on my 10 year old car (a micro sinister whose stake was 960 € divided between me and the third party, the latter had a car even older than mine ).
Result, I saw my insurance premium leaping + 24 % the following year and my bonus reduced from 0.50 to 0.54.
A member with 46 years of seniority "will not be better treated in the event of claims: these are managed anonymously by specialized platforms" (read on a specialized site)
I confirm that loyalty is not at all rewarded by the insurer.
At my charge, I must admit that I have never taken care of insurance contracts. I am in Maif because my wife is a civil servant. By peeling the MAIF contracts, I discovered that I paid around 60 % of the contribution of the year 2021. It's ubuesque!
Insurers take the money where it is (as the other would say). Consequently, the insured must do the same: do not stay more than 7 or 8 years with the same insurer and play the competition. With the so -called Hamon law, we can terminate an insurance contract at any time spent the period of one year; The new insurer takes care of termination procedures for you.
I pay € 1,550 per year with three Auto and MRH contracts. A equivalent guarantees, I reduce the bill by almost 50 %.
The peculiarity of the MAIF consists in gargling with humanist values ​​"of militant insurer says mutualist" ... while in fact the maif is not distinguished * absolutely not * from other insurers.
I have been a member of MAIF for 46 years.
I assure two vehicles one having 4 years of seniority and the other having 10 years (vam contracts and PACS according to the name of the maif) and an apartment in multi -risk housing (mrh) (raqvam).
I had the misfortune to have a disaster in shared liability with my 10 year old car (a micro sinister whose stake was 960 € divided between me and the third party, the latter had a car even older than mine ).
Result, I saw my insurance premium leaping + 24 % the following year and my bonus reduced from 0.50 to 0.54.
A member with 46 years of seniority "will not be better treated in the event of claims: these are managed anonymously by specialized platforms" (read on a specialized site)
I confirm that loyalty is not at all rewarded by the insurer.
At my charge, I must admit that I have never taken care of insurance contracts. I am in Maif because my wife is a civil servant. By peeling the MAIF contracts, I discovered that I paid in advance in 2020 about 60 % of the contribution of the year 2021. It is ubiquitous!
Insurers take the money where it is (as the other would say). Consequently, the insured must do the same: do not stay more than 7 or 8 years with the same insurer and play the competition. With the so -called Hamon law, we can terminate an insurance contract at any time spent the period of one year; The new insurer takes care of termination procedures for you.
I pay € 1,550 per year with three Auto and MRH contracts. A equivalent guarantees, I reduce the bill by almost 50 %.
The peculiarity of the MAIF consists in gargling with humanist values ​​"of militant insurer says mutualist" ... while in fact the maif is not distinguished * absolutely not * from other insurers.
</v>
      </c>
    </row>
    <row r="439" ht="15.75" customHeight="1">
      <c r="B439" s="2" t="s">
        <v>1318</v>
      </c>
      <c r="C439" s="2" t="s">
        <v>1319</v>
      </c>
      <c r="D439" s="2" t="s">
        <v>1200</v>
      </c>
      <c r="E439" s="2" t="s">
        <v>14</v>
      </c>
      <c r="F439" s="2" t="s">
        <v>15</v>
      </c>
      <c r="G439" s="2" t="s">
        <v>829</v>
      </c>
      <c r="H439" s="2" t="s">
        <v>99</v>
      </c>
      <c r="I439" s="2" t="str">
        <f>IFERROR(__xludf.DUMMYFUNCTION("GOOGLETRANSLATE(C439,""fr"",""en"")"),"Since my car accident on June 29 everything has been perfect ..... Hospital stay, repatriation to my destination, care of my car, rental of a vehicle, helps find a car by the ""club Auto "".... Patience and friendliness of the interlocutors (rare interloc"&amp;"utors !!) .... I am completely satisfied. I was also several years ago when I had to be hospitalized in Turkey .... . Return to the door of my home! Again everything was perfect and as at the time there was no need to take stock of satisfaction, I take ad"&amp;"vantage today!")</f>
        <v>Since my car accident on June 29 everything has been perfect ..... Hospital stay, repatriation to my destination, care of my car, rental of a vehicle, helps find a car by the "club Auto ".... Patience and friendliness of the interlocutors (rare interlocutors !!) .... I am completely satisfied. I was also several years ago when I had to be hospitalized in Turkey .... . Return to the door of my home! Again everything was perfect and as at the time there was no need to take stock of satisfaction, I take advantage today!</v>
      </c>
    </row>
    <row r="440" ht="15.75" customHeight="1">
      <c r="B440" s="2" t="s">
        <v>1320</v>
      </c>
      <c r="C440" s="2" t="s">
        <v>1321</v>
      </c>
      <c r="D440" s="2" t="s">
        <v>1200</v>
      </c>
      <c r="E440" s="2" t="s">
        <v>14</v>
      </c>
      <c r="F440" s="2" t="s">
        <v>15</v>
      </c>
      <c r="G440" s="2" t="s">
        <v>832</v>
      </c>
      <c r="H440" s="2" t="s">
        <v>99</v>
      </c>
      <c r="I440" s="2" t="str">
        <f>IFERROR(__xludf.DUMMYFUNCTION("GOOGLETRANSLATE(C440,""fr"",""en"")"),"From the same ilk as home insurance: costs but never a return, no advice and agents always overwhelmed (obviously only to subscribe) a shame.")</f>
        <v>From the same ilk as home insurance: costs but never a return, no advice and agents always overwhelmed (obviously only to subscribe) a shame.</v>
      </c>
    </row>
    <row r="441" ht="15.75" customHeight="1">
      <c r="B441" s="2" t="s">
        <v>1322</v>
      </c>
      <c r="C441" s="2" t="s">
        <v>1323</v>
      </c>
      <c r="D441" s="2" t="s">
        <v>1200</v>
      </c>
      <c r="E441" s="2" t="s">
        <v>14</v>
      </c>
      <c r="F441" s="2" t="s">
        <v>15</v>
      </c>
      <c r="G441" s="2" t="s">
        <v>1324</v>
      </c>
      <c r="H441" s="2" t="s">
        <v>99</v>
      </c>
      <c r="I441" s="2" t="str">
        <f>IFERROR(__xludf.DUMMYFUNCTION("GOOGLETRANSLATE(C441,""fr"",""en"")"),"Customer service worthy of the name. Easily reachable, sympathetic people, listening, who take the time to look for the best solution with you, who do not go by kicking in touch when you need them, and who do not try to sell you at all costs of additional"&amp;" services.
We have had several claims for several decades at home, and never unpleasant surprises. MAIF supports its clients during the complicated claims of claims, without putting pressure and assuming its responsibilities as an insurer. And that's wha"&amp;"t we recognize a good insurer.
Refunds are honest in the event of a claim and affordable prices.
In addition, Maif focuses on what she knows how to do and does not hesitate to tell you if they are less competent on a subject (I have all my contracts at "&amp;"home except my motorcycle because they admitted that they managed The worse, the ""big"" American motorcycles.
Likewise for a professional contract I had asked for.
It is therefore all their honor and rather a guarantee of integrity.")</f>
        <v>Customer service worthy of the name. Easily reachable, sympathetic people, listening, who take the time to look for the best solution with you, who do not go by kicking in touch when you need them, and who do not try to sell you at all costs of additional services.
We have had several claims for several decades at home, and never unpleasant surprises. MAIF supports its clients during the complicated claims of claims, without putting pressure and assuming its responsibilities as an insurer. And that's what we recognize a good insurer.
Refunds are honest in the event of a claim and affordable prices.
In addition, Maif focuses on what she knows how to do and does not hesitate to tell you if they are less competent on a subject (I have all my contracts at home except my motorcycle because they admitted that they managed The worse, the "big" American motorcycles.
Likewise for a professional contract I had asked for.
It is therefore all their honor and rather a guarantee of integrity.</v>
      </c>
    </row>
    <row r="442" ht="15.75" customHeight="1">
      <c r="B442" s="2" t="s">
        <v>1325</v>
      </c>
      <c r="C442" s="2" t="s">
        <v>1326</v>
      </c>
      <c r="D442" s="2" t="s">
        <v>1200</v>
      </c>
      <c r="E442" s="2" t="s">
        <v>14</v>
      </c>
      <c r="F442" s="2" t="s">
        <v>15</v>
      </c>
      <c r="G442" s="2" t="s">
        <v>102</v>
      </c>
      <c r="H442" s="2" t="s">
        <v>99</v>
      </c>
      <c r="I442" s="2" t="str">
        <f>IFERROR(__xludf.DUMMYFUNCTION("GOOGLETRANSLATE(C442,""fr"",""en"")"),"Will not advise this insurance which modifies during the contract and without amendment its conditions of care")</f>
        <v>Will not advise this insurance which modifies during the contract and without amendment its conditions of care</v>
      </c>
    </row>
    <row r="443" ht="15.75" customHeight="1">
      <c r="B443" s="2" t="s">
        <v>1327</v>
      </c>
      <c r="C443" s="2" t="s">
        <v>1328</v>
      </c>
      <c r="D443" s="2" t="s">
        <v>1200</v>
      </c>
      <c r="E443" s="2" t="s">
        <v>14</v>
      </c>
      <c r="F443" s="2" t="s">
        <v>15</v>
      </c>
      <c r="G443" s="2" t="s">
        <v>446</v>
      </c>
      <c r="H443" s="2" t="s">
        <v>99</v>
      </c>
      <c r="I443" s="2" t="str">
        <f>IFERROR(__xludf.DUMMYFUNCTION("GOOGLETRANSLATE(C443,""fr"",""en"")"),"An accident where I am not in wrong, a vehicle which undergoes aesthetic damage and which is deemed economically irreparable. An expert report that was not sent to me despite my request.
Contradictory information on the phone, I was even hung up on the n"&amp;"ose when the advisor told me that I was entitled to a warranty ... The height, the Maif advisor says too much and then hang up, I specify that I Always remain polite and correct with my interlocutors.
At least 20 times we insist that I give up my vehicle"&amp;" ... (3 bumps on the back)
What about maif advertising repair plûtot what to throw away?
")</f>
        <v>An accident where I am not in wrong, a vehicle which undergoes aesthetic damage and which is deemed economically irreparable. An expert report that was not sent to me despite my request.
Contradictory information on the phone, I was even hung up on the nose when the advisor told me that I was entitled to a warranty ... The height, the Maif advisor says too much and then hang up, I specify that I Always remain polite and correct with my interlocutors.
At least 20 times we insist that I give up my vehicle ... (3 bumps on the back)
What about maif advertising repair plûtot what to throw away?
</v>
      </c>
    </row>
    <row r="444" ht="15.75" customHeight="1">
      <c r="B444" s="2" t="s">
        <v>1329</v>
      </c>
      <c r="C444" s="2" t="s">
        <v>1330</v>
      </c>
      <c r="D444" s="2" t="s">
        <v>1200</v>
      </c>
      <c r="E444" s="2" t="s">
        <v>14</v>
      </c>
      <c r="F444" s="2" t="s">
        <v>15</v>
      </c>
      <c r="G444" s="2" t="s">
        <v>1331</v>
      </c>
      <c r="H444" s="2" t="s">
        <v>119</v>
      </c>
      <c r="I444" s="2" t="str">
        <f>IFERROR(__xludf.DUMMYFUNCTION("GOOGLETRANSLATE(C444,""fr"",""en"")"),"Very bad insurance. It is blurred on technical help near the house. It's bad if you have a health problem abroad and you cannot drive. Assistance in Italy is appalling. The towing is random. There is no follow -up of the files. In case of medical help the"&amp;"re is no follow -up. It is a telephone platform. They make people make. And these are secretaries who ask you medical questions in the event of assistance. No contact with doctors. The rare doctors repeat to the hospital by yourself and refuse to get insu"&amp;"rance medical assistance you must recall more than 20 times to have medical assistance.")</f>
        <v>Very bad insurance. It is blurred on technical help near the house. It's bad if you have a health problem abroad and you cannot drive. Assistance in Italy is appalling. The towing is random. There is no follow -up of the files. In case of medical help there is no follow -up. It is a telephone platform. They make people make. And these are secretaries who ask you medical questions in the event of assistance. No contact with doctors. The rare doctors repeat to the hospital by yourself and refuse to get insurance medical assistance you must recall more than 20 times to have medical assistance.</v>
      </c>
    </row>
    <row r="445" ht="15.75" customHeight="1">
      <c r="B445" s="2" t="s">
        <v>1332</v>
      </c>
      <c r="C445" s="2" t="s">
        <v>1333</v>
      </c>
      <c r="D445" s="2" t="s">
        <v>1200</v>
      </c>
      <c r="E445" s="2" t="s">
        <v>14</v>
      </c>
      <c r="F445" s="2" t="s">
        <v>15</v>
      </c>
      <c r="G445" s="2" t="s">
        <v>1334</v>
      </c>
      <c r="H445" s="2" t="s">
        <v>119</v>
      </c>
      <c r="I445" s="2" t="str">
        <f>IFERROR(__xludf.DUMMYFUNCTION("GOOGLETRANSLATE(C445,""fr"",""en"")"),"Relational excellence")</f>
        <v>Relational excellence</v>
      </c>
    </row>
    <row r="446" ht="15.75" customHeight="1">
      <c r="B446" s="2" t="s">
        <v>1335</v>
      </c>
      <c r="C446" s="2" t="s">
        <v>1336</v>
      </c>
      <c r="D446" s="2" t="s">
        <v>1200</v>
      </c>
      <c r="E446" s="2" t="s">
        <v>14</v>
      </c>
      <c r="F446" s="2" t="s">
        <v>15</v>
      </c>
      <c r="G446" s="2" t="s">
        <v>158</v>
      </c>
      <c r="H446" s="2" t="s">
        <v>149</v>
      </c>
      <c r="I446" s="2" t="str">
        <f>IFERROR(__xludf.DUMMYFUNCTION("GOOGLETRANSLATE(C446,""fr"",""en"")"),"Following a car accident on 01/17, the first experience in the management of a disaster which unfortunately leaves something to be desired.
A report by the expert with an obvious underestimation of the value of the vehicle (and without any justification,"&amp;" that is comparable announcements). Multiple reminders without return to date. It is therefore the insured who battles for a fair treatment of the file, and the insurance that she drags ... disappointing! Both in customer relations and in the legitimate e"&amp;"xpectation of compensation just in the event of a claim.")</f>
        <v>Following a car accident on 01/17, the first experience in the management of a disaster which unfortunately leaves something to be desired.
A report by the expert with an obvious underestimation of the value of the vehicle (and without any justification, that is comparable announcements). Multiple reminders without return to date. It is therefore the insured who battles for a fair treatment of the file, and the insurance that she drags ... disappointing! Both in customer relations and in the legitimate expectation of compensation just in the event of a claim.</v>
      </c>
    </row>
    <row r="447" ht="15.75" customHeight="1">
      <c r="B447" s="2" t="s">
        <v>1337</v>
      </c>
      <c r="C447" s="2" t="s">
        <v>1338</v>
      </c>
      <c r="D447" s="2" t="s">
        <v>1200</v>
      </c>
      <c r="E447" s="2" t="s">
        <v>14</v>
      </c>
      <c r="F447" s="2" t="s">
        <v>15</v>
      </c>
      <c r="G447" s="2" t="s">
        <v>1339</v>
      </c>
      <c r="H447" s="2" t="s">
        <v>149</v>
      </c>
      <c r="I447" s="2" t="str">
        <f>IFERROR(__xludf.DUMMYFUNCTION("GOOGLETRANSLATE(C447,""fr"",""en"")"),"My car had to go through before February 2, 2020 you cut me many times in such or not answered for the removal of this clio a Evreux 27000")</f>
        <v>My car had to go through before February 2, 2020 you cut me many times in such or not answered for the removal of this clio a Evreux 27000</v>
      </c>
    </row>
    <row r="448" ht="15.75" customHeight="1">
      <c r="B448" s="2" t="s">
        <v>1340</v>
      </c>
      <c r="C448" s="2" t="s">
        <v>1341</v>
      </c>
      <c r="D448" s="2" t="s">
        <v>1200</v>
      </c>
      <c r="E448" s="2" t="s">
        <v>14</v>
      </c>
      <c r="F448" s="2" t="s">
        <v>15</v>
      </c>
      <c r="G448" s="2" t="s">
        <v>1342</v>
      </c>
      <c r="H448" s="2" t="s">
        <v>165</v>
      </c>
      <c r="I448" s="2" t="str">
        <f>IFERROR(__xludf.DUMMYFUNCTION("GOOGLETRANSLATE(C448,""fr"",""en"")"),"Very good services. Very good cover. Never had any concern with this insurance. Always good reactions. But all of this is expensive compared to others.")</f>
        <v>Very good services. Very good cover. Never had any concern with this insurance. Always good reactions. But all of this is expensive compared to others.</v>
      </c>
    </row>
    <row r="449" ht="15.75" customHeight="1">
      <c r="B449" s="2" t="s">
        <v>1343</v>
      </c>
      <c r="C449" s="2" t="s">
        <v>1344</v>
      </c>
      <c r="D449" s="2" t="s">
        <v>1200</v>
      </c>
      <c r="E449" s="2" t="s">
        <v>14</v>
      </c>
      <c r="F449" s="2" t="s">
        <v>15</v>
      </c>
      <c r="G449" s="2" t="s">
        <v>1345</v>
      </c>
      <c r="H449" s="2" t="s">
        <v>165</v>
      </c>
      <c r="I449" s="2" t="str">
        <f>IFERROR(__xludf.DUMMYFUNCTION("GOOGLETRANSLATE(C449,""fr"",""en"")"),"I was struck off too than 10 years ago without any particular reason mentioned, I did not leave ""slate"" today I even find out after more than 10 years I still can't m 'Ensure at home - I think about the public prosecutor to make a complaint and have rea"&amp;"sons for this ""filing""")</f>
        <v>I was struck off too than 10 years ago without any particular reason mentioned, I did not leave "slate" today I even find out after more than 10 years I still can't m 'Ensure at home - I think about the public prosecutor to make a complaint and have reasons for this "filing"</v>
      </c>
    </row>
    <row r="450" ht="15.75" customHeight="1">
      <c r="B450" s="2" t="s">
        <v>1346</v>
      </c>
      <c r="C450" s="2" t="s">
        <v>1347</v>
      </c>
      <c r="D450" s="2" t="s">
        <v>1200</v>
      </c>
      <c r="E450" s="2" t="s">
        <v>14</v>
      </c>
      <c r="F450" s="2" t="s">
        <v>15</v>
      </c>
      <c r="G450" s="2" t="s">
        <v>1345</v>
      </c>
      <c r="H450" s="2" t="s">
        <v>165</v>
      </c>
      <c r="I450" s="2" t="str">
        <f>IFERROR(__xludf.DUMMYFUNCTION("GOOGLETRANSLATE(C450,""fr"",""en"")"),"I had a super responsive car accident (the third and 100% responsible). 10 days later I had received the transfer of my reimbursement from the vehicle (following the very fast passage of Lexpert)")</f>
        <v>I had a super responsive car accident (the third and 100% responsible). 10 days later I had received the transfer of my reimbursement from the vehicle (following the very fast passage of Lexpert)</v>
      </c>
    </row>
    <row r="451" ht="15.75" customHeight="1">
      <c r="B451" s="2" t="s">
        <v>1348</v>
      </c>
      <c r="C451" s="2" t="s">
        <v>1349</v>
      </c>
      <c r="D451" s="2" t="s">
        <v>1200</v>
      </c>
      <c r="E451" s="2" t="s">
        <v>14</v>
      </c>
      <c r="F451" s="2" t="s">
        <v>15</v>
      </c>
      <c r="G451" s="2" t="s">
        <v>1350</v>
      </c>
      <c r="H451" s="2" t="s">
        <v>165</v>
      </c>
      <c r="I451" s="2" t="str">
        <f>IFERROR(__xludf.DUMMYFUNCTION("GOOGLETRANSLATE(C451,""fr"",""en"")"),"Exceptional quality of service. Quickly obtained interlocutors which are really attentive. We easily realize that they are not obsessed with a search for profitability but by a real insurance mission at the service of members.")</f>
        <v>Exceptional quality of service. Quickly obtained interlocutors which are really attentive. We easily realize that they are not obsessed with a search for profitability but by a real insurance mission at the service of members.</v>
      </c>
    </row>
    <row r="452" ht="15.75" customHeight="1">
      <c r="B452" s="2" t="s">
        <v>1351</v>
      </c>
      <c r="C452" s="2" t="s">
        <v>1352</v>
      </c>
      <c r="D452" s="2" t="s">
        <v>1200</v>
      </c>
      <c r="E452" s="2" t="s">
        <v>14</v>
      </c>
      <c r="F452" s="2" t="s">
        <v>15</v>
      </c>
      <c r="G452" s="2" t="s">
        <v>1353</v>
      </c>
      <c r="H452" s="2" t="s">
        <v>175</v>
      </c>
      <c r="I452" s="2" t="str">
        <f>IFERROR(__xludf.DUMMYFUNCTION("GOOGLETRANSLATE(C452,""fr"",""en"")"),"After more than 20 years of car insurance without any accident, it was enough for 2 non -responsible accidents to be terminated ... of all my contracts !!! Even the home contract! Now the beak in water, always with an in progress in progress concerning th"&amp;"e general conditions which are not applied. No one comments or discuss the questions asked. The only answer received, the termination for ""alteration of the commercial relationship"" !!!! Conclusion: Pay and shut up, if not outside !!")</f>
        <v>After more than 20 years of car insurance without any accident, it was enough for 2 non -responsible accidents to be terminated ... of all my contracts !!! Even the home contract! Now the beak in water, always with an in progress in progress concerning the general conditions which are not applied. No one comments or discuss the questions asked. The only answer received, the termination for "alteration of the commercial relationship" !!!! Conclusion: Pay and shut up, if not outside !!</v>
      </c>
    </row>
    <row r="453" ht="15.75" customHeight="1">
      <c r="B453" s="2" t="s">
        <v>1354</v>
      </c>
      <c r="C453" s="2" t="s">
        <v>1355</v>
      </c>
      <c r="D453" s="2" t="s">
        <v>1200</v>
      </c>
      <c r="E453" s="2" t="s">
        <v>14</v>
      </c>
      <c r="F453" s="2" t="s">
        <v>15</v>
      </c>
      <c r="G453" s="2" t="s">
        <v>1356</v>
      </c>
      <c r="H453" s="2" t="s">
        <v>175</v>
      </c>
      <c r="I453" s="2" t="str">
        <f>IFERROR(__xludf.DUMMYFUNCTION("GOOGLETRANSLATE(C453,""fr"",""en"")"),"insurance to recommend
reasonable price
Mutualist policy actually applied
Quick payment for our small water damage
No surprise for our disputed car accident in a roundabout
To advice
It must also be said when this is good")</f>
        <v>insurance to recommend
reasonable price
Mutualist policy actually applied
Quick payment for our small water damage
No surprise for our disputed car accident in a roundabout
To advice
It must also be said when this is good</v>
      </c>
    </row>
    <row r="454" ht="15.75" customHeight="1">
      <c r="B454" s="2" t="s">
        <v>1357</v>
      </c>
      <c r="C454" s="2" t="s">
        <v>1358</v>
      </c>
      <c r="D454" s="2" t="s">
        <v>1200</v>
      </c>
      <c r="E454" s="2" t="s">
        <v>14</v>
      </c>
      <c r="F454" s="2" t="s">
        <v>15</v>
      </c>
      <c r="G454" s="2" t="s">
        <v>870</v>
      </c>
      <c r="H454" s="2" t="s">
        <v>175</v>
      </c>
      <c r="I454" s="2" t="str">
        <f>IFERROR(__xludf.DUMMYFUNCTION("GOOGLETRANSLATE(C454,""fr"",""en"")"),"A claim on my car ago 6 me
Mail and calls remain unanswered
Yet the interlocutors say they follow my file, will keep informed what they never result in almost 5000 euros to be paid to my mechanic and they do not compensate me
 I had to assume the costs"&amp;" not covered due to an expert who did not move to see my car and took the information on the advice of the mechanic in concession
 I am 50% bonus no claim in wrong amount of my subscription more than 800 euros
 Really services that have become shame no "&amp;"care in their offices to help")</f>
        <v>A claim on my car ago 6 me
Mail and calls remain unanswered
Yet the interlocutors say they follow my file, will keep informed what they never result in almost 5000 euros to be paid to my mechanic and they do not compensate me
 I had to assume the costs not covered due to an expert who did not move to see my car and took the information on the advice of the mechanic in concession
 I am 50% bonus no claim in wrong amount of my subscription more than 800 euros
 Really services that have become shame no care in their offices to help</v>
      </c>
    </row>
    <row r="455" ht="15.75" customHeight="1">
      <c r="B455" s="2" t="s">
        <v>1359</v>
      </c>
      <c r="C455" s="2" t="s">
        <v>1360</v>
      </c>
      <c r="D455" s="2" t="s">
        <v>1200</v>
      </c>
      <c r="E455" s="2" t="s">
        <v>14</v>
      </c>
      <c r="F455" s="2" t="s">
        <v>15</v>
      </c>
      <c r="G455" s="2" t="s">
        <v>1361</v>
      </c>
      <c r="H455" s="2" t="s">
        <v>175</v>
      </c>
      <c r="I455" s="2" t="str">
        <f>IFERROR(__xludf.DUMMYFUNCTION("GOOGLETRANSLATE(C455,""fr"",""en"")"),"The insurer was militant, he is no longer. Commercial services on the phone on the phone, and galleys in back with slow files of considerable files.")</f>
        <v>The insurer was militant, he is no longer. Commercial services on the phone on the phone, and galleys in back with slow files of considerable files.</v>
      </c>
    </row>
    <row r="456" ht="15.75" customHeight="1">
      <c r="B456" s="2" t="s">
        <v>1362</v>
      </c>
      <c r="C456" s="2" t="s">
        <v>1363</v>
      </c>
      <c r="D456" s="2" t="s">
        <v>1200</v>
      </c>
      <c r="E456" s="2" t="s">
        <v>14</v>
      </c>
      <c r="F456" s="2" t="s">
        <v>15</v>
      </c>
      <c r="G456" s="2" t="s">
        <v>1364</v>
      </c>
      <c r="H456" s="2" t="s">
        <v>175</v>
      </c>
      <c r="I456" s="2" t="str">
        <f>IFERROR(__xludf.DUMMYFUNCTION("GOOGLETRANSLATE(C456,""fr"",""en"")"),"Unhappy with the militant insurer Maif who does not indicate on the end -of -year paper maturity notice paid, sometimes deciduous options, which are, on the other hand on the MAIF connected space.")</f>
        <v>Unhappy with the militant insurer Maif who does not indicate on the end -of -year paper maturity notice paid, sometimes deciduous options, which are, on the other hand on the MAIF connected space.</v>
      </c>
    </row>
    <row r="457" ht="15.75" customHeight="1">
      <c r="B457" s="2" t="s">
        <v>1365</v>
      </c>
      <c r="C457" s="2" t="s">
        <v>1366</v>
      </c>
      <c r="D457" s="2" t="s">
        <v>1200</v>
      </c>
      <c r="E457" s="2" t="s">
        <v>14</v>
      </c>
      <c r="F457" s="2" t="s">
        <v>15</v>
      </c>
      <c r="G457" s="2" t="s">
        <v>1367</v>
      </c>
      <c r="H457" s="2" t="s">
        <v>179</v>
      </c>
      <c r="I457" s="2" t="str">
        <f>IFERROR(__xludf.DUMMYFUNCTION("GOOGLETRANSLATE(C457,""fr"",""en"")"),"Bof, I am not very satisfied with Maif.
In the end, I pay dearly my car insurance with them (I just redone a car comparison), and they could not advise me during the only accident I had since I was insured at home ... That , I will not forget it.")</f>
        <v>Bof, I am not very satisfied with Maif.
In the end, I pay dearly my car insurance with them (I just redone a car comparison), and they could not advise me during the only accident I had since I was insured at home ... That , I will not forget it.</v>
      </c>
    </row>
    <row r="458" ht="15.75" customHeight="1">
      <c r="B458" s="2" t="s">
        <v>1368</v>
      </c>
      <c r="C458" s="2" t="s">
        <v>1369</v>
      </c>
      <c r="D458" s="2" t="s">
        <v>1200</v>
      </c>
      <c r="E458" s="2" t="s">
        <v>14</v>
      </c>
      <c r="F458" s="2" t="s">
        <v>15</v>
      </c>
      <c r="G458" s="2" t="s">
        <v>185</v>
      </c>
      <c r="H458" s="2" t="s">
        <v>179</v>
      </c>
      <c r="I458" s="2" t="str">
        <f>IFERROR(__xludf.DUMMYFUNCTION("GOOGLETRANSLATE(C458,""fr"",""en"")"),"TO FLEE ! Being a member of several contracts, I receive myself today a letter for termination of contracts. I contacted it to know the reason, their answer: we do not have to give you reason. But what a lack of professionalism !!
Do not get you like me,"&amp;" they subscribe to various contracts with option but as soon as they judge that you cost them a little money they do not hesitate to give you off")</f>
        <v>TO FLEE ! Being a member of several contracts, I receive myself today a letter for termination of contracts. I contacted it to know the reason, their answer: we do not have to give you reason. But what a lack of professionalism !!
Do not get you like me, they subscribe to various contracts with option but as soon as they judge that you cost them a little money they do not hesitate to give you off</v>
      </c>
    </row>
    <row r="459" ht="15.75" customHeight="1">
      <c r="B459" s="2" t="s">
        <v>1370</v>
      </c>
      <c r="C459" s="2" t="s">
        <v>1371</v>
      </c>
      <c r="D459" s="2" t="s">
        <v>1200</v>
      </c>
      <c r="E459" s="2" t="s">
        <v>14</v>
      </c>
      <c r="F459" s="2" t="s">
        <v>15</v>
      </c>
      <c r="G459" s="2" t="s">
        <v>1372</v>
      </c>
      <c r="H459" s="2" t="s">
        <v>189</v>
      </c>
      <c r="I459" s="2" t="str">
        <f>IFERROR(__xludf.DUMMYFUNCTION("GOOGLETRANSLATE(C459,""fr"",""en"")"),"Client for many years without particular problems, he turns out that today I am very unhappy with the ""services and advice"" of this insurer. Indeed, my young driver acquired a fairly recent vehicle and asked my insurer a ""reasonable"" quote for a young"&amp;" driver without specifying anything in particular. By bad luck, a few days later he was caught in a pileup and his well damaged vehicle. I therefore transmit an observation and to my surprise this vehicle is only assured at third party. I therefore call m"&amp;"y broker who says he cannot do anything for me the contract being signed. Possibly make a letter ...... is the advice? How can you not ensure a youth driver vehicle all risks? In summary no advice, no information on the quote, at no time was it specified "&amp;"to me this quote does not cover damage to the vehicle. Particularly when this vehicle has a certain value !!!!!!! very decided by an insurer near its customers, listens, and militant .......")</f>
        <v>Client for many years without particular problems, he turns out that today I am very unhappy with the "services and advice" of this insurer. Indeed, my young driver acquired a fairly recent vehicle and asked my insurer a "reasonable" quote for a young driver without specifying anything in particular. By bad luck, a few days later he was caught in a pileup and his well damaged vehicle. I therefore transmit an observation and to my surprise this vehicle is only assured at third party. I therefore call my broker who says he cannot do anything for me the contract being signed. Possibly make a letter ...... is the advice? How can you not ensure a youth driver vehicle all risks? In summary no advice, no information on the quote, at no time was it specified to me this quote does not cover damage to the vehicle. Particularly when this vehicle has a certain value !!!!!!! very decided by an insurer near its customers, listens, and militant .......</v>
      </c>
    </row>
    <row r="460" ht="15.75" customHeight="1">
      <c r="B460" s="2" t="s">
        <v>1373</v>
      </c>
      <c r="C460" s="2" t="s">
        <v>1374</v>
      </c>
      <c r="D460" s="2" t="s">
        <v>1200</v>
      </c>
      <c r="E460" s="2" t="s">
        <v>14</v>
      </c>
      <c r="F460" s="2" t="s">
        <v>15</v>
      </c>
      <c r="G460" s="2" t="s">
        <v>1375</v>
      </c>
      <c r="H460" s="2" t="s">
        <v>189</v>
      </c>
      <c r="I460" s="2" t="str">
        <f>IFERROR(__xludf.DUMMYFUNCTION("GOOGLETRANSLATE(C460,""fr"",""en"")"),"MAIF is expensive compared to two quotes requested from the GMF and the MAAF
The militant insurer has become insurance like the others but more expensive. The members have lost control of their association, it is enough to see the debauchery of Filia Mai"&amp;", the comm 'Télé etla platform of Niort which crushes the local offices")</f>
        <v>MAIF is expensive compared to two quotes requested from the GMF and the MAAF
The militant insurer has become insurance like the others but more expensive. The members have lost control of their association, it is enough to see the debauchery of Filia Mai, the comm 'Télé etla platform of Niort which crushes the local offices</v>
      </c>
    </row>
    <row r="461" ht="15.75" customHeight="1">
      <c r="B461" s="2" t="s">
        <v>1376</v>
      </c>
      <c r="C461" s="2" t="s">
        <v>1377</v>
      </c>
      <c r="D461" s="2" t="s">
        <v>1200</v>
      </c>
      <c r="E461" s="2" t="s">
        <v>14</v>
      </c>
      <c r="F461" s="2" t="s">
        <v>15</v>
      </c>
      <c r="G461" s="2" t="s">
        <v>1378</v>
      </c>
      <c r="H461" s="2" t="s">
        <v>189</v>
      </c>
      <c r="I461" s="2" t="str">
        <f>IFERROR(__xludf.DUMMYFUNCTION("GOOGLETRANSLATE(C461,""fr"",""en"")"),"After termination of my vehicle's insurance, the MAIF does not want to reimburse me too much")</f>
        <v>After termination of my vehicle's insurance, the MAIF does not want to reimburse me too much</v>
      </c>
    </row>
    <row r="462" ht="15.75" customHeight="1">
      <c r="B462" s="2" t="s">
        <v>1379</v>
      </c>
      <c r="C462" s="2" t="s">
        <v>1380</v>
      </c>
      <c r="D462" s="2" t="s">
        <v>1200</v>
      </c>
      <c r="E462" s="2" t="s">
        <v>14</v>
      </c>
      <c r="F462" s="2" t="s">
        <v>15</v>
      </c>
      <c r="G462" s="2" t="s">
        <v>1381</v>
      </c>
      <c r="H462" s="2" t="s">
        <v>189</v>
      </c>
      <c r="I462" s="2" t="str">
        <f>IFERROR(__xludf.DUMMYFUNCTION("GOOGLETRANSLATE(C462,""fr"",""en"")"),"On several occasions, customer service is unpleasant and contradicts.")</f>
        <v>On several occasions, customer service is unpleasant and contradicts.</v>
      </c>
    </row>
    <row r="463" ht="15.75" customHeight="1">
      <c r="B463" s="2" t="s">
        <v>1382</v>
      </c>
      <c r="C463" s="2" t="s">
        <v>1383</v>
      </c>
      <c r="D463" s="2" t="s">
        <v>1200</v>
      </c>
      <c r="E463" s="2" t="s">
        <v>14</v>
      </c>
      <c r="F463" s="2" t="s">
        <v>15</v>
      </c>
      <c r="G463" s="2" t="s">
        <v>1384</v>
      </c>
      <c r="H463" s="2" t="s">
        <v>193</v>
      </c>
      <c r="I463" s="2" t="str">
        <f>IFERROR(__xludf.DUMMYFUNCTION("GOOGLETRANSLATE(C463,""fr"",""en"")"),"No follow -up in the event of life concerns during an accident. with no one assures .. very disappointed after 10 years of contract. Obliged to incur reparation costs if not deductible to pay time to validate the fact that the person is assured. It is not"&amp;" worthy of a good insurer. As long as we pay and no claim comes everything is fine but when the situation changes it is no longer the same ...
")</f>
        <v>No follow -up in the event of life concerns during an accident. with no one assures .. very disappointed after 10 years of contract. Obliged to incur reparation costs if not deductible to pay time to validate the fact that the person is assured. It is not worthy of a good insurer. As long as we pay and no claim comes everything is fine but when the situation changes it is no longer the same ...
</v>
      </c>
    </row>
    <row r="464" ht="15.75" customHeight="1">
      <c r="B464" s="2" t="s">
        <v>1385</v>
      </c>
      <c r="C464" s="2" t="s">
        <v>1386</v>
      </c>
      <c r="D464" s="2" t="s">
        <v>1200</v>
      </c>
      <c r="E464" s="2" t="s">
        <v>14</v>
      </c>
      <c r="F464" s="2" t="s">
        <v>15</v>
      </c>
      <c r="G464" s="2" t="s">
        <v>200</v>
      </c>
      <c r="H464" s="2" t="s">
        <v>197</v>
      </c>
      <c r="I464" s="2" t="str">
        <f>IFERROR(__xludf.DUMMYFUNCTION("GOOGLETRANSLATE(C464,""fr"",""en"")"),"I am very unhappy with this insurer! A star would be too good for evaluated them. I have been waiting for more than a year of a return from the MAIF concerning many poor workmanships made on my vehicle by a MAIF approved garage! After several recovery fro"&amp;"m me I have no news to date! For information, the accident dates from September 2016! It is unacceptable ! Water infiltrates my car which leads to mold from my seats! ACC of my vehicle no longer works from repairs. I specify that ACC manages all the safet"&amp;"y organs of the car!
In short, really very unhappy! I am assured of any risk and yet it is useless!")</f>
        <v>I am very unhappy with this insurer! A star would be too good for evaluated them. I have been waiting for more than a year of a return from the MAIF concerning many poor workmanships made on my vehicle by a MAIF approved garage! After several recovery from me I have no news to date! For information, the accident dates from September 2016! It is unacceptable ! Water infiltrates my car which leads to mold from my seats! ACC of my vehicle no longer works from repairs. I specify that ACC manages all the safety organs of the car!
In short, really very unhappy! I am assured of any risk and yet it is useless!</v>
      </c>
    </row>
    <row r="465" ht="15.75" customHeight="1">
      <c r="B465" s="2" t="s">
        <v>1387</v>
      </c>
      <c r="C465" s="2" t="s">
        <v>1388</v>
      </c>
      <c r="D465" s="2" t="s">
        <v>1200</v>
      </c>
      <c r="E465" s="2" t="s">
        <v>14</v>
      </c>
      <c r="F465" s="2" t="s">
        <v>15</v>
      </c>
      <c r="G465" s="2" t="s">
        <v>1389</v>
      </c>
      <c r="H465" s="2" t="s">
        <v>197</v>
      </c>
      <c r="I465" s="2" t="str">
        <f>IFERROR(__xludf.DUMMYFUNCTION("GOOGLETRANSLATE(C465,""fr"",""en"")"),"Very long -standing client of the MAIF, I was so far very satisfied with their services and was advertising around me on occasion.
However, following an accident which I was the victim last December (so soon 8 months ago!), I had no expertise, no care or"&amp;" proposed solution. However, it was an accident for which I was not responsible since I was struck at a stop by a vehicle which fled. I filed a complaint and there was a witness). No news from Maif since January and when it is impossible to contact the pe"&amp;"rson in charge of the file that does not remind me. And I will have to pass the technical control of my vehicle soon ....
It's scandalous!!!")</f>
        <v>Very long -standing client of the MAIF, I was so far very satisfied with their services and was advertising around me on occasion.
However, following an accident which I was the victim last December (so soon 8 months ago!), I had no expertise, no care or proposed solution. However, it was an accident for which I was not responsible since I was struck at a stop by a vehicle which fled. I filed a complaint and there was a witness). No news from Maif since January and when it is impossible to contact the person in charge of the file that does not remind me. And I will have to pass the technical control of my vehicle soon ....
It's scandalous!!!</v>
      </c>
    </row>
    <row r="466" ht="15.75" customHeight="1">
      <c r="B466" s="2" t="s">
        <v>1390</v>
      </c>
      <c r="C466" s="2" t="s">
        <v>1391</v>
      </c>
      <c r="D466" s="2" t="s">
        <v>1200</v>
      </c>
      <c r="E466" s="2" t="s">
        <v>14</v>
      </c>
      <c r="F466" s="2" t="s">
        <v>15</v>
      </c>
      <c r="G466" s="2" t="s">
        <v>488</v>
      </c>
      <c r="H466" s="2" t="s">
        <v>210</v>
      </c>
      <c r="I466" s="2" t="str">
        <f>IFERROR(__xludf.DUMMYFUNCTION("GOOGLETRANSLATE(C466,""fr"",""en"")"),"One morning I find my vehicle damaged in front of my house
A very small damage I want to report on a new car
I go to the garage the expert passes and says that the damage does not correspond to the declaration
I am assured of all risks and therefore I "&amp;"declare what it happened neither more nor less
A few days later without news, I contacted the sinister service which is in Bordeaux and the height the advisor calls me to have made a false statement are not the terms that the person has used but I cannot"&amp;" write them on the site I therefore reserve the right to file a defamation complaint against this person
A member who pays it is contributions without any delay and who has a 50 bonus for years
Other insurers agree to recover bad customers like me
I "&amp;"have 4 contracts that I have terminated because today I no longer have confidence in these so -called insurer
I tell myself that if I have a water damage or a fire in my house I will not be insured
Insured for over 5 years I can leave this insurance at "&amp;"any time with 1 month notice
For future insured persons the maif is to be avoided at all costs
I see that on the forums there are a lot of disaster repayment problems with this insurer")</f>
        <v>One morning I find my vehicle damaged in front of my house
A very small damage I want to report on a new car
I go to the garage the expert passes and says that the damage does not correspond to the declaration
I am assured of all risks and therefore I declare what it happened neither more nor less
A few days later without news, I contacted the sinister service which is in Bordeaux and the height the advisor calls me to have made a false statement are not the terms that the person has used but I cannot write them on the site I therefore reserve the right to file a defamation complaint against this person
A member who pays it is contributions without any delay and who has a 50 bonus for years
Other insurers agree to recover bad customers like me
I have 4 contracts that I have terminated because today I no longer have confidence in these so -called insurer
I tell myself that if I have a water damage or a fire in my house I will not be insured
Insured for over 5 years I can leave this insurance at any time with 1 month notice
For future insured persons the maif is to be avoided at all costs
I see that on the forums there are a lot of disaster repayment problems with this insurer</v>
      </c>
    </row>
    <row r="467" ht="15.75" customHeight="1">
      <c r="B467" s="2" t="s">
        <v>1392</v>
      </c>
      <c r="C467" s="2" t="s">
        <v>1393</v>
      </c>
      <c r="D467" s="2" t="s">
        <v>1200</v>
      </c>
      <c r="E467" s="2" t="s">
        <v>14</v>
      </c>
      <c r="F467" s="2" t="s">
        <v>15</v>
      </c>
      <c r="G467" s="2" t="s">
        <v>1394</v>
      </c>
      <c r="H467" s="2" t="s">
        <v>210</v>
      </c>
      <c r="I467" s="2" t="str">
        <f>IFERROR(__xludf.DUMMYFUNCTION("GOOGLETRANSLATE(C467,""fr"",""en"")"),"Hello,
I was the victim of the flight of my vehicle on June 26.
I have been in Maif for over 10 years, for car insurance, ect housing.
My recent car was insured any risk and the MAIF offered me a replacement car while waiting.
I had this car 20 days a"&amp;"s stipulated in the contract.
However, I still haven't received the expert's opinion and therefore I am not yet compensated.
After several phone calls at the Maif, they answer me that after an error on their part, I can have the replacement car 27 days "&amp;"... I'm lucky.
It is impossible to negotiate a replacement vehicle until compensation. Despite my seniority, despite the hundred euros that gives them every month to be insured in the event of a problem. In 6 days I am on foot, public transport is not "&amp;"very present and I need a vehicle to taviller, shop, go get my son ...
I did not think that activism was to leave people in need.
I do not thank you and think of changing insurer if no solution is found ...")</f>
        <v>Hello,
I was the victim of the flight of my vehicle on June 26.
I have been in Maif for over 10 years, for car insurance, ect housing.
My recent car was insured any risk and the MAIF offered me a replacement car while waiting.
I had this car 20 days as stipulated in the contract.
However, I still haven't received the expert's opinion and therefore I am not yet compensated.
After several phone calls at the Maif, they answer me that after an error on their part, I can have the replacement car 27 days ... I'm lucky.
It is impossible to negotiate a replacement vehicle until compensation. Despite my seniority, despite the hundred euros that gives them every month to be insured in the event of a problem. In 6 days I am on foot, public transport is not very present and I need a vehicle to taviller, shop, go get my son ...
I did not think that activism was to leave people in need.
I do not thank you and think of changing insurer if no solution is found ...</v>
      </c>
    </row>
    <row r="468" ht="15.75" customHeight="1">
      <c r="B468" s="2" t="s">
        <v>1395</v>
      </c>
      <c r="C468" s="2" t="s">
        <v>1396</v>
      </c>
      <c r="D468" s="2" t="s">
        <v>1200</v>
      </c>
      <c r="E468" s="2" t="s">
        <v>14</v>
      </c>
      <c r="F468" s="2" t="s">
        <v>15</v>
      </c>
      <c r="G468" s="2" t="s">
        <v>213</v>
      </c>
      <c r="H468" s="2" t="s">
        <v>210</v>
      </c>
      <c r="I468" s="2" t="str">
        <f>IFERROR(__xludf.DUMMYFUNCTION("GOOGLETRANSLATE(C468,""fr"",""en"")"),"I wanted to make a quote to insure my child's vehicle, I have a past by 3 different people on the phone and none were able to answer my request. The height, the last person I had on the phone had to make me wait more than 5 minutes to in the end tell me t"&amp;"hat they cannot assure my daughter. My request was simply a quote, and it was refused. In addition, people were all unpleasant, not one to catch up with the other.")</f>
        <v>I wanted to make a quote to insure my child's vehicle, I have a past by 3 different people on the phone and none were able to answer my request. The height, the last person I had on the phone had to make me wait more than 5 minutes to in the end tell me that they cannot assure my daughter. My request was simply a quote, and it was refused. In addition, people were all unpleasant, not one to catch up with the other.</v>
      </c>
    </row>
    <row r="469" ht="15.75" customHeight="1">
      <c r="B469" s="2" t="s">
        <v>1397</v>
      </c>
      <c r="C469" s="2" t="s">
        <v>1398</v>
      </c>
      <c r="D469" s="2" t="s">
        <v>1200</v>
      </c>
      <c r="E469" s="2" t="s">
        <v>14</v>
      </c>
      <c r="F469" s="2" t="s">
        <v>15</v>
      </c>
      <c r="G469" s="2" t="s">
        <v>220</v>
      </c>
      <c r="H469" s="2" t="s">
        <v>217</v>
      </c>
      <c r="I469" s="2" t="str">
        <f>IFERROR(__xludf.DUMMYFUNCTION("GOOGLETRANSLATE(C469,""fr"",""en"")"),"We get hit from behind by a scooter, who recognizes his fault, a witness, with coordinates. The Maif says that it is unreachable we move to the headquarters: bad welcome and no listening.")</f>
        <v>We get hit from behind by a scooter, who recognizes his fault, a witness, with coordinates. The Maif says that it is unreachable we move to the headquarters: bad welcome and no listening.</v>
      </c>
    </row>
    <row r="470" ht="15.75" customHeight="1">
      <c r="B470" s="2" t="s">
        <v>1399</v>
      </c>
      <c r="C470" s="2" t="s">
        <v>1400</v>
      </c>
      <c r="D470" s="2" t="s">
        <v>1200</v>
      </c>
      <c r="E470" s="2" t="s">
        <v>14</v>
      </c>
      <c r="F470" s="2" t="s">
        <v>15</v>
      </c>
      <c r="G470" s="2" t="s">
        <v>1401</v>
      </c>
      <c r="H470" s="2" t="s">
        <v>217</v>
      </c>
      <c r="I470" s="2" t="str">
        <f>IFERROR(__xludf.DUMMYFUNCTION("GOOGLETRANSLATE(C470,""fr"",""en"")"),"Hello, assured at Maif for 55 years (yes) and sons of teachers - as the acronym Maif means - I make a disappointing observation which makes me inexorably in the arms of other insurers.
More trace of the militant founding teacher, mercantilism has won thi"&amp;"s mutual. On the other hand, when the retiree that I have been, without accident for more than 25 years intends to acquire a common but high -end vehicle with a power of almost 300 hp we make you the blame - lived on the phone - to have Handed up on a car"&amp;" that hardly suits the gent teacher and we offer you a monstrous quote.
Farewell, a beautiful mutual insurance company now to everyone but penalizing the ""big cars"" that it is indecent to drive when one was a teacher.")</f>
        <v>Hello, assured at Maif for 55 years (yes) and sons of teachers - as the acronym Maif means - I make a disappointing observation which makes me inexorably in the arms of other insurers.
More trace of the militant founding teacher, mercantilism has won this mutual. On the other hand, when the retiree that I have been, without accident for more than 25 years intends to acquire a common but high -end vehicle with a power of almost 300 hp we make you the blame - lived on the phone - to have Handed up on a car that hardly suits the gent teacher and we offer you a monstrous quote.
Farewell, a beautiful mutual insurance company now to everyone but penalizing the "big cars" that it is indecent to drive when one was a teacher.</v>
      </c>
    </row>
    <row r="471" ht="15.75" customHeight="1">
      <c r="B471" s="2" t="s">
        <v>1402</v>
      </c>
      <c r="C471" s="2" t="s">
        <v>1403</v>
      </c>
      <c r="D471" s="2" t="s">
        <v>1200</v>
      </c>
      <c r="E471" s="2" t="s">
        <v>14</v>
      </c>
      <c r="F471" s="2" t="s">
        <v>15</v>
      </c>
      <c r="G471" s="2" t="s">
        <v>217</v>
      </c>
      <c r="H471" s="2" t="s">
        <v>217</v>
      </c>
      <c r="I471" s="2" t="str">
        <f>IFERROR(__xludf.DUMMYFUNCTION("GOOGLETRANSLATE(C471,""fr"",""en"")"),"When a disagreement with this organization occurs, they do not answer your questions it is omerta, they stubbornly maintain their position without considering a moment that you can be in good faith that presumes. Listening to the societary ......")</f>
        <v>When a disagreement with this organization occurs, they do not answer your questions it is omerta, they stubbornly maintain their position without considering a moment that you can be in good faith that presumes. Listening to the societary ......</v>
      </c>
    </row>
    <row r="472" ht="15.75" customHeight="1">
      <c r="B472" s="2" t="s">
        <v>1404</v>
      </c>
      <c r="C472" s="2" t="s">
        <v>1405</v>
      </c>
      <c r="D472" s="2" t="s">
        <v>1200</v>
      </c>
      <c r="E472" s="2" t="s">
        <v>14</v>
      </c>
      <c r="F472" s="2" t="s">
        <v>15</v>
      </c>
      <c r="G472" s="2" t="s">
        <v>1406</v>
      </c>
      <c r="H472" s="2" t="s">
        <v>224</v>
      </c>
      <c r="I472" s="2" t="str">
        <f>IFERROR(__xludf.DUMMYFUNCTION("GOOGLETRANSLATE(C472,""fr"",""en"")"),"Flee friends !!! Maif has changed well! No more mutual and militant values ​​hammered by advertising. Priority at Bizness. Sorry but profitability does not rhyme efficiently!")</f>
        <v>Flee friends !!! Maif has changed well! No more mutual and militant values ​​hammered by advertising. Priority at Bizness. Sorry but profitability does not rhyme efficiently!</v>
      </c>
    </row>
    <row r="473" ht="15.75" customHeight="1">
      <c r="B473" s="2" t="s">
        <v>1407</v>
      </c>
      <c r="C473" s="2" t="s">
        <v>1408</v>
      </c>
      <c r="D473" s="2" t="s">
        <v>1200</v>
      </c>
      <c r="E473" s="2" t="s">
        <v>14</v>
      </c>
      <c r="F473" s="2" t="s">
        <v>15</v>
      </c>
      <c r="G473" s="2" t="s">
        <v>916</v>
      </c>
      <c r="H473" s="2" t="s">
        <v>228</v>
      </c>
      <c r="I473" s="2" t="str">
        <f>IFERROR(__xludf.DUMMYFUNCTION("GOOGLETRANSLATE(C473,""fr"",""en"")"),"After years without disaster at MAIF, my vehicle has been immobilized since July 2018 following 1 sinister (not responsible) in an Affiliate Maif garage.
Incompetent garage, bad expertise: it's been 9 months since my vehicle is in the garage and it is no"&amp;"t for lack of harassing them ...
After 4 months, they had not yet ordered the parts, after 6 months, I am given my vehicle which dysfunction, after 8 months, they still have not ordered the additional parts, after 9 months, I'm still waiting ...
In my m"&amp;"isfortune, I have a loan vehicle during repairs but I regret that the latter is category A while I have a category D vehicle for more than 7 years !!!
Finally, I am obliged to continue to pay the insurance premium of a car that I do not drive and the mai"&amp;"f offers no solution except to continue to pay and to wait ...")</f>
        <v>After years without disaster at MAIF, my vehicle has been immobilized since July 2018 following 1 sinister (not responsible) in an Affiliate Maif garage.
Incompetent garage, bad expertise: it's been 9 months since my vehicle is in the garage and it is not for lack of harassing them ...
After 4 months, they had not yet ordered the parts, after 6 months, I am given my vehicle which dysfunction, after 8 months, they still have not ordered the additional parts, after 9 months, I'm still waiting ...
In my misfortune, I have a loan vehicle during repairs but I regret that the latter is category A while I have a category D vehicle for more than 7 years !!!
Finally, I am obliged to continue to pay the insurance premium of a car that I do not drive and the maif offers no solution except to continue to pay and to wait ...</v>
      </c>
    </row>
    <row r="474" ht="15.75" customHeight="1">
      <c r="B474" s="2" t="s">
        <v>1409</v>
      </c>
      <c r="C474" s="2" t="s">
        <v>1410</v>
      </c>
      <c r="D474" s="2" t="s">
        <v>1200</v>
      </c>
      <c r="E474" s="2" t="s">
        <v>14</v>
      </c>
      <c r="F474" s="2" t="s">
        <v>15</v>
      </c>
      <c r="G474" s="2" t="s">
        <v>1411</v>
      </c>
      <c r="H474" s="2" t="s">
        <v>228</v>
      </c>
      <c r="I474" s="2" t="str">
        <f>IFERROR(__xludf.DUMMYFUNCTION("GOOGLETRANSLATE(C474,""fr"",""en"")"),"Since 1970 without accident, victim of a biker driver, having committed two offenses: double by the right, more than 100km/h on a road limited to 70 km/h (offenses denounced by witness), I am recognized A collision at the back of my vehicle.")</f>
        <v>Since 1970 without accident, victim of a biker driver, having committed two offenses: double by the right, more than 100km/h on a road limited to 70 km/h (offenses denounced by witness), I am recognized A collision at the back of my vehicle.</v>
      </c>
    </row>
    <row r="475" ht="15.75" customHeight="1">
      <c r="B475" s="2" t="s">
        <v>1412</v>
      </c>
      <c r="C475" s="2" t="s">
        <v>1413</v>
      </c>
      <c r="D475" s="2" t="s">
        <v>1200</v>
      </c>
      <c r="E475" s="2" t="s">
        <v>14</v>
      </c>
      <c r="F475" s="2" t="s">
        <v>15</v>
      </c>
      <c r="G475" s="2" t="s">
        <v>1414</v>
      </c>
      <c r="H475" s="2" t="s">
        <v>238</v>
      </c>
      <c r="I475" s="2" t="str">
        <f>IFERROR(__xludf.DUMMYFUNCTION("GOOGLETRANSLATE(C475,""fr"",""en"")"),"As long as we pay for your subscription no problem but as soon as there is a claim we refuse compensation.")</f>
        <v>As long as we pay for your subscription no problem but as soon as there is a claim we refuse compensation.</v>
      </c>
    </row>
    <row r="476" ht="15.75" customHeight="1">
      <c r="B476" s="2" t="s">
        <v>1415</v>
      </c>
      <c r="C476" s="2" t="s">
        <v>1416</v>
      </c>
      <c r="D476" s="2" t="s">
        <v>1200</v>
      </c>
      <c r="E476" s="2" t="s">
        <v>14</v>
      </c>
      <c r="F476" s="2" t="s">
        <v>15</v>
      </c>
      <c r="G476" s="2" t="s">
        <v>1417</v>
      </c>
      <c r="H476" s="2" t="s">
        <v>513</v>
      </c>
      <c r="I476" s="2" t="str">
        <f>IFERROR(__xludf.DUMMYFUNCTION("GOOGLETRANSLATE(C476,""fr"",""en"")"),"I am revolted from the method used by the loss management service to try to discredit the vandalism that I suffered. A discriminatory decision with abusive methods and which does not respect the ethical code and the penal code. They divert a file concerni"&amp;"ng a vehicle fire, to have it deviate from an imaginary breakdown")</f>
        <v>I am revolted from the method used by the loss management service to try to discredit the vandalism that I suffered. A discriminatory decision with abusive methods and which does not respect the ethical code and the penal code. They divert a file concerning a vehicle fire, to have it deviate from an imaginary breakdown</v>
      </c>
    </row>
    <row r="477" ht="15.75" customHeight="1">
      <c r="B477" s="2" t="s">
        <v>1418</v>
      </c>
      <c r="C477" s="2" t="s">
        <v>1419</v>
      </c>
      <c r="D477" s="2" t="s">
        <v>1200</v>
      </c>
      <c r="E477" s="2" t="s">
        <v>14</v>
      </c>
      <c r="F477" s="2" t="s">
        <v>15</v>
      </c>
      <c r="G477" s="2" t="s">
        <v>1420</v>
      </c>
      <c r="H477" s="2" t="s">
        <v>517</v>
      </c>
      <c r="I477" s="2" t="str">
        <f>IFERROR(__xludf.DUMMYFUNCTION("GOOGLETRANSLATE(C477,""fr"",""en"")"),"I went to them because my company is a partner so percentage of discount on the subscription. One of my colleagues was very satisfied. I have a loss responsible with my car against two terminals delimiting a narrow passage (right front door and damaged re"&amp;"ar bumper). For the door it is only crumpled sheet, it works very well. For the bumper, repairs are necessary. I declare the claim, will make the quote with a partner coachbuilder and there the cleaver falls. Mention VEI (economically irreparable vehicle "&amp;"because its value is less than the amount of repairs). I cannot obtain the report since it is forecast, the MAIF refuses that I modify the declaration or that I cancel the sinister (which would save them money). I remind you of the expert who sends me to "&amp;"another bodybuilder telling me to ask for used parts. I get a quote at 1300 and a few. The expert validates the file and makes his final report, without mention VEI. But for the MAIF, they are based on the mention of the first exchange with the expert. So"&amp;" no listening, no understanding. The manager even told me that she was listening since it was ""21 minutes that she was in such with me, that files like mine they see every day"". So that's it for the human side of Maif. And I am in all risks eh, so to ta"&amp;"ke money from contributions no concern, but to ensure there is no one.")</f>
        <v>I went to them because my company is a partner so percentage of discount on the subscription. One of my colleagues was very satisfied. I have a loss responsible with my car against two terminals delimiting a narrow passage (right front door and damaged rear bumper). For the door it is only crumpled sheet, it works very well. For the bumper, repairs are necessary. I declare the claim, will make the quote with a partner coachbuilder and there the cleaver falls. Mention VEI (economically irreparable vehicle because its value is less than the amount of repairs). I cannot obtain the report since it is forecast, the MAIF refuses that I modify the declaration or that I cancel the sinister (which would save them money). I remind you of the expert who sends me to another bodybuilder telling me to ask for used parts. I get a quote at 1300 and a few. The expert validates the file and makes his final report, without mention VEI. But for the MAIF, they are based on the mention of the first exchange with the expert. So no listening, no understanding. The manager even told me that she was listening since it was "21 minutes that she was in such with me, that files like mine they see every day". So that's it for the human side of Maif. And I am in all risks eh, so to take money from contributions no concern, but to ensure there is no one.</v>
      </c>
    </row>
    <row r="478" ht="15.75" customHeight="1">
      <c r="B478" s="2" t="s">
        <v>1421</v>
      </c>
      <c r="C478" s="2" t="s">
        <v>1422</v>
      </c>
      <c r="D478" s="2" t="s">
        <v>1200</v>
      </c>
      <c r="E478" s="2" t="s">
        <v>14</v>
      </c>
      <c r="F478" s="2" t="s">
        <v>15</v>
      </c>
      <c r="G478" s="2" t="s">
        <v>1423</v>
      </c>
      <c r="H478" s="2" t="s">
        <v>245</v>
      </c>
      <c r="I478" s="2" t="str">
        <f>IFERROR(__xludf.DUMMYFUNCTION("GOOGLETRANSLATE(C478,""fr"",""en"")"),"The MAIF invoices 160 euros of monthly costs
A shame in the midst of a yellow vest crisis
I contact a consumer or family association in France, it is a scandal")</f>
        <v>The MAIF invoices 160 euros of monthly costs
A shame in the midst of a yellow vest crisis
I contact a consumer or family association in France, it is a scandal</v>
      </c>
    </row>
    <row r="479" ht="15.75" customHeight="1">
      <c r="B479" s="2" t="s">
        <v>1424</v>
      </c>
      <c r="C479" s="2" t="s">
        <v>1425</v>
      </c>
      <c r="D479" s="2" t="s">
        <v>1200</v>
      </c>
      <c r="E479" s="2" t="s">
        <v>14</v>
      </c>
      <c r="F479" s="2" t="s">
        <v>15</v>
      </c>
      <c r="G479" s="2" t="s">
        <v>1426</v>
      </c>
      <c r="H479" s="2" t="s">
        <v>245</v>
      </c>
      <c r="I479" s="2" t="str">
        <f>IFERROR(__xludf.DUMMYFUNCTION("GOOGLETRANSLATE(C479,""fr"",""en"")"),"Member for the past fifteen years I would have a lot to tell. All my insurances are in MAIF to a death capital. Half-tone assessment with elements that push me to seriously study my termination of contracts at least the VAM car insurance contract. I live "&amp;"in a city that does not have a Maif antenna. Things can therefore prove to be very bureaucratic and the processing of uncompromising claims without any prior information on the penalty and the application of the rates. There is no possible contact except "&amp;"by phone. I had a sinister equipment in 2017 I broke the rear view mirror of a car by avoiding a pedestrian. I had a rate of 0.60 and I go to 0.80. My current rate is therefore an average of the two, I imagine 0.76. This is what I have on the forecast sch"&amp;"edule of 2019:
Reference HT contribution € 679.29 including options including € 631.04 subject to the coefficient.
Reduction coefficient increase 0.76
Regularization of the 2018 coefficient 0.80 instead of 0.60 or € 116.94 excl.
See event from 06/0"&amp;"6/2017
Concretely my VAM contribution goes from 488.19 euros including tax at 795.59 euros including tax
The account and insurance not being my job I would like to remain humble if by chance an obvious calculation could have escaped me to justify "&amp;"such an increase of 307.4 euros
It's expensive retro to be sure not to crush a pedestrian busy with his smartphone. I called the Maif A nice person answered me but not understanding why the increase was so strong she put me in contact with the manager of"&amp;" the antenna on which I depend. This official who did not decline his identity was very condescending and did not explain anything to me clearly. Besides, with any useful ending I would like to report to the MAIF that it would be fashionable to distinguis"&amp;"h between material accident and accident on third parties. In short. Increase because malus ok I can understand but what I wanted was a clear explanation of the calculation to arrive at 307 euros. It was apparently too much to ask. Before when I was in th"&amp;"e south I was kindly received. There was an antenna close to my home and pedagogy as well as the information was in order. The service was very professional and I felt proud to be a Maif member. I do not give the details of the conversation but it was mor"&amp;"e than painful. And there 15 days of a very important professional deadline for me I do not want to fight with an insurer. Insurer who will of course place me in the national file if I terminate. In addition, we made fun of me when I said that as isolated"&amp;" mom I was at the near 300 euros. So I replied that the MAIF was probably not to one member. Really yes after 15 years of loyalty it is expensive retro and it's very disappointing to make you treat like this.
")</f>
        <v>Member for the past fifteen years I would have a lot to tell. All my insurances are in MAIF to a death capital. Half-tone assessment with elements that push me to seriously study my termination of contracts at least the VAM car insurance contract. I live in a city that does not have a Maif antenna. Things can therefore prove to be very bureaucratic and the processing of uncompromising claims without any prior information on the penalty and the application of the rates. There is no possible contact except by phone. I had a sinister equipment in 2017 I broke the rear view mirror of a car by avoiding a pedestrian. I had a rate of 0.60 and I go to 0.80. My current rate is therefore an average of the two, I imagine 0.76. This is what I have on the forecast schedule of 2019:
Reference HT contribution € 679.29 including options including € 631.04 subject to the coefficient.
Reduction coefficient increase 0.76
Regularization of the 2018 coefficient 0.80 instead of 0.60 or € 116.94 excl.
See event from 06/06/2017
Concretely my VAM contribution goes from 488.19 euros including tax at 795.59 euros including tax
The account and insurance not being my job I would like to remain humble if by chance an obvious calculation could have escaped me to justify such an increase of 307.4 euros
It's expensive retro to be sure not to crush a pedestrian busy with his smartphone. I called the Maif A nice person answered me but not understanding why the increase was so strong she put me in contact with the manager of the antenna on which I depend. This official who did not decline his identity was very condescending and did not explain anything to me clearly. Besides, with any useful ending I would like to report to the MAIF that it would be fashionable to distinguish between material accident and accident on third parties. In short. Increase because malus ok I can understand but what I wanted was a clear explanation of the calculation to arrive at 307 euros. It was apparently too much to ask. Before when I was in the south I was kindly received. There was an antenna close to my home and pedagogy as well as the information was in order. The service was very professional and I felt proud to be a Maif member. I do not give the details of the conversation but it was more than painful. And there 15 days of a very important professional deadline for me I do not want to fight with an insurer. Insurer who will of course place me in the national file if I terminate. In addition, we made fun of me when I said that as isolated mom I was at the near 300 euros. So I replied that the MAIF was probably not to one member. Really yes after 15 years of loyalty it is expensive retro and it's very disappointing to make you treat like this.
</v>
      </c>
    </row>
    <row r="480" ht="15.75" customHeight="1">
      <c r="B480" s="2" t="s">
        <v>1427</v>
      </c>
      <c r="C480" s="2" t="s">
        <v>1428</v>
      </c>
      <c r="D480" s="2" t="s">
        <v>1200</v>
      </c>
      <c r="E480" s="2" t="s">
        <v>14</v>
      </c>
      <c r="F480" s="2" t="s">
        <v>15</v>
      </c>
      <c r="G480" s="2" t="s">
        <v>1429</v>
      </c>
      <c r="H480" s="2" t="s">
        <v>524</v>
      </c>
      <c r="I480" s="2" t="str">
        <f>IFERROR(__xludf.DUMMYFUNCTION("GOOGLETRANSLATE(C480,""fr"",""en"")"),"When you boast in its advertisements that confidence is a rule (see YouTube) as well as on your site to be the number one of customer relations, I immediately tell myself that it is lie. The only goal is to make money. Maif explains to me that it is the h"&amp;"ighway code that takes precedence but when I have the priority (right), is it not the highway code?
4 interlocutors, 4 different speeches: what a deposit!
run away !")</f>
        <v>When you boast in its advertisements that confidence is a rule (see YouTube) as well as on your site to be the number one of customer relations, I immediately tell myself that it is lie. The only goal is to make money. Maif explains to me that it is the highway code that takes precedence but when I have the priority (right), is it not the highway code?
4 interlocutors, 4 different speeches: what a deposit!
run away !</v>
      </c>
    </row>
    <row r="481" ht="15.75" customHeight="1">
      <c r="B481" s="2" t="s">
        <v>1430</v>
      </c>
      <c r="C481" s="2" t="s">
        <v>1431</v>
      </c>
      <c r="D481" s="2" t="s">
        <v>1200</v>
      </c>
      <c r="E481" s="2" t="s">
        <v>14</v>
      </c>
      <c r="F481" s="2" t="s">
        <v>15</v>
      </c>
      <c r="G481" s="2" t="s">
        <v>1432</v>
      </c>
      <c r="H481" s="2" t="s">
        <v>249</v>
      </c>
      <c r="I481" s="2" t="str">
        <f>IFERROR(__xludf.DUMMYFUNCTION("GOOGLETRANSLATE(C481,""fr"",""en"")"),"Hello, I bought a new car of October 2018, having to secure any risk I contact several insurances, and orient myself towards Maif. So I have an annual rate for 2018 of around 650 euros or a little for 54 euros per month. Yesterday I ease the new scale for"&amp;" 2019 ... surprise the price goes to 1250 euros or more than 40% increase ... Good having signed nothing yet, I plan not to extend this insurance but above all, also change that of my house which is at home ....
Too bad no argument and above all imposs"&amp;"ible to join them at such.")</f>
        <v>Hello, I bought a new car of October 2018, having to secure any risk I contact several insurances, and orient myself towards Maif. So I have an annual rate for 2018 of around 650 euros or a little for 54 euros per month. Yesterday I ease the new scale for 2019 ... surprise the price goes to 1250 euros or more than 40% increase ... Good having signed nothing yet, I plan not to extend this insurance but above all, also change that of my house which is at home ....
Too bad no argument and above all impossible to join them at such.</v>
      </c>
    </row>
    <row r="482" ht="15.75" customHeight="1">
      <c r="B482" s="2" t="s">
        <v>1433</v>
      </c>
      <c r="C482" s="2" t="s">
        <v>1434</v>
      </c>
      <c r="D482" s="2" t="s">
        <v>1200</v>
      </c>
      <c r="E482" s="2" t="s">
        <v>14</v>
      </c>
      <c r="F482" s="2" t="s">
        <v>15</v>
      </c>
      <c r="G482" s="2" t="s">
        <v>535</v>
      </c>
      <c r="H482" s="2" t="s">
        <v>249</v>
      </c>
      <c r="I482" s="2" t="str">
        <f>IFERROR(__xludf.DUMMYFUNCTION("GOOGLETRANSLATE(C482,""fr"",""en"")"),"With several claims: foreign assistance, car accidents, legal assistance following real estate problem, I have nothing to blame, quite the contrary. Certainly, I pay dearly, but it's normal. Financially speaking, I did not ""perceive"" much less than my c"&amp;"ontributions !! But it's called mutual! That's all!")</f>
        <v>With several claims: foreign assistance, car accidents, legal assistance following real estate problem, I have nothing to blame, quite the contrary. Certainly, I pay dearly, but it's normal. Financially speaking, I did not "perceive" much less than my contributions !! But it's called mutual! That's all!</v>
      </c>
    </row>
    <row r="483" ht="15.75" customHeight="1">
      <c r="B483" s="2" t="s">
        <v>1435</v>
      </c>
      <c r="C483" s="2" t="s">
        <v>1436</v>
      </c>
      <c r="D483" s="2" t="s">
        <v>1200</v>
      </c>
      <c r="E483" s="2" t="s">
        <v>14</v>
      </c>
      <c r="F483" s="2" t="s">
        <v>15</v>
      </c>
      <c r="G483" s="2" t="s">
        <v>1437</v>
      </c>
      <c r="H483" s="2" t="s">
        <v>249</v>
      </c>
      <c r="I483" s="2" t="str">
        <f>IFERROR(__xludf.DUMMYFUNCTION("GOOGLETRANSLATE(C483,""fr"",""en"")"),"I am a new MAIF customer, and I already regret, after having been the victim of a registration usurpation, the MAIF decided to put a penalty for me for no reason when I am the victim, so I am going from 40% of Bonus at 25%, unacceptable, I ask this insura"&amp;"nce today to reimburse myself too perceived, to go to competition, otherwise I would call for the defense of consumers for fraudulent operations, well to you.")</f>
        <v>I am a new MAIF customer, and I already regret, after having been the victim of a registration usurpation, the MAIF decided to put a penalty for me for no reason when I am the victim, so I am going from 40% of Bonus at 25%, unacceptable, I ask this insurance today to reimburse myself too perceived, to go to competition, otherwise I would call for the defense of consumers for fraudulent operations, well to you.</v>
      </c>
    </row>
    <row r="484" ht="15.75" customHeight="1">
      <c r="B484" s="2" t="s">
        <v>1438</v>
      </c>
      <c r="C484" s="2" t="s">
        <v>1439</v>
      </c>
      <c r="D484" s="2" t="s">
        <v>1200</v>
      </c>
      <c r="E484" s="2" t="s">
        <v>14</v>
      </c>
      <c r="F484" s="2" t="s">
        <v>15</v>
      </c>
      <c r="G484" s="2" t="s">
        <v>1440</v>
      </c>
      <c r="H484" s="2" t="s">
        <v>262</v>
      </c>
      <c r="I484" s="2" t="str">
        <f>IFERROR(__xludf.DUMMYFUNCTION("GOOGLETRANSLATE(C484,""fr"",""en"")"),"Very good insurance with reasonable prices. There is always someone to answer you quickly.")</f>
        <v>Very good insurance with reasonable prices. There is always someone to answer you quickly.</v>
      </c>
    </row>
    <row r="485" ht="15.75" customHeight="1">
      <c r="B485" s="2" t="s">
        <v>1441</v>
      </c>
      <c r="C485" s="2" t="s">
        <v>1442</v>
      </c>
      <c r="D485" s="2" t="s">
        <v>1200</v>
      </c>
      <c r="E485" s="2" t="s">
        <v>14</v>
      </c>
      <c r="F485" s="2" t="s">
        <v>15</v>
      </c>
      <c r="G485" s="2" t="s">
        <v>1443</v>
      </c>
      <c r="H485" s="2" t="s">
        <v>272</v>
      </c>
      <c r="I485" s="2" t="str">
        <f>IFERROR(__xludf.DUMMYFUNCTION("GOOGLETRANSLATE(C485,""fr"",""en"")"),"Being assured for years at home, I had a 5th disaster (never responsible): a heavyweight strikes me making economically non -repairable ... They leave me abandoned for the resale of the wreckage and they consider ( expressly?) Misery the vehicle 2100E and"&amp;" when I call them to explain to them that I must work I am answered 'I can't do anything'. This is what I blame you! In addition, I am 29 years old and 4 months I had to know that from 28 years old I had to do 1 assistant to MN not threatening to stop ins"&amp;"urance they only knew MN vehicle was wreck. When I raise my tone a little, they allow themselves to be disrespectful. I go with 3 contracts. Not pro at all ...")</f>
        <v>Being assured for years at home, I had a 5th disaster (never responsible): a heavyweight strikes me making economically non -repairable ... They leave me abandoned for the resale of the wreckage and they consider ( expressly?) Misery the vehicle 2100E and when I call them to explain to them that I must work I am answered 'I can't do anything'. This is what I blame you! In addition, I am 29 years old and 4 months I had to know that from 28 years old I had to do 1 assistant to MN not threatening to stop insurance they only knew MN vehicle was wreck. When I raise my tone a little, they allow themselves to be disrespectful. I go with 3 contracts. Not pro at all ...</v>
      </c>
    </row>
    <row r="486" ht="15.75" customHeight="1">
      <c r="B486" s="2" t="s">
        <v>1444</v>
      </c>
      <c r="C486" s="2" t="s">
        <v>1445</v>
      </c>
      <c r="D486" s="2" t="s">
        <v>1200</v>
      </c>
      <c r="E486" s="2" t="s">
        <v>14</v>
      </c>
      <c r="F486" s="2" t="s">
        <v>15</v>
      </c>
      <c r="G486" s="2" t="s">
        <v>1446</v>
      </c>
      <c r="H486" s="2" t="s">
        <v>272</v>
      </c>
      <c r="I486" s="2" t="str">
        <f>IFERROR(__xludf.DUMMYFUNCTION("GOOGLETRANSLATE(C486,""fr"",""en"")"),"A claim for a year. Processing of the catastrophic file.
I contacted the maif by phone 10 days ago (with promise not required to remind me) and by email 4 days ago, still no answer on the follow -up of my file ...")</f>
        <v>A claim for a year. Processing of the catastrophic file.
I contacted the maif by phone 10 days ago (with promise not required to remind me) and by email 4 days ago, still no answer on the follow -up of my file ...</v>
      </c>
    </row>
    <row r="487" ht="15.75" customHeight="1">
      <c r="B487" s="2" t="s">
        <v>1447</v>
      </c>
      <c r="C487" s="2" t="s">
        <v>1448</v>
      </c>
      <c r="D487" s="2" t="s">
        <v>1200</v>
      </c>
      <c r="E487" s="2" t="s">
        <v>14</v>
      </c>
      <c r="F487" s="2" t="s">
        <v>15</v>
      </c>
      <c r="G487" s="2" t="s">
        <v>1449</v>
      </c>
      <c r="H487" s="2" t="s">
        <v>272</v>
      </c>
      <c r="I487" s="2" t="str">
        <f>IFERROR(__xludf.DUMMYFUNCTION("GOOGLETRANSLATE(C487,""fr"",""en"")"),"Dear and sectarian insurance because it does not accept all customers.")</f>
        <v>Dear and sectarian insurance because it does not accept all customers.</v>
      </c>
    </row>
    <row r="488" ht="15.75" customHeight="1">
      <c r="B488" s="2" t="s">
        <v>1450</v>
      </c>
      <c r="C488" s="2" t="s">
        <v>1451</v>
      </c>
      <c r="D488" s="2" t="s">
        <v>1200</v>
      </c>
      <c r="E488" s="2" t="s">
        <v>14</v>
      </c>
      <c r="F488" s="2" t="s">
        <v>15</v>
      </c>
      <c r="G488" s="2" t="s">
        <v>1452</v>
      </c>
      <c r="H488" s="2" t="s">
        <v>272</v>
      </c>
      <c r="I488" s="2" t="str">
        <f>IFERROR(__xludf.DUMMYFUNCTION("GOOGLETRANSLATE(C488,""fr"",""en"")"),"They are there when you pay but when you need them nobody (except very fast towing), ensuring for 2 years for all my goods, I think of leaving !!")</f>
        <v>They are there when you pay but when you need them nobody (except very fast towing), ensuring for 2 years for all my goods, I think of leaving !!</v>
      </c>
    </row>
    <row r="489" ht="15.75" customHeight="1">
      <c r="B489" s="2" t="s">
        <v>1453</v>
      </c>
      <c r="C489" s="2" t="s">
        <v>1454</v>
      </c>
      <c r="D489" s="2" t="s">
        <v>1200</v>
      </c>
      <c r="E489" s="2" t="s">
        <v>14</v>
      </c>
      <c r="F489" s="2" t="s">
        <v>15</v>
      </c>
      <c r="G489" s="2" t="s">
        <v>997</v>
      </c>
      <c r="H489" s="2" t="s">
        <v>276</v>
      </c>
      <c r="I489" s="2" t="str">
        <f>IFERROR(__xludf.DUMMYFUNCTION("GOOGLETRANSLATE(C489,""fr"",""en"")"),"Search by all means not to reimburse claims at their right price.")</f>
        <v>Search by all means not to reimburse claims at their right price.</v>
      </c>
    </row>
    <row r="490" ht="15.75" customHeight="1">
      <c r="B490" s="2" t="s">
        <v>1455</v>
      </c>
      <c r="C490" s="2" t="s">
        <v>1456</v>
      </c>
      <c r="D490" s="2" t="s">
        <v>1200</v>
      </c>
      <c r="E490" s="2" t="s">
        <v>14</v>
      </c>
      <c r="F490" s="2" t="s">
        <v>15</v>
      </c>
      <c r="G490" s="2" t="s">
        <v>1457</v>
      </c>
      <c r="H490" s="2" t="s">
        <v>276</v>
      </c>
      <c r="I490" s="2" t="str">
        <f>IFERROR(__xludf.DUMMYFUNCTION("GOOGLETRANSLATE(C490,""fr"",""en"")"),"I declared a disaster on parking on 04/06. The expert signed the report in my place after I was part by omitting the care of the rear bumper, on 05/06 I make an accident right, And the bumper is not supported during the expertise of 07/06 when it is speci"&amp;"fied on the observation and even on the photos that I sent to the MAIF, the tire and its system too. After many reminders and complaints, the expert returns to his position and only adds the tire and apologists on the signature rejecting the fault of comp"&amp;"uter science ...?!?!?! Handwritten signature made for me.
I am asked to reopen another disaster to pay a new franchise if I want to change my bumper. It is not insurance. It is a money pump ....
However, I am assured of all risks, today it's been 20 J t"&amp;"hat my vehicle is immobilized knowing that it is my work tool.
I am dismayed and extremely disappointed with MAIF, this insurance pushes me to want to terminate because I find it harmful.")</f>
        <v>I declared a disaster on parking on 04/06. The expert signed the report in my place after I was part by omitting the care of the rear bumper, on 05/06 I make an accident right, And the bumper is not supported during the expertise of 07/06 when it is specified on the observation and even on the photos that I sent to the MAIF, the tire and its system too. After many reminders and complaints, the expert returns to his position and only adds the tire and apologists on the signature rejecting the fault of computer science ...?!?!?! Handwritten signature made for me.
I am asked to reopen another disaster to pay a new franchise if I want to change my bumper. It is not insurance. It is a money pump ....
However, I am assured of all risks, today it's been 20 J that my vehicle is immobilized knowing that it is my work tool.
I am dismayed and extremely disappointed with MAIF, this insurance pushes me to want to terminate because I find it harmful.</v>
      </c>
    </row>
    <row r="491" ht="15.75" customHeight="1">
      <c r="B491" s="2" t="s">
        <v>1458</v>
      </c>
      <c r="C491" s="2" t="s">
        <v>1459</v>
      </c>
      <c r="D491" s="2" t="s">
        <v>1200</v>
      </c>
      <c r="E491" s="2" t="s">
        <v>14</v>
      </c>
      <c r="F491" s="2" t="s">
        <v>15</v>
      </c>
      <c r="G491" s="2" t="s">
        <v>1460</v>
      </c>
      <c r="H491" s="2" t="s">
        <v>1009</v>
      </c>
      <c r="I491" s="2" t="str">
        <f>IFERROR(__xludf.DUMMYFUNCTION("GOOGLETRANSLATE(C491,""fr"",""en"")"),"Maif frankly !!
Member for 40 years ... 2 franchise applications in 1 year ... hard to swallow.
Gale of wind: the neighbor's tree falls on your field, crushes your grandson's trampoline ... 150 euro franchise for you ... not to mention damaged shrubs no"&amp;"t taken care of ...
Your fixed car panoramic roof cracks following a stone sparkle while rolling, despite the full formula risks fullness: franchise ... while if it was a sunroof not a franchise like the other ice creams of the vehicle. . Comprency who c"&amp;"an.
")</f>
        <v>Maif frankly !!
Member for 40 years ... 2 franchise applications in 1 year ... hard to swallow.
Gale of wind: the neighbor's tree falls on your field, crushes your grandson's trampoline ... 150 euro franchise for you ... not to mention damaged shrubs not taken care of ...
Your fixed car panoramic roof cracks following a stone sparkle while rolling, despite the full formula risks fullness: franchise ... while if it was a sunroof not a franchise like the other ice creams of the vehicle. . Comprency who can.
</v>
      </c>
    </row>
    <row r="492" ht="15.75" customHeight="1">
      <c r="B492" s="2" t="s">
        <v>1461</v>
      </c>
      <c r="C492" s="2" t="s">
        <v>1462</v>
      </c>
      <c r="D492" s="2" t="s">
        <v>1200</v>
      </c>
      <c r="E492" s="2" t="s">
        <v>14</v>
      </c>
      <c r="F492" s="2" t="s">
        <v>15</v>
      </c>
      <c r="G492" s="2" t="s">
        <v>1024</v>
      </c>
      <c r="H492" s="2" t="s">
        <v>559</v>
      </c>
      <c r="I492" s="2" t="str">
        <f>IFERROR(__xludf.DUMMYFUNCTION("GOOGLETRANSLATE(C492,""fr"",""en"")"),"In fact I have been in Maif for over 30 years and despite that I rub shoulders with other insurers and I am interested in the market I have never lost my confidence in this insurer.")</f>
        <v>In fact I have been in Maif for over 30 years and despite that I rub shoulders with other insurers and I am interested in the market I have never lost my confidence in this insurer.</v>
      </c>
    </row>
    <row r="493" ht="15.75" customHeight="1">
      <c r="B493" s="2" t="s">
        <v>1463</v>
      </c>
      <c r="C493" s="2" t="s">
        <v>1464</v>
      </c>
      <c r="D493" s="2" t="s">
        <v>1200</v>
      </c>
      <c r="E493" s="2" t="s">
        <v>14</v>
      </c>
      <c r="F493" s="2" t="s">
        <v>15</v>
      </c>
      <c r="G493" s="2" t="s">
        <v>1465</v>
      </c>
      <c r="H493" s="2" t="s">
        <v>559</v>
      </c>
      <c r="I493" s="2" t="str">
        <f>IFERROR(__xludf.DUMMYFUNCTION("GOOGLETRANSLATE(C493,""fr"",""en"")"),"I have been a customer in Maif for several years. Until then I have been rather well treated, with each claim, the care was rapid, the relevant customer service.
Last year I decided to buy a trailer and contact the MAIF to ensure it. The customer advisor"&amp;" who deals with my request said to me: ""No need to ensure the trailer it is taken care of by your car insurance"" I tell myself that it is cool and that we do not try to refourgue a product from which I do not need. In December, Patatras, on the road, a "&amp;"gusts tickles the enhancement from my trailer, it becomes unusable. I therefore contact the MAIF to find a network repairer and have my trailer repaired.
Response from the advisor (very courteous, they do not only have defects) your trailer is not taken "&amp;"care of. ??????
So in fact it is taken care of but not if it is you who damage it ... except that if I ask for insurance and that it is told that it is useless I believe that it should be taken in charge.
Too bad we will groan again after the insurers a"&amp;"nd we will change the creamy ...
Despite everything, telling me that my trailer could undergo new damage, I ask for a quote to make it insure. I let you guess the advisor's response I had on the phone !!!")</f>
        <v>I have been a customer in Maif for several years. Until then I have been rather well treated, with each claim, the care was rapid, the relevant customer service.
Last year I decided to buy a trailer and contact the MAIF to ensure it. The customer advisor who deals with my request said to me: "No need to ensure the trailer it is taken care of by your car insurance" I tell myself that it is cool and that we do not try to refourgue a product from which I do not need. In December, Patatras, on the road, a gusts tickles the enhancement from my trailer, it becomes unusable. I therefore contact the MAIF to find a network repairer and have my trailer repaired.
Response from the advisor (very courteous, they do not only have defects) your trailer is not taken care of. ??????
So in fact it is taken care of but not if it is you who damage it ... except that if I ask for insurance and that it is told that it is useless I believe that it should be taken in charge.
Too bad we will groan again after the insurers and we will change the creamy ...
Despite everything, telling me that my trailer could undergo new damage, I ask for a quote to make it insure. I let you guess the advisor's response I had on the phone !!!</v>
      </c>
    </row>
    <row r="494" ht="15.75" customHeight="1">
      <c r="B494" s="2" t="s">
        <v>1466</v>
      </c>
      <c r="C494" s="2" t="s">
        <v>1467</v>
      </c>
      <c r="D494" s="2" t="s">
        <v>1200</v>
      </c>
      <c r="E494" s="2" t="s">
        <v>14</v>
      </c>
      <c r="F494" s="2" t="s">
        <v>15</v>
      </c>
      <c r="G494" s="2" t="s">
        <v>1465</v>
      </c>
      <c r="H494" s="2" t="s">
        <v>559</v>
      </c>
      <c r="I494" s="2" t="str">
        <f>IFERROR(__xludf.DUMMYFUNCTION("GOOGLETRANSLATE(C494,""fr"",""en"")"),"To flee very quickly very expensive assurance and in case of claims no one they do not even try to know if we have twisted or not anyway they do nothing demerde !!! Militant insurer we are forced to fight against them in the event of non -responsible clai"&amp;"ms is still a shame")</f>
        <v>To flee very quickly very expensive assurance and in case of claims no one they do not even try to know if we have twisted or not anyway they do nothing demerde !!! Militant insurer we are forced to fight against them in the event of non -responsible claims is still a shame</v>
      </c>
    </row>
    <row r="495" ht="15.75" customHeight="1">
      <c r="B495" s="2" t="s">
        <v>1468</v>
      </c>
      <c r="C495" s="2" t="s">
        <v>1469</v>
      </c>
      <c r="D495" s="2" t="s">
        <v>1200</v>
      </c>
      <c r="E495" s="2" t="s">
        <v>14</v>
      </c>
      <c r="F495" s="2" t="s">
        <v>15</v>
      </c>
      <c r="G495" s="2" t="s">
        <v>1470</v>
      </c>
      <c r="H495" s="2" t="s">
        <v>565</v>
      </c>
      <c r="I495" s="2" t="str">
        <f>IFERROR(__xludf.DUMMYFUNCTION("GOOGLETRANSLATE(C495,""fr"",""en"")"),"New customer at the MAIF, I paid for my subscription by check on February 08, 2018. I learn by a letter that Maif would not have received the payment of the annual subscription. Fortunately I asked for a certificate from the advisor when paying. Also, I a"&amp;"nswered by mail with copy of the payment certificate to prove my good liver and especially that I had paid.
I also decide to contact the MAIF by phone in order to have more information. I therefore explain my situation to the advisor I have on the phone "&amp;"and she explains to me that I have to oppose my check. I make him understand that it is unacceptable and that it is difficult to trust an insurer who brings checks. How to trust an insurer who does not know how to pay attention to the checks of his custom"&amp;"ers? How will they react in the event of an accident if they can't even follow a check ???
I also explain to the advisor that it bothers me, because there is my personal data on said check. All she finds to answer me is ""well yes it's paper, it flies""."&amp;" It is just inadmissible to respond in this way to a customer.
I remind MAIF that there are a large number of insurers and that when we are wrong we try to find a solution and not to answer absurdities.")</f>
        <v>New customer at the MAIF, I paid for my subscription by check on February 08, 2018. I learn by a letter that Maif would not have received the payment of the annual subscription. Fortunately I asked for a certificate from the advisor when paying. Also, I answered by mail with copy of the payment certificate to prove my good liver and especially that I had paid.
I also decide to contact the MAIF by phone in order to have more information. I therefore explain my situation to the advisor I have on the phone and she explains to me that I have to oppose my check. I make him understand that it is unacceptable and that it is difficult to trust an insurer who brings checks. How to trust an insurer who does not know how to pay attention to the checks of his customers? How will they react in the event of an accident if they can't even follow a check ???
I also explain to the advisor that it bothers me, because there is my personal data on said check. All she finds to answer me is "well yes it's paper, it flies". It is just inadmissible to respond in this way to a customer.
I remind MAIF that there are a large number of insurers and that when we are wrong we try to find a solution and not to answer absurdities.</v>
      </c>
    </row>
    <row r="496" ht="15.75" customHeight="1">
      <c r="B496" s="2" t="s">
        <v>1471</v>
      </c>
      <c r="C496" s="2" t="s">
        <v>1472</v>
      </c>
      <c r="D496" s="2" t="s">
        <v>1200</v>
      </c>
      <c r="E496" s="2" t="s">
        <v>14</v>
      </c>
      <c r="F496" s="2" t="s">
        <v>15</v>
      </c>
      <c r="G496" s="2" t="s">
        <v>1473</v>
      </c>
      <c r="H496" s="2" t="s">
        <v>565</v>
      </c>
      <c r="I496" s="2" t="str">
        <f>IFERROR(__xludf.DUMMYFUNCTION("GOOGLETRANSLATE(C496,""fr"",""en"")"),"The MAIF wishes to terminate auto contracts while I have been adhered for over 40 years a bonus of 0.50 and no accident. Incomprehensible for a mutual teachers at the start. It is obvious that MAIF acts deliberately on seniors preferring the youngest with"&amp;" higher bonuses. No")</f>
        <v>The MAIF wishes to terminate auto contracts while I have been adhered for over 40 years a bonus of 0.50 and no accident. Incomprehensible for a mutual teachers at the start. It is obvious that MAIF acts deliberately on seniors preferring the youngest with higher bonuses. No</v>
      </c>
    </row>
    <row r="497" ht="15.75" customHeight="1">
      <c r="B497" s="2" t="s">
        <v>1474</v>
      </c>
      <c r="C497" s="2" t="s">
        <v>1475</v>
      </c>
      <c r="D497" s="2" t="s">
        <v>1200</v>
      </c>
      <c r="E497" s="2" t="s">
        <v>14</v>
      </c>
      <c r="F497" s="2" t="s">
        <v>15</v>
      </c>
      <c r="G497" s="2" t="s">
        <v>1476</v>
      </c>
      <c r="H497" s="2" t="s">
        <v>577</v>
      </c>
      <c r="I497" s="2" t="str">
        <f>IFERROR(__xludf.DUMMYFUNCTION("GOOGLETRANSLATE(C497,""fr"",""en"")"),"I had a car accident on December 13, 2017 for which I am not responsible.
The MAIF was very responsive and we were even able to have a rental vehicle for 1 week for our holidays at the end of December.
The amount to repair the car following my accident "&amp;"was estimated at 4133.91 euros including tax by the expert.
But we also learned that our car had a previous shock and that the repair made was non -compliant. It was therefore necessary to plan a certain sum for this repair, the garage estimated this rep"&amp;"air at 4,827 euros including tax.
We decided not to have the car repaired. The MAIF then warned us that in this case, they would transfer the amount provided for repair to us but with the amount HT.
Informed of this news, we carried out all the steps on"&amp;" our side to have our vehicle resume as it stands. And this is where we did not understand the approach of this insurance. The expert was mandated to redo a repair quote to estimate the amount of the repair again. And there surprise! The amount of the par"&amp;"ts remained the same but the hourly rate went from 40 euros to 30 euros and for the ingredients from 33 to 15 euros!
Finally for the same repair the first quote had an amount excluding tax of 3,445 euros and the second quote of 3099 euros…
We were not w"&amp;"arned of this difference and we made the decision not to have repaired by thinking that we would have a payment of 3,445 euros, we may not have made the same decision if we were sure that a new quote would be made by the expert ...
Which makes me say t"&amp;"oday that we have saved money on our insurance. If we had repaired our car, it would have cost them 4134 euros and finally, they pay us 3099 euros.
I am very dissatisfied in this way of doing things, I have always praised the responsiveness and the val"&amp;"ues ​​of this insurance, but there, I think I could not do the same in the future!
")</f>
        <v>I had a car accident on December 13, 2017 for which I am not responsible.
The MAIF was very responsive and we were even able to have a rental vehicle for 1 week for our holidays at the end of December.
The amount to repair the car following my accident was estimated at 4133.91 euros including tax by the expert.
But we also learned that our car had a previous shock and that the repair made was non -compliant. It was therefore necessary to plan a certain sum for this repair, the garage estimated this repair at 4,827 euros including tax.
We decided not to have the car repaired. The MAIF then warned us that in this case, they would transfer the amount provided for repair to us but with the amount HT.
Informed of this news, we carried out all the steps on our side to have our vehicle resume as it stands. And this is where we did not understand the approach of this insurance. The expert was mandated to redo a repair quote to estimate the amount of the repair again. And there surprise! The amount of the parts remained the same but the hourly rate went from 40 euros to 30 euros and for the ingredients from 33 to 15 euros!
Finally for the same repair the first quote had an amount excluding tax of 3,445 euros and the second quote of 3099 euros…
We were not warned of this difference and we made the decision not to have repaired by thinking that we would have a payment of 3,445 euros, we may not have made the same decision if we were sure that a new quote would be made by the expert ...
Which makes me say today that we have saved money on our insurance. If we had repaired our car, it would have cost them 4134 euros and finally, they pay us 3099 euros.
I am very dissatisfied in this way of doing things, I have always praised the responsiveness and the values ​​of this insurance, but there, I think I could not do the same in the future!
</v>
      </c>
    </row>
    <row r="498" ht="15.75" customHeight="1">
      <c r="B498" s="2" t="s">
        <v>1477</v>
      </c>
      <c r="C498" s="2" t="s">
        <v>1478</v>
      </c>
      <c r="D498" s="2" t="s">
        <v>1200</v>
      </c>
      <c r="E498" s="2" t="s">
        <v>14</v>
      </c>
      <c r="F498" s="2" t="s">
        <v>15</v>
      </c>
      <c r="G498" s="2" t="s">
        <v>1479</v>
      </c>
      <c r="H498" s="2" t="s">
        <v>286</v>
      </c>
      <c r="I498" s="2" t="str">
        <f>IFERROR(__xludf.DUMMYFUNCTION("GOOGLETRANSLATE(C498,""fr"",""en"")"),"As part of the Chatel law, I sent my registered termination letter to MAIF. This was received on December 18, 2018. Without malice, I did not delete the direct debit authorization at my bank. And on January 8, 2018, the amount of the three insurances I wo"&amp;"uld have due to if I had not left with another insurer, was taken from my bank account. A few days later, the consultation of my bank account informs me of this situation. My reaction to obtain the reimbursement of this unjustified levy passed through tel"&amp;"ephone, written (SMS) communication and by interviews at the local delegation. What did I get? Nothing because I was responsible for this situation: I should have done otherwise and not take advantage of the Chatel law in December. On January 30, the refu"&amp;"nd was still not made. For the MAIF, I face a normal situation and I must accept an unjustified bank direct debit and wait for reimbursement. All this without compassion, without empathy, without taking into account the financial inconvenience (which will"&amp;" pay banking agios) because the software dictates its rule and no reactivity is permitted (???). I am still waiting for the mail which must ""specify the conditions under which this credit will be taken into account"". Nice formulation for the militant in"&amp;"surer who undertakes to ""promote this collaborative company where people trust themselves"". For my part, I no longer trust.")</f>
        <v>As part of the Chatel law, I sent my registered termination letter to MAIF. This was received on December 18, 2018. Without malice, I did not delete the direct debit authorization at my bank. And on January 8, 2018, the amount of the three insurances I would have due to if I had not left with another insurer, was taken from my bank account. A few days later, the consultation of my bank account informs me of this situation. My reaction to obtain the reimbursement of this unjustified levy passed through telephone, written (SMS) communication and by interviews at the local delegation. What did I get? Nothing because I was responsible for this situation: I should have done otherwise and not take advantage of the Chatel law in December. On January 30, the refund was still not made. For the MAIF, I face a normal situation and I must accept an unjustified bank direct debit and wait for reimbursement. All this without compassion, without empathy, without taking into account the financial inconvenience (which will pay banking agios) because the software dictates its rule and no reactivity is permitted (???). I am still waiting for the mail which must "specify the conditions under which this credit will be taken into account". Nice formulation for the militant insurer who undertakes to "promote this collaborative company where people trust themselves". For my part, I no longer trust.</v>
      </c>
    </row>
    <row r="499" ht="15.75" customHeight="1">
      <c r="B499" s="2" t="s">
        <v>1480</v>
      </c>
      <c r="C499" s="2" t="s">
        <v>1481</v>
      </c>
      <c r="D499" s="2" t="s">
        <v>1200</v>
      </c>
      <c r="E499" s="2" t="s">
        <v>14</v>
      </c>
      <c r="F499" s="2" t="s">
        <v>15</v>
      </c>
      <c r="G499" s="2" t="s">
        <v>1067</v>
      </c>
      <c r="H499" s="2" t="s">
        <v>286</v>
      </c>
      <c r="I499" s="2" t="str">
        <f>IFERROR(__xludf.DUMMYFUNCTION("GOOGLETRANSLATE(C499,""fr"",""en"")"),"Disgusted by this insurance which makes fun of respecting the legal provisions in matters of insurance and which applies the insurance code as it pleases !!!
It is impossible and not recommended to ask them for advice. It can cost you very dear!
I l"&amp;"earned it at my expense ...
Indeed, after calling one morning to obtain advice as insured, I learned that my requested advice turned into a ""Declaration of precautionary disaster"" and for which a penalty has been cut to me.
No claim (in the legal "&amp;"sense of the term) exists, this is the reason why I sent a LRAR to the MAIF so that the penalty is immediately removed.
He was withdrawn after contacting their services every day.
BUT ...
Despite a reminder, in my LRAR, of the articles of the insur"&amp;"ance code relating to the criteria constituting a disaster, the ""imaginary"" claim is now on my information statement and increases the amount of my annual subscription.
I asked that this mention appearing on my information statement is erased but I am "&amp;"maintained that the claim exists while the MAIF has no written declaration and that I have never asked for a declaration of a claim! !!! I asked that the recorded call was unearthed but obviously it was not.
This is what was replied to me: ""As we have"&amp;" specified to you, as soon as our member tells us about an event, we record the information in order to keep the date, place, circumstances, driver ... in the event that we are implicated by an opposing insurer. »»
This is a simple management choice bu"&amp;"t not a legal provision !!!
I was even criticized on the phone for not having been cheated in my explanations and that I would have had to remain vague at my request for advice.
Today, I suffer an unjustified additional cost and applied arbitrarily "&amp;"by this insurance, which claims to be a professional insurance professional when it acts in defiance of the laws and applies discretionary decisions to its insured.
Being a bailiff and above all a lawyer, I count inventing legal action to point the fin"&amp;"ger at illegal practices of Maif insurance.
I obviously intend to request damages for the damage caused by the payment of the additional cost of my annual subscription and the reimbursement of the sums that I am forced to settle unjustly, even if I chang"&amp;"e insurer.
I find it unfortunate that it is necessary to achieve such measures so that an insurer respects the rules imposed on it.
Without this disaster ""imaginary"", my annual subscription would be less expensive.
I hope that one of their supe"&amp;"r advisers will fall on this message and acted so that I avoid arriving at such measures ...")</f>
        <v>Disgusted by this insurance which makes fun of respecting the legal provisions in matters of insurance and which applies the insurance code as it pleases !!!
It is impossible and not recommended to ask them for advice. It can cost you very dear!
I learned it at my expense ...
Indeed, after calling one morning to obtain advice as insured, I learned that my requested advice turned into a "Declaration of precautionary disaster" and for which a penalty has been cut to me.
No claim (in the legal sense of the term) exists, this is the reason why I sent a LRAR to the MAIF so that the penalty is immediately removed.
He was withdrawn after contacting their services every day.
BUT ...
Despite a reminder, in my LRAR, of the articles of the insurance code relating to the criteria constituting a disaster, the "imaginary" claim is now on my information statement and increases the amount of my annual subscription.
I asked that this mention appearing on my information statement is erased but I am maintained that the claim exists while the MAIF has no written declaration and that I have never asked for a declaration of a claim! !!! I asked that the recorded call was unearthed but obviously it was not.
This is what was replied to me: "As we have specified to you, as soon as our member tells us about an event, we record the information in order to keep the date, place, circumstances, driver ... in the event that we are implicated by an opposing insurer. »»
This is a simple management choice but not a legal provision !!!
I was even criticized on the phone for not having been cheated in my explanations and that I would have had to remain vague at my request for advice.
Today, I suffer an unjustified additional cost and applied arbitrarily by this insurance, which claims to be a professional insurance professional when it acts in defiance of the laws and applies discretionary decisions to its insured.
Being a bailiff and above all a lawyer, I count inventing legal action to point the finger at illegal practices of Maif insurance.
I obviously intend to request damages for the damage caused by the payment of the additional cost of my annual subscription and the reimbursement of the sums that I am forced to settle unjustly, even if I change insurer.
I find it unfortunate that it is necessary to achieve such measures so that an insurer respects the rules imposed on it.
Without this disaster "imaginary", my annual subscription would be less expensive.
I hope that one of their super advisers will fall on this message and acted so that I avoid arriving at such measures ...</v>
      </c>
    </row>
    <row r="500" ht="15.75" customHeight="1">
      <c r="B500" s="2" t="s">
        <v>1482</v>
      </c>
      <c r="C500" s="2" t="s">
        <v>1483</v>
      </c>
      <c r="D500" s="2" t="s">
        <v>1200</v>
      </c>
      <c r="E500" s="2" t="s">
        <v>14</v>
      </c>
      <c r="F500" s="2" t="s">
        <v>15</v>
      </c>
      <c r="G500" s="2" t="s">
        <v>1484</v>
      </c>
      <c r="H500" s="2" t="s">
        <v>286</v>
      </c>
      <c r="I500" s="2" t="str">
        <f>IFERROR(__xludf.DUMMYFUNCTION("GOOGLETRANSLATE(C500,""fr"",""en"")"),"Ensuring since April 2017 with my first vehicle, 6 months later I broke down full highway; I called the assistant immediately (the highway being a private network) the highway we send me a convenience store, arrived at the garage my costs are covered by m"&amp;"y insurance (maif) that I do not know How to thank because they pray to all my transport costs in charge (train and taxi in a distance of more than 250km) but today I have changed my car less powerful than the first, I see my bill high.")</f>
        <v>Ensuring since April 2017 with my first vehicle, 6 months later I broke down full highway; I called the assistant immediately (the highway being a private network) the highway we send me a convenience store, arrived at the garage my costs are covered by my insurance (maif) that I do not know How to thank because they pray to all my transport costs in charge (train and taxi in a distance of more than 250km) but today I have changed my car less powerful than the first, I see my bill high.</v>
      </c>
    </row>
    <row r="501" ht="15.75" customHeight="1">
      <c r="B501" s="2" t="s">
        <v>1485</v>
      </c>
      <c r="C501" s="2" t="s">
        <v>1486</v>
      </c>
      <c r="D501" s="2" t="s">
        <v>1200</v>
      </c>
      <c r="E501" s="2" t="s">
        <v>14</v>
      </c>
      <c r="F501" s="2" t="s">
        <v>15</v>
      </c>
      <c r="G501" s="2" t="s">
        <v>1487</v>
      </c>
      <c r="H501" s="2" t="s">
        <v>587</v>
      </c>
      <c r="I501" s="2" t="str">
        <f>IFERROR(__xludf.DUMMYFUNCTION("GOOGLETRANSLATE(C501,""fr"",""en"")"),"It is insurance that practices lying, people are abused by their people and take you high. I had an accident with a prohibited parking car, having left him my contact details he never answered. Insurance (I do not cross them because they are liars) tells "&amp;"me that this person does not want to follow up, so this accident is my fault and want to stick to the guarantee costs and the penalty.
For another glitch or qq struck me, I am told that the garage I have chosen is not recognized by the maif and that I ha"&amp;"ve to pay all the costs, but when we go on their site we find it referenced , understand. My advice save yourself from this insurance, which is said to be a member, activist, but that is only the sneak for pigeons.")</f>
        <v>It is insurance that practices lying, people are abused by their people and take you high. I had an accident with a prohibited parking car, having left him my contact details he never answered. Insurance (I do not cross them because they are liars) tells me that this person does not want to follow up, so this accident is my fault and want to stick to the guarantee costs and the penalty.
For another glitch or qq struck me, I am told that the garage I have chosen is not recognized by the maif and that I have to pay all the costs, but when we go on their site we find it referenced , understand. My advice save yourself from this insurance, which is said to be a member, activist, but that is only the sneak for pigeons.</v>
      </c>
    </row>
    <row r="502" ht="15.75" customHeight="1">
      <c r="B502" s="2" t="s">
        <v>1488</v>
      </c>
      <c r="C502" s="2" t="s">
        <v>1489</v>
      </c>
      <c r="D502" s="2" t="s">
        <v>1200</v>
      </c>
      <c r="E502" s="2" t="s">
        <v>14</v>
      </c>
      <c r="F502" s="2" t="s">
        <v>15</v>
      </c>
      <c r="G502" s="2" t="s">
        <v>1490</v>
      </c>
      <c r="H502" s="2" t="s">
        <v>587</v>
      </c>
      <c r="I502" s="2" t="str">
        <f>IFERROR(__xludf.DUMMYFUNCTION("GOOGLETRANSLATE(C502,""fr"",""en"")"),"Insured for eight years, I strongly advise against this insurance, voluntary slip, which does not give a damn about its customers: shock at the right back of my C.C, at the stop and half repair of the bumper, shade of different paint. Barrier who is falli"&amp;"ng in my path: Maif refuses to take into account, I had to search for trials so that Maif deigns reimburse me. ... Finally, not at all attentive to its customers, not responding, administrative slowness, no interest in small customers ... I leave this bad"&amp;" mutual, the heart relieved, tired of having to justify themselves and above all, Camping Carists, study your contract well before signing with these sad sires.")</f>
        <v>Insured for eight years, I strongly advise against this insurance, voluntary slip, which does not give a damn about its customers: shock at the right back of my C.C, at the stop and half repair of the bumper, shade of different paint. Barrier who is falling in my path: Maif refuses to take into account, I had to search for trials so that Maif deigns reimburse me. ... Finally, not at all attentive to its customers, not responding, administrative slowness, no interest in small customers ... I leave this bad mutual, the heart relieved, tired of having to justify themselves and above all, Camping Carists, study your contract well before signing with these sad sires.</v>
      </c>
    </row>
    <row r="503" ht="15.75" customHeight="1">
      <c r="B503" s="2" t="s">
        <v>1491</v>
      </c>
      <c r="C503" s="2" t="s">
        <v>1492</v>
      </c>
      <c r="D503" s="2" t="s">
        <v>1200</v>
      </c>
      <c r="E503" s="2" t="s">
        <v>14</v>
      </c>
      <c r="F503" s="2" t="s">
        <v>15</v>
      </c>
      <c r="G503" s="2" t="s">
        <v>1493</v>
      </c>
      <c r="H503" s="2" t="s">
        <v>587</v>
      </c>
      <c r="I503" s="2" t="str">
        <f>IFERROR(__xludf.DUMMYFUNCTION("GOOGLETRANSLATE(C503,""fr"",""en"")"),"The mutualist spirit (sharing, solidarity, confidence) unfortunately disappeared.")</f>
        <v>The mutualist spirit (sharing, solidarity, confidence) unfortunately disappeared.</v>
      </c>
    </row>
    <row r="504" ht="15.75" customHeight="1">
      <c r="B504" s="2" t="s">
        <v>1494</v>
      </c>
      <c r="C504" s="2" t="s">
        <v>1495</v>
      </c>
      <c r="D504" s="2" t="s">
        <v>1200</v>
      </c>
      <c r="E504" s="2" t="s">
        <v>14</v>
      </c>
      <c r="F504" s="2" t="s">
        <v>15</v>
      </c>
      <c r="G504" s="2" t="s">
        <v>1496</v>
      </c>
      <c r="H504" s="2" t="s">
        <v>587</v>
      </c>
      <c r="I504" s="2" t="str">
        <f>IFERROR(__xludf.DUMMYFUNCTION("GOOGLETRANSLATE(C504,""fr"",""en"")"),"I believed that Maif was interesting at the price level, especially for young drivers, I was surprised to go and see elsewhere. A young driver at one time or another will have to ensure as a main driver to garner bonus and there is more the same thing. I "&amp;"resilled in maturity. This year, MAIF no longer covers if you have a flight in your car. be careful!")</f>
        <v>I believed that Maif was interesting at the price level, especially for young drivers, I was surprised to go and see elsewhere. A young driver at one time or another will have to ensure as a main driver to garner bonus and there is more the same thing. I resilled in maturity. This year, MAIF no longer covers if you have a flight in your car. be careful!</v>
      </c>
    </row>
    <row r="505" ht="15.75" customHeight="1">
      <c r="B505" s="2" t="s">
        <v>1497</v>
      </c>
      <c r="C505" s="2" t="s">
        <v>1498</v>
      </c>
      <c r="D505" s="2" t="s">
        <v>1200</v>
      </c>
      <c r="E505" s="2" t="s">
        <v>14</v>
      </c>
      <c r="F505" s="2" t="s">
        <v>15</v>
      </c>
      <c r="G505" s="2" t="s">
        <v>1499</v>
      </c>
      <c r="H505" s="2" t="s">
        <v>587</v>
      </c>
      <c r="I505" s="2" t="str">
        <f>IFERROR(__xludf.DUMMYFUNCTION("GOOGLETRANSLATE(C505,""fr"",""en"")"),"I have been a maif member for about 30 years, without any liable loss, I had 3 vehicles insured at La Maif, with 50% bonuses. For 4 years my son has used one of these car (306) insured to third party. Young driver he had 2 light clashes in 2016 and early "&amp;"2017.
In December I decide to ensure a new vehicle (new) and give the one I use to my son and replacement of the old 306. So I make quote, ""... Make your son with us, he will take advantage Of all the advantages ... ""and decides to ensure the 2 with fo"&amp;"rmulas formula plenitude.
And, when I receive my annual subscription statement I end up with a 20% penalty on one of the vehicles. They simply applied the penalty of a third -party contract to a plenitude contract.
I called Maif to have explanations and"&amp;" assert my loyalty, the only answer that was made to me ""is like that ... .. that's the law ..... a point that's all .... you get your 50% in 5 years ... ""Impossible to discuss.
I am very disappointed and feel betrayed by a mutual that does not reward "&amp;"the loyalty of his members.
I plan to leave this insurance as soon as possible.
")</f>
        <v>I have been a maif member for about 30 years, without any liable loss, I had 3 vehicles insured at La Maif, with 50% bonuses. For 4 years my son has used one of these car (306) insured to third party. Young driver he had 2 light clashes in 2016 and early 2017.
In December I decide to ensure a new vehicle (new) and give the one I use to my son and replacement of the old 306. So I make quote, "... Make your son with us, he will take advantage Of all the advantages ... "and decides to ensure the 2 with formulas formula plenitude.
And, when I receive my annual subscription statement I end up with a 20% penalty on one of the vehicles. They simply applied the penalty of a third -party contract to a plenitude contract.
I called Maif to have explanations and assert my loyalty, the only answer that was made to me "is like that ... .. that's the law ..... a point that's all .... you get your 50% in 5 years ... "Impossible to discuss.
I am very disappointed and feel betrayed by a mutual that does not reward the loyalty of his members.
I plan to leave this insurance as soon as possible.
</v>
      </c>
    </row>
    <row r="506" ht="15.75" customHeight="1">
      <c r="B506" s="2" t="s">
        <v>1500</v>
      </c>
      <c r="C506" s="2" t="s">
        <v>1501</v>
      </c>
      <c r="D506" s="2" t="s">
        <v>1200</v>
      </c>
      <c r="E506" s="2" t="s">
        <v>14</v>
      </c>
      <c r="F506" s="2" t="s">
        <v>15</v>
      </c>
      <c r="G506" s="2" t="s">
        <v>602</v>
      </c>
      <c r="H506" s="2" t="s">
        <v>297</v>
      </c>
      <c r="I506" s="2" t="str">
        <f>IFERROR(__xludf.DUMMYFUNCTION("GOOGLETRANSLATE(C506,""fr"",""en"")"),"I was terminated because I had declared 1 punctured tire requiring a convenience store ... where are we going!")</f>
        <v>I was terminated because I had declared 1 punctured tire requiring a convenience store ... where are we going!</v>
      </c>
    </row>
    <row r="507" ht="15.75" customHeight="1">
      <c r="B507" s="2" t="s">
        <v>1502</v>
      </c>
      <c r="C507" s="2" t="s">
        <v>1503</v>
      </c>
      <c r="D507" s="2" t="s">
        <v>1200</v>
      </c>
      <c r="E507" s="2" t="s">
        <v>14</v>
      </c>
      <c r="F507" s="2" t="s">
        <v>15</v>
      </c>
      <c r="G507" s="2" t="s">
        <v>1504</v>
      </c>
      <c r="H507" s="2" t="s">
        <v>297</v>
      </c>
      <c r="I507" s="2" t="str">
        <f>IFERROR(__xludf.DUMMYFUNCTION("GOOGLETRANSLATE(C507,""fr"",""en"")"),"On August 20, 2017 we had a claim on our car J A FAIR A Declaration on August 20 and a supplement on August 29 which was not taken by the disaster management which did not transmit to the expert who rendered in an incomplete report Without the elements of"&amp;" August 29 we have not been compensated and our vehicle other risk is damaged
A shame it has been making more than two months that we send emails of letters to the siege nothing happens humanly and psychologically we are at the end
This B insurance "&amp;"has no human mind and activism does not exist
Insurance to flee")</f>
        <v>On August 20, 2017 we had a claim on our car J A FAIR A Declaration on August 20 and a supplement on August 29 which was not taken by the disaster management which did not transmit to the expert who rendered in an incomplete report Without the elements of August 29 we have not been compensated and our vehicle other risk is damaged
A shame it has been making more than two months that we send emails of letters to the siege nothing happens humanly and psychologically we are at the end
This B insurance has no human mind and activism does not exist
Insurance to flee</v>
      </c>
    </row>
    <row r="508" ht="15.75" customHeight="1">
      <c r="B508" s="2" t="s">
        <v>1505</v>
      </c>
      <c r="C508" s="2" t="s">
        <v>1506</v>
      </c>
      <c r="D508" s="2" t="s">
        <v>1200</v>
      </c>
      <c r="E508" s="2" t="s">
        <v>14</v>
      </c>
      <c r="F508" s="2" t="s">
        <v>15</v>
      </c>
      <c r="G508" s="2" t="s">
        <v>1507</v>
      </c>
      <c r="H508" s="2" t="s">
        <v>1140</v>
      </c>
      <c r="I508" s="2" t="str">
        <f>IFERROR(__xludf.DUMMYFUNCTION("GOOGLETRANSLATE(C508,""fr"",""en"")"),"Hello. Following the theft of my caravan on June 28, knowing that the deficiency period is two weeks from the date due to filing the flight complaint, we are on July 31 and still no refund. The insurer did not transmit the documents of the file to the bai"&amp;"liff (documents transmitted electrically), and did not ask us for the keys (according to the bailiff must be provided ... suddenly they could only be sent July 29). In short more than two weeks behind reimbursement. No more customer reception in agency, a"&amp;"ll by internet, suddenly we are no longer customers but files. We lost empathy linked to human contact. For insurance that says ""certainly human""! ... They could have had the will to arrange our holidays with a quick refund ... but no.")</f>
        <v>Hello. Following the theft of my caravan on June 28, knowing that the deficiency period is two weeks from the date due to filing the flight complaint, we are on July 31 and still no refund. The insurer did not transmit the documents of the file to the bailiff (documents transmitted electrically), and did not ask us for the keys (according to the bailiff must be provided ... suddenly they could only be sent July 29). In short more than two weeks behind reimbursement. No more customer reception in agency, all by internet, suddenly we are no longer customers but files. We lost empathy linked to human contact. For insurance that says "certainly human"! ... They could have had the will to arrange our holidays with a quick refund ... but no.</v>
      </c>
    </row>
    <row r="509" ht="15.75" customHeight="1">
      <c r="B509" s="2" t="s">
        <v>1508</v>
      </c>
      <c r="C509" s="2" t="s">
        <v>1509</v>
      </c>
      <c r="D509" s="2" t="s">
        <v>1200</v>
      </c>
      <c r="E509" s="2" t="s">
        <v>14</v>
      </c>
      <c r="F509" s="2" t="s">
        <v>15</v>
      </c>
      <c r="G509" s="2" t="s">
        <v>1510</v>
      </c>
      <c r="H509" s="2" t="s">
        <v>1140</v>
      </c>
      <c r="I509" s="2" t="str">
        <f>IFERROR(__xludf.DUMMYFUNCTION("GOOGLETRANSLATE(C509,""fr"",""en"")"),"Above all, you should not be ensured to the third party because in this case, you are the service pariah")</f>
        <v>Above all, you should not be ensured to the third party because in this case, you are the service pariah</v>
      </c>
    </row>
    <row r="510" ht="15.75" customHeight="1">
      <c r="B510" s="2" t="s">
        <v>1511</v>
      </c>
      <c r="C510" s="2" t="s">
        <v>1512</v>
      </c>
      <c r="D510" s="2" t="s">
        <v>1200</v>
      </c>
      <c r="E510" s="2" t="s">
        <v>14</v>
      </c>
      <c r="F510" s="2" t="s">
        <v>15</v>
      </c>
      <c r="G510" s="2" t="s">
        <v>1513</v>
      </c>
      <c r="H510" s="2" t="s">
        <v>633</v>
      </c>
      <c r="I510" s="2" t="str">
        <f>IFERROR(__xludf.DUMMYFUNCTION("GOOGLETRANSLATE(C510,""fr"",""en"")"),"Service little suitable to suit the basic customer requests that are part of the ""furniture"" for generations.")</f>
        <v>Service little suitable to suit the basic customer requests that are part of the "furniture" for generations.</v>
      </c>
    </row>
    <row r="511" ht="15.75" customHeight="1">
      <c r="B511" s="2" t="s">
        <v>1514</v>
      </c>
      <c r="C511" s="2" t="s">
        <v>1515</v>
      </c>
      <c r="D511" s="2" t="s">
        <v>1200</v>
      </c>
      <c r="E511" s="2" t="s">
        <v>14</v>
      </c>
      <c r="F511" s="2" t="s">
        <v>15</v>
      </c>
      <c r="G511" s="2" t="s">
        <v>641</v>
      </c>
      <c r="H511" s="2" t="s">
        <v>633</v>
      </c>
      <c r="I511" s="2" t="str">
        <f>IFERROR(__xludf.DUMMYFUNCTION("GOOGLETRANSLATE(C511,""fr"",""en"")"),"Insured at Maif since 2013 to 2017 .. I am very satisfied with the service. Jai lived once a breakdown going to Bordeau, the service rendered was up to it. The price is for me well accessible because I started as a young driver and since I saw a considera"&amp;"ble drop")</f>
        <v>Insured at Maif since 2013 to 2017 .. I am very satisfied with the service. Jai lived once a breakdown going to Bordeau, the service rendered was up to it. The price is for me well accessible because I started as a young driver and since I saw a considerable drop</v>
      </c>
    </row>
    <row r="512" ht="15.75" customHeight="1">
      <c r="B512" s="2" t="s">
        <v>1516</v>
      </c>
      <c r="C512" s="2" t="s">
        <v>1517</v>
      </c>
      <c r="D512" s="2" t="s">
        <v>1200</v>
      </c>
      <c r="E512" s="2" t="s">
        <v>14</v>
      </c>
      <c r="F512" s="2" t="s">
        <v>15</v>
      </c>
      <c r="G512" s="2" t="s">
        <v>1518</v>
      </c>
      <c r="H512" s="2" t="s">
        <v>633</v>
      </c>
      <c r="I512" s="2" t="str">
        <f>IFERROR(__xludf.DUMMYFUNCTION("GOOGLETRANSLATE(C512,""fr"",""en"")"),"I have been insured for many years for all risks at MAIF, and many years without disaster. I had, last summer, an accident without third party responsible, and the vehicle was not deemed repairable by the expert, I was reimbursed by the MAIF. Having bough"&amp;"t a vehicle a few days ago and trusting MAIF, I called customer service to make a third -party car insurance quote. I was shocked to learn that I had taken 25 penalty points and that the quote amounted to 450 euros per year, for a basic formula at third p"&amp;"arty !!! MAIF is a very good mutual insurance when you have no claim and you have been insured at home for a long time! On the other hand, if you have had a disaster and want to reassure your vehicle at home, no consideration of your loyalty and your prof"&amp;"ile! You may have had no claim for many years, you will pay dearly for the slightest error !!! So I would not provide my new vehicle at Maif.")</f>
        <v>I have been insured for many years for all risks at MAIF, and many years without disaster. I had, last summer, an accident without third party responsible, and the vehicle was not deemed repairable by the expert, I was reimbursed by the MAIF. Having bought a vehicle a few days ago and trusting MAIF, I called customer service to make a third -party car insurance quote. I was shocked to learn that I had taken 25 penalty points and that the quote amounted to 450 euros per year, for a basic formula at third party !!! MAIF is a very good mutual insurance when you have no claim and you have been insured at home for a long time! On the other hand, if you have had a disaster and want to reassure your vehicle at home, no consideration of your loyalty and your profile! You may have had no claim for many years, you will pay dearly for the slightest error !!! So I would not provide my new vehicle at Maif.</v>
      </c>
    </row>
    <row r="513" ht="15.75" customHeight="1">
      <c r="B513" s="2" t="s">
        <v>1519</v>
      </c>
      <c r="C513" s="2" t="s">
        <v>1520</v>
      </c>
      <c r="D513" s="2" t="s">
        <v>1200</v>
      </c>
      <c r="E513" s="2" t="s">
        <v>14</v>
      </c>
      <c r="F513" s="2" t="s">
        <v>15</v>
      </c>
      <c r="G513" s="2" t="s">
        <v>1521</v>
      </c>
      <c r="H513" s="2" t="s">
        <v>305</v>
      </c>
      <c r="I513" s="2" t="str">
        <f>IFERROR(__xludf.DUMMYFUNCTION("GOOGLETRANSLATE(C513,""fr"",""en"")"),"Very well as long as there is no claim to declare. At the slightest glitch, the promises are not held and the MAIF is far from the militant insurer announced. It is even rather a sclerotic administration administered by teachers out of step with their tim"&amp;"e. If you are young with your future ahead of you, advice, go your way.")</f>
        <v>Very well as long as there is no claim to declare. At the slightest glitch, the promises are not held and the MAIF is far from the militant insurer announced. It is even rather a sclerotic administration administered by teachers out of step with their time. If you are young with your future ahead of you, advice, go your way.</v>
      </c>
    </row>
    <row r="514" ht="15.75" customHeight="1">
      <c r="B514" s="2" t="s">
        <v>1522</v>
      </c>
      <c r="C514" s="2" t="s">
        <v>1523</v>
      </c>
      <c r="D514" s="2" t="s">
        <v>1200</v>
      </c>
      <c r="E514" s="2" t="s">
        <v>14</v>
      </c>
      <c r="F514" s="2" t="s">
        <v>15</v>
      </c>
      <c r="G514" s="2" t="s">
        <v>1524</v>
      </c>
      <c r="H514" s="2" t="s">
        <v>305</v>
      </c>
      <c r="I514" s="2" t="str">
        <f>IFERROR(__xludf.DUMMYFUNCTION("GOOGLETRANSLATE(C514,""fr"",""en"")"),"No
No service
Non -existent customer relationship
Arbitrary reimbursement
Zero loyalty
And the list is long")</f>
        <v>No
No service
Non -existent customer relationship
Arbitrary reimbursement
Zero loyalty
And the list is long</v>
      </c>
    </row>
    <row r="515" ht="15.75" customHeight="1">
      <c r="B515" s="2" t="s">
        <v>1525</v>
      </c>
      <c r="C515" s="2" t="s">
        <v>1526</v>
      </c>
      <c r="D515" s="2" t="s">
        <v>1200</v>
      </c>
      <c r="E515" s="2" t="s">
        <v>14</v>
      </c>
      <c r="F515" s="2" t="s">
        <v>15</v>
      </c>
      <c r="G515" s="2" t="s">
        <v>646</v>
      </c>
      <c r="H515" s="2" t="s">
        <v>647</v>
      </c>
      <c r="I515" s="2" t="str">
        <f>IFERROR(__xludf.DUMMYFUNCTION("GOOGLETRANSLATE(C515,""fr"",""en"")"),"hello I had a car accident on March 27, 2017 while I was parking a vehicle hit by the rear my car was very damaged rear wheel. Was take the hospital for exams for 4 weeks of work stoppage
So my car was transported to the Peugeot garage in the area withou"&amp;"t my agreement, Tuesday March 28 I went to the garage in question I told me that the expert alle Sign a repair order, but a week after I am told that the garage was no longer able to repair it because the Delai was going to be too long, so I contacted the"&amp;" Volkswagen garage next because it was a ladybug it took 2 weeks To transfer the car, my vehicle to date has not still been repaired it is in a parking lot and the pompom is that the expert tells me that it is me to order the aluminum rims because they ar"&amp;"e not dorigine.
I also had contacting a contract for any risk .....
And a corporeal PACS contract but nothing has been taken into account to date on the phone I am answered that I do not have to complain about I am ready a car")</f>
        <v>hello I had a car accident on March 27, 2017 while I was parking a vehicle hit by the rear my car was very damaged rear wheel. Was take the hospital for exams for 4 weeks of work stoppage
So my car was transported to the Peugeot garage in the area without my agreement, Tuesday March 28 I went to the garage in question I told me that the expert alle Sign a repair order, but a week after I am told that the garage was no longer able to repair it because the Delai was going to be too long, so I contacted the Volkswagen garage next because it was a ladybug it took 2 weeks To transfer the car, my vehicle to date has not still been repaired it is in a parking lot and the pompom is that the expert tells me that it is me to order the aluminum rims because they are not dorigine.
I also had contacting a contract for any risk .....
And a corporeal PACS contract but nothing has been taken into account to date on the phone I am answered that I do not have to complain about I am ready a car</v>
      </c>
    </row>
    <row r="516" ht="15.75" customHeight="1">
      <c r="B516" s="2" t="s">
        <v>1527</v>
      </c>
      <c r="C516" s="2" t="s">
        <v>1528</v>
      </c>
      <c r="D516" s="2" t="s">
        <v>1200</v>
      </c>
      <c r="E516" s="2" t="s">
        <v>14</v>
      </c>
      <c r="F516" s="2" t="s">
        <v>15</v>
      </c>
      <c r="G516" s="2" t="s">
        <v>1529</v>
      </c>
      <c r="H516" s="2" t="s">
        <v>651</v>
      </c>
      <c r="I516" s="2" t="str">
        <f>IFERROR(__xludf.DUMMYFUNCTION("GOOGLETRANSLATE(C516,""fr"",""en"")"),"Member for 33 years, I am dismayed by the new telephone reception service set up. No more contact with the city of the city of Rouen. Direct dismissal on a platform. Interlocutor who does not have the fact of my contract, no computer link, little or no li"&amp;"stening and interpretation of the questions asked. Insurer not militant.
")</f>
        <v>Member for 33 years, I am dismayed by the new telephone reception service set up. No more contact with the city of the city of Rouen. Direct dismissal on a platform. Interlocutor who does not have the fact of my contract, no computer link, little or no listening and interpretation of the questions asked. Insurer not militant.
</v>
      </c>
    </row>
    <row r="517" ht="15.75" customHeight="1">
      <c r="B517" s="2" t="s">
        <v>1530</v>
      </c>
      <c r="C517" s="2" t="s">
        <v>1531</v>
      </c>
      <c r="D517" s="2" t="s">
        <v>1200</v>
      </c>
      <c r="E517" s="2" t="s">
        <v>14</v>
      </c>
      <c r="F517" s="2" t="s">
        <v>15</v>
      </c>
      <c r="G517" s="2" t="s">
        <v>1532</v>
      </c>
      <c r="H517" s="2" t="s">
        <v>651</v>
      </c>
      <c r="I517" s="2" t="str">
        <f>IFERROR(__xludf.DUMMYFUNCTION("GOOGLETRANSLATE(C517,""fr"",""en"")"),"MAIF customer, I have nothing to complain about on the services they offer. They are responsive and offer me interesting prices. It is easy to have your contract changed with an online advisor on the phone. All the interlocutors I have to date have been a"&amp;"ble to explain and advise me.")</f>
        <v>MAIF customer, I have nothing to complain about on the services they offer. They are responsive and offer me interesting prices. It is easy to have your contract changed with an online advisor on the phone. All the interlocutors I have to date have been able to explain and advise me.</v>
      </c>
    </row>
    <row r="518" ht="15.75" customHeight="1">
      <c r="B518" s="2" t="s">
        <v>1533</v>
      </c>
      <c r="C518" s="2" t="s">
        <v>1534</v>
      </c>
      <c r="D518" s="2" t="s">
        <v>1200</v>
      </c>
      <c r="E518" s="2" t="s">
        <v>14</v>
      </c>
      <c r="F518" s="2" t="s">
        <v>15</v>
      </c>
      <c r="G518" s="2" t="s">
        <v>1535</v>
      </c>
      <c r="H518" s="2" t="s">
        <v>313</v>
      </c>
      <c r="I518" s="2" t="str">
        <f>IFERROR(__xludf.DUMMYFUNCTION("GOOGLETRANSLATE(C518,""fr"",""en"")"),"Extremely disappointed, always assured at Maif, in addition to the moral damage to the theft of my vehicle, I have been waiting for care for almost 3 months ... and assured ""all risks"" no longer means anything since I Make me alone to circulate and work"&amp;" since, when I call to find out where my file is, I never have the same interlocutor, no compassion for the situation that becomes more than difficult ... then the mutual spirit. An illusion, to forget, is a company like any other or what apparently matte"&amp;"rs are our contributions.")</f>
        <v>Extremely disappointed, always assured at Maif, in addition to the moral damage to the theft of my vehicle, I have been waiting for care for almost 3 months ... and assured "all risks" no longer means anything since I Make me alone to circulate and work since, when I call to find out where my file is, I never have the same interlocutor, no compassion for the situation that becomes more than difficult ... then the mutual spirit. An illusion, to forget, is a company like any other or what apparently matters are our contributions.</v>
      </c>
    </row>
    <row r="519" ht="15.75" customHeight="1">
      <c r="B519" s="2" t="s">
        <v>1536</v>
      </c>
      <c r="C519" s="2" t="s">
        <v>1537</v>
      </c>
      <c r="D519" s="2" t="s">
        <v>1200</v>
      </c>
      <c r="E519" s="2" t="s">
        <v>14</v>
      </c>
      <c r="F519" s="2" t="s">
        <v>15</v>
      </c>
      <c r="G519" s="2" t="s">
        <v>1538</v>
      </c>
      <c r="H519" s="2" t="s">
        <v>313</v>
      </c>
      <c r="I519" s="2" t="str">
        <f>IFERROR(__xludf.DUMMYFUNCTION("GOOGLETRANSLATE(C519,""fr"",""en"")"),"Years ago, it was enough to make a phone call to the Maif and everything was settled quickly. Now, we spend days and days in telephone and written exchanges, and nothing is ever settled: we count on the exhaustion of the insured, which will not be reimbur"&amp;"sed in the end. In short: an insurer like the others - but more expensive!")</f>
        <v>Years ago, it was enough to make a phone call to the Maif and everything was settled quickly. Now, we spend days and days in telephone and written exchanges, and nothing is ever settled: we count on the exhaustion of the insured, which will not be reimbursed in the end. In short: an insurer like the others - but more expensive!</v>
      </c>
    </row>
    <row r="520" ht="15.75" customHeight="1">
      <c r="B520" s="2" t="s">
        <v>1539</v>
      </c>
      <c r="C520" s="2" t="s">
        <v>1540</v>
      </c>
      <c r="D520" s="2" t="s">
        <v>1200</v>
      </c>
      <c r="E520" s="2" t="s">
        <v>14</v>
      </c>
      <c r="F520" s="2" t="s">
        <v>15</v>
      </c>
      <c r="G520" s="2" t="s">
        <v>1541</v>
      </c>
      <c r="H520" s="2" t="s">
        <v>313</v>
      </c>
      <c r="I520" s="2" t="str">
        <f>IFERROR(__xludf.DUMMYFUNCTION("GOOGLETRANSLATE(C520,""fr"",""en"")"),"I do not recommend everyone to go to Maif. An insurer who is very present for invoices, to subscribe, to take additional and completely useless insurance .. that yes ..!
But totally absent when it comes to listening to you, contacting you and helping you"&amp;" in an approach related to his heart of the theoretical business: ""insurer"".
The only thing that MAIF can ensure correctly is the dissatisfaction that you will have in the event of the slightest claim, or in your efforts.
Advisers who allow yourself t"&amp;"o transfer to other advisers to whom you must re-explain everything, without warning if your case is too ""boring to manage"". #Pingpong it's true that it's always pleasant.
I must admit that from the start they were not effective ... for housing insuran"&amp;"ce. They could not properly write the address of the accommodation, which has delayed my steps. I had to contact them. It is true that today no tool makes it possible to verify the existence of the streets. #Google map
For car insurance everything is fin"&amp;"e when everything is fine ...! If you have a glitch: do not count on the maif to try to understand your case and help you, it will perhaps remind you once their deliberate judgment on assumptions ... if they are not sure of a situation they will not remem"&amp;"ber, they will prefer to launch a die;). A good old automatic mailing with PDF file attached, story not to get too tired on writing the email and to make their deliberation #ssuremilitant #lol
To finish if you are young, that you are starting in working "&amp;"life, be very careful! You will be poorly guided, orient to their advantage and the procedures will be expeditious. After all, young = inexperienced, it's true ""you have to take advantage of it !!"" And I'm not talking about housing insurance rates.
In "&amp;"short we leave asap")</f>
        <v>I do not recommend everyone to go to Maif. An insurer who is very present for invoices, to subscribe, to take additional and completely useless insurance .. that yes ..!
But totally absent when it comes to listening to you, contacting you and helping you in an approach related to his heart of the theoretical business: "insurer".
The only thing that MAIF can ensure correctly is the dissatisfaction that you will have in the event of the slightest claim, or in your efforts.
Advisers who allow yourself to transfer to other advisers to whom you must re-explain everything, without warning if your case is too "boring to manage". #Pingpong it's true that it's always pleasant.
I must admit that from the start they were not effective ... for housing insurance. They could not properly write the address of the accommodation, which has delayed my steps. I had to contact them. It is true that today no tool makes it possible to verify the existence of the streets. #Google map
For car insurance everything is fine when everything is fine ...! If you have a glitch: do not count on the maif to try to understand your case and help you, it will perhaps remind you once their deliberate judgment on assumptions ... if they are not sure of a situation they will not remember, they will prefer to launch a die;). A good old automatic mailing with PDF file attached, story not to get too tired on writing the email and to make their deliberation #ssuremilitant #lol
To finish if you are young, that you are starting in working life, be very careful! You will be poorly guided, orient to their advantage and the procedures will be expeditious. After all, young = inexperienced, it's true "you have to take advantage of it !!" And I'm not talking about housing insurance rates.
In short we leave asap</v>
      </c>
    </row>
    <row r="521" ht="15.75" customHeight="1">
      <c r="B521" s="2" t="s">
        <v>1542</v>
      </c>
      <c r="C521" s="2" t="s">
        <v>1543</v>
      </c>
      <c r="D521" s="2" t="s">
        <v>1200</v>
      </c>
      <c r="E521" s="2" t="s">
        <v>14</v>
      </c>
      <c r="F521" s="2" t="s">
        <v>15</v>
      </c>
      <c r="G521" s="2" t="s">
        <v>1544</v>
      </c>
      <c r="H521" s="2" t="s">
        <v>313</v>
      </c>
      <c r="I521" s="2" t="str">
        <f>IFERROR(__xludf.DUMMYFUNCTION("GOOGLETRANSLATE(C521,""fr"",""en"")"),"The maif evolves ...
Following a different of a few hundred euros on a ""minimum"" repair of automotive body, which did not return to my vehicle its original characteristics and which quickly deteriorated, I sent two explanatory letters And argued to whi"&amp;"ch I only received typical answers, lapidary and not answering my questions.
I ended up clearly asking for a concrete and non -dilatory response, result: more response ... !!
When I became MAIF member over 40 years ago, I was received by old activists"&amp;" with whom I was able to discuss the mutualist spirit of this insurance, who were there, to exchange, dialogue, Explain and respond, with empathy and proximity, to the small problems encountered.
Today, in the offices reduced to the strict minimum of loc"&amp;"al agencies, we only meet open interlocutors if we come ... to deposit his savings ..!
For the rest, you must send emails or letters to which it is easy to answer ""next to it"" or not to answer at all when they disturb.
There is a notorious differenc"&amp;"e between the ""customer relations"" whose maif is proud and the real taking into account of the requests of the insured.
Given how my little insurance problem has been taken into account and treated, my savings are gone elsewhere, in another mutualist"&amp;" establishment because personally I remain faithful to this state of mind, but not to Maif.")</f>
        <v>The maif evolves ...
Following a different of a few hundred euros on a "minimum" repair of automotive body, which did not return to my vehicle its original characteristics and which quickly deteriorated, I sent two explanatory letters And argued to which I only received typical answers, lapidary and not answering my questions.
I ended up clearly asking for a concrete and non -dilatory response, result: more response ... !!
When I became MAIF member over 40 years ago, I was received by old activists with whom I was able to discuss the mutualist spirit of this insurance, who were there, to exchange, dialogue, Explain and respond, with empathy and proximity, to the small problems encountered.
Today, in the offices reduced to the strict minimum of local agencies, we only meet open interlocutors if we come ... to deposit his savings ..!
For the rest, you must send emails or letters to which it is easy to answer "next to it" or not to answer at all when they disturb.
There is a notorious difference between the "customer relations" whose maif is proud and the real taking into account of the requests of the insured.
Given how my little insurance problem has been taken into account and treated, my savings are gone elsewhere, in another mutualist establishment because personally I remain faithful to this state of mind, but not to Maif.</v>
      </c>
    </row>
    <row r="522" ht="15.75" customHeight="1">
      <c r="B522" s="2" t="s">
        <v>1545</v>
      </c>
      <c r="C522" s="2" t="s">
        <v>1546</v>
      </c>
      <c r="D522" s="2" t="s">
        <v>1200</v>
      </c>
      <c r="E522" s="2" t="s">
        <v>14</v>
      </c>
      <c r="F522" s="2" t="s">
        <v>15</v>
      </c>
      <c r="G522" s="2" t="s">
        <v>313</v>
      </c>
      <c r="H522" s="2" t="s">
        <v>313</v>
      </c>
      <c r="I522" s="2" t="str">
        <f>IFERROR(__xludf.DUMMYFUNCTION("GOOGLETRANSLATE(C522,""fr"",""en"")"),"After 7 years as a member, the MAIF ejected me as a clean evil, because of 2 broken ice that I pay and 2 accidents, 1 responsible and the other not but we are 3 drivers. .")</f>
        <v>After 7 years as a member, the MAIF ejected me as a clean evil, because of 2 broken ice that I pay and 2 accidents, 1 responsible and the other not but we are 3 drivers. .</v>
      </c>
    </row>
    <row r="523" ht="15.75" customHeight="1">
      <c r="B523" s="2" t="s">
        <v>1547</v>
      </c>
      <c r="C523" s="2" t="s">
        <v>1548</v>
      </c>
      <c r="D523" s="2" t="s">
        <v>1200</v>
      </c>
      <c r="E523" s="2" t="s">
        <v>14</v>
      </c>
      <c r="F523" s="2" t="s">
        <v>15</v>
      </c>
      <c r="G523" s="2" t="s">
        <v>1549</v>
      </c>
      <c r="H523" s="2" t="s">
        <v>317</v>
      </c>
      <c r="I523" s="2" t="str">
        <f>IFERROR(__xludf.DUMMYFUNCTION("GOOGLETRANSLATE(C523,""fr"",""en"")"),"Following a dispute than my son with a mechanic (repair and advice faults), the long -standing MAIF insured that we have just discovered that they do not benefit from legal protection for a vehicle over 4 Another ... Imotech can provide you with advice, b"&amp;"ut demerde on your own: in other words, the message is clear for each militant insurer that we are: pay, shut up and above all pray to the sky not to need it!")</f>
        <v>Following a dispute than my son with a mechanic (repair and advice faults), the long -standing MAIF insured that we have just discovered that they do not benefit from legal protection for a vehicle over 4 Another ... Imotech can provide you with advice, but demerde on your own: in other words, the message is clear for each militant insurer that we are: pay, shut up and above all pray to the sky not to need it!</v>
      </c>
    </row>
    <row r="524" ht="15.75" customHeight="1">
      <c r="B524" s="2" t="s">
        <v>1550</v>
      </c>
      <c r="C524" s="2" t="s">
        <v>1551</v>
      </c>
      <c r="D524" s="2" t="s">
        <v>1200</v>
      </c>
      <c r="E524" s="2" t="s">
        <v>14</v>
      </c>
      <c r="F524" s="2" t="s">
        <v>15</v>
      </c>
      <c r="G524" s="2" t="s">
        <v>1552</v>
      </c>
      <c r="H524" s="2" t="s">
        <v>317</v>
      </c>
      <c r="I524" s="2" t="str">
        <f>IFERROR(__xludf.DUMMYFUNCTION("GOOGLETRANSLATE(C524,""fr"",""en"")"),"I bought a car on August 30 of 2010 from Aemg Auto in Saint Genis Laval (garage to avoid absolutely ...). Now I have a problem with me. I then contact my maif legal protection. But this explains to me that I only have the right to legal advice and not pro"&amp;"tection because my vehicle is over 4 years old ... I must therefore take a lawyer, do an expertise ... Go to the court of Big instance at my expense. I point out that legal advice was of poor quality. So I do not recommend Maif. Even my lawyer does not un"&amp;"derstand that MAIF does not give me legal protection. I specify that I provide two vehicles and several real estate life. I also pay each month for legal protection but which is not one. Cordially")</f>
        <v>I bought a car on August 30 of 2010 from Aemg Auto in Saint Genis Laval (garage to avoid absolutely ...). Now I have a problem with me. I then contact my maif legal protection. But this explains to me that I only have the right to legal advice and not protection because my vehicle is over 4 years old ... I must therefore take a lawyer, do an expertise ... Go to the court of Big instance at my expense. I point out that legal advice was of poor quality. So I do not recommend Maif. Even my lawyer does not understand that MAIF does not give me legal protection. I specify that I provide two vehicles and several real estate life. I also pay each month for legal protection but which is not one. Cordially</v>
      </c>
    </row>
    <row r="525" ht="15.75" customHeight="1">
      <c r="B525" s="2" t="s">
        <v>1553</v>
      </c>
      <c r="C525" s="2" t="s">
        <v>1554</v>
      </c>
      <c r="D525" s="2" t="s">
        <v>1200</v>
      </c>
      <c r="E525" s="2" t="s">
        <v>14</v>
      </c>
      <c r="F525" s="2" t="s">
        <v>15</v>
      </c>
      <c r="G525" s="2" t="s">
        <v>1185</v>
      </c>
      <c r="H525" s="2" t="s">
        <v>317</v>
      </c>
      <c r="I525" s="2" t="str">
        <f>IFERROR(__xludf.DUMMYFUNCTION("GOOGLETRANSLATE(C525,""fr"",""en"")"),"In June 2012 I was returned to the back of my car by drinking motorism (automobilism led by the force of order). In November 2015 the MAIF was still to tell me that I was perhaps responsible for the accident they were still waiting for the police report ("&amp;"after 3 and a half years). From this moment I started to get angry, registered letter, appointment with an activist (who told me that she could do nothing) regular telephone call, trip to the local agency. I ended up getting the case and payment of part o"&amp;"f the damage I asked in July 2016.
During September I received from the MAIF a letter terminating all of my contracts (home + 2 cars) for ""degradation of commercial relations"". One wonders who is at the origin of the degradation of commercial relations"&amp;" !!
In November I therefore receive the counting of the contributions paid the maif that they were announcing that they had to pay me 675 euros (advance on the 2017 contributions). Not seeing anything coming I called them to find out or was the refund I "&amp;"was told that the reimbursement would take place in early January 2017 because my last contract ended at the end of 2016. I still noticed that the reimbursement concerned 2017 that it was Several months that the advance had been made, that a reimbursement"&amp;" bill had been issued by the MAIF on 10/10/2016, that I paid for new insurance contracts and that the MAIF made money on the back of his insured. It was told that the state system like this, that the transfer could not be done until January because the cl"&amp;"osing of the contracts would take place at the end of December.
I threatened to go to the local agency of the Maif and to make a scandal there and after half an hour on the phone, my interlocutor contacted the headquarters to tell me that they were going"&amp;" to reimburse contributions paid for 2017, reimbursement that I received this morning.
Like what it was quite possible to make a transfer outside their usual system.
I do not recommend MAIF who like most insurances first see its interest before that of "&amp;"its insured, drag the files even if you are not responsible and in addition do everything to delay the reimbursements of the contributions paid wrongly .
I make available all the necessary parts to justify my statements.")</f>
        <v>In June 2012 I was returned to the back of my car by drinking motorism (automobilism led by the force of order). In November 2015 the MAIF was still to tell me that I was perhaps responsible for the accident they were still waiting for the police report (after 3 and a half years). From this moment I started to get angry, registered letter, appointment with an activist (who told me that she could do nothing) regular telephone call, trip to the local agency. I ended up getting the case and payment of part of the damage I asked in July 2016.
During September I received from the MAIF a letter terminating all of my contracts (home + 2 cars) for "degradation of commercial relations". One wonders who is at the origin of the degradation of commercial relations !!
In November I therefore receive the counting of the contributions paid the maif that they were announcing that they had to pay me 675 euros (advance on the 2017 contributions). Not seeing anything coming I called them to find out or was the refund I was told that the reimbursement would take place in early January 2017 because my last contract ended at the end of 2016. I still noticed that the reimbursement concerned 2017 that it was Several months that the advance had been made, that a reimbursement bill had been issued by the MAIF on 10/10/2016, that I paid for new insurance contracts and that the MAIF made money on the back of his insured. It was told that the state system like this, that the transfer could not be done until January because the closing of the contracts would take place at the end of December.
I threatened to go to the local agency of the Maif and to make a scandal there and after half an hour on the phone, my interlocutor contacted the headquarters to tell me that they were going to reimburse contributions paid for 2017, reimbursement that I received this morning.
Like what it was quite possible to make a transfer outside their usual system.
I do not recommend MAIF who like most insurances first see its interest before that of its insured, drag the files even if you are not responsible and in addition do everything to delay the reimbursements of the contributions paid wrongly .
I make available all the necessary parts to justify my statements.</v>
      </c>
    </row>
    <row r="526" ht="15.75" customHeight="1">
      <c r="B526" s="2" t="s">
        <v>1555</v>
      </c>
      <c r="C526" s="2" t="s">
        <v>1556</v>
      </c>
      <c r="D526" s="2" t="s">
        <v>1200</v>
      </c>
      <c r="E526" s="2" t="s">
        <v>14</v>
      </c>
      <c r="F526" s="2" t="s">
        <v>15</v>
      </c>
      <c r="G526" s="2" t="s">
        <v>679</v>
      </c>
      <c r="H526" s="2" t="s">
        <v>317</v>
      </c>
      <c r="I526" s="2" t="str">
        <f>IFERROR(__xludf.DUMMYFUNCTION("GOOGLETRANSLATE(C526,""fr"",""en"")"),"They are not the cheapest on the market but they can be trusted 100%. Ultra fast customer service, full of good advice, you really remember it when they say they will. We wanted to change for All Secur (for prices) but finally, we quickly returned home")</f>
        <v>They are not the cheapest on the market but they can be trusted 100%. Ultra fast customer service, full of good advice, you really remember it when they say they will. We wanted to change for All Secur (for prices) but finally, we quickly returned home</v>
      </c>
    </row>
    <row r="527" ht="15.75" customHeight="1">
      <c r="B527" s="2" t="s">
        <v>1557</v>
      </c>
      <c r="C527" s="2" t="s">
        <v>1558</v>
      </c>
      <c r="D527" s="2" t="s">
        <v>1559</v>
      </c>
      <c r="E527" s="2" t="s">
        <v>14</v>
      </c>
      <c r="F527" s="2" t="s">
        <v>15</v>
      </c>
      <c r="G527" s="2" t="s">
        <v>1560</v>
      </c>
      <c r="H527" s="2" t="s">
        <v>325</v>
      </c>
      <c r="I527" s="2" t="str">
        <f>IFERROR(__xludf.DUMMYFUNCTION("GOOGLETRANSLATE(C527,""fr"",""en"")"),"Price level is equitable even interesting but as soon as there is an accident, you are treated like a culprit even when you are not responsible for anything.
Two non -responsible accidents, one with a third party identified and which assumes its responsi"&amp;"bility, a parking accident, therefore no identified third party.
He sent me a termination letter and the company tells me that I will be relieved in the database.
For a non -responsible person, the company could have offered me another solution as a dif"&amp;"ferent price proposal to compensate by considering that I am not responsible and should not be treated as a culprit by putting myself on the list of drivers at risk . In summary a driver who has an accident without responsibility should not be treated as "&amp;"a driver who has an accident for which he is responsible.")</f>
        <v>Price level is equitable even interesting but as soon as there is an accident, you are treated like a culprit even when you are not responsible for anything.
Two non -responsible accidents, one with a third party identified and which assumes its responsibility, a parking accident, therefore no identified third party.
He sent me a termination letter and the company tells me that I will be relieved in the database.
For a non -responsible person, the company could have offered me another solution as a different price proposal to compensate by considering that I am not responsible and should not be treated as a culprit by putting myself on the list of drivers at risk . In summary a driver who has an accident without responsibility should not be treated as a driver who has an accident for which he is responsible.</v>
      </c>
    </row>
    <row r="528" ht="15.75" customHeight="1">
      <c r="B528" s="2" t="s">
        <v>1561</v>
      </c>
      <c r="C528" s="2" t="s">
        <v>1562</v>
      </c>
      <c r="D528" s="2" t="s">
        <v>1559</v>
      </c>
      <c r="E528" s="2" t="s">
        <v>14</v>
      </c>
      <c r="F528" s="2" t="s">
        <v>15</v>
      </c>
      <c r="G528" s="2" t="s">
        <v>1563</v>
      </c>
      <c r="H528" s="2" t="s">
        <v>325</v>
      </c>
      <c r="I528" s="2" t="str">
        <f>IFERROR(__xludf.DUMMYFUNCTION("GOOGLETRANSLATE(C528,""fr"",""en"")"),"To flee they terminated me the contract for a hanging of a wing when I have not been in wrong I am 50% for 30 years it is a shame he tells me that it is they who still pay fortunately we are insured for")</f>
        <v>To flee they terminated me the contract for a hanging of a wing when I have not been in wrong I am 50% for 30 years it is a shame he tells me that it is they who still pay fortunately we are insured for</v>
      </c>
    </row>
    <row r="529" ht="15.75" customHeight="1">
      <c r="B529" s="2" t="s">
        <v>1564</v>
      </c>
      <c r="C529" s="2" t="s">
        <v>1565</v>
      </c>
      <c r="D529" s="2" t="s">
        <v>1559</v>
      </c>
      <c r="E529" s="2" t="s">
        <v>14</v>
      </c>
      <c r="F529" s="2" t="s">
        <v>15</v>
      </c>
      <c r="G529" s="2" t="s">
        <v>1566</v>
      </c>
      <c r="H529" s="2" t="s">
        <v>329</v>
      </c>
      <c r="I529" s="2" t="str">
        <f>IFERROR(__xludf.DUMMYFUNCTION("GOOGLETRANSLATE(C529,""fr"",""en"")"),"A month that I await the repair of my vehicle, the expert refuses to repair my car, and never reminds me, moreover he does not respect the law, a guignol
No better at Eurofil Aviva, hours to answer on Facebook, and hours after they respond to me at 6.15 "&amp;"p.m., that they are stingy.
I spent hours on the phone and lots of documents for my disaster, and nothing moves, they take me for an idiot.
A month after nothing moves.
So from tomorrow I seize you and the expert in court")</f>
        <v>A month that I await the repair of my vehicle, the expert refuses to repair my car, and never reminds me, moreover he does not respect the law, a guignol
No better at Eurofil Aviva, hours to answer on Facebook, and hours after they respond to me at 6.15 p.m., that they are stingy.
I spent hours on the phone and lots of documents for my disaster, and nothing moves, they take me for an idiot.
A month after nothing moves.
So from tomorrow I seize you and the expert in court</v>
      </c>
    </row>
    <row r="530" ht="15.75" customHeight="1">
      <c r="B530" s="2" t="s">
        <v>1567</v>
      </c>
      <c r="C530" s="2" t="s">
        <v>1568</v>
      </c>
      <c r="D530" s="2" t="s">
        <v>1559</v>
      </c>
      <c r="E530" s="2" t="s">
        <v>14</v>
      </c>
      <c r="F530" s="2" t="s">
        <v>15</v>
      </c>
      <c r="G530" s="2" t="s">
        <v>1569</v>
      </c>
      <c r="H530" s="2" t="s">
        <v>329</v>
      </c>
      <c r="I530" s="2" t="str">
        <f>IFERROR(__xludf.DUMMYFUNCTION("GOOGLETRANSLATE(C530,""fr"",""en"")"),"As long as there is no claim everything is fine, the day you have one, it's a real hassle in all areas.
The expert does not do his job correctly.
He changes the work, does not put all the parts to replace in his report.
And he asks to do the minimum (a"&amp;" few hundred euros) with used parts on your vehicle, otherwise he tells you in wreck while she cost you thousands of euros.
We wonder why we are insured? While we are not responsible for the claim.
")</f>
        <v>As long as there is no claim everything is fine, the day you have one, it's a real hassle in all areas.
The expert does not do his job correctly.
He changes the work, does not put all the parts to replace in his report.
And he asks to do the minimum (a few hundred euros) with used parts on your vehicle, otherwise he tells you in wreck while she cost you thousands of euros.
We wonder why we are insured? While we are not responsible for the claim.
</v>
      </c>
    </row>
    <row r="531" ht="15.75" customHeight="1">
      <c r="B531" s="2" t="s">
        <v>1570</v>
      </c>
      <c r="C531" s="2" t="s">
        <v>1571</v>
      </c>
      <c r="D531" s="2" t="s">
        <v>1559</v>
      </c>
      <c r="E531" s="2" t="s">
        <v>14</v>
      </c>
      <c r="F531" s="2" t="s">
        <v>15</v>
      </c>
      <c r="G531" s="2" t="s">
        <v>1572</v>
      </c>
      <c r="H531" s="2" t="s">
        <v>693</v>
      </c>
      <c r="I531" s="2" t="str">
        <f>IFERROR(__xludf.DUMMYFUNCTION("GOOGLETRANSLATE(C531,""fr"",""en"")"),"After a claim declared abroad on July 30 and sending all papers no information knowing that I have called at least 10 times but still no answer and I was not contacted by their service")</f>
        <v>After a claim declared abroad on July 30 and sending all papers no information knowing that I have called at least 10 times but still no answer and I was not contacted by their service</v>
      </c>
    </row>
    <row r="532" ht="15.75" customHeight="1">
      <c r="B532" s="2" t="s">
        <v>1573</v>
      </c>
      <c r="C532" s="2" t="s">
        <v>1574</v>
      </c>
      <c r="D532" s="2" t="s">
        <v>1559</v>
      </c>
      <c r="E532" s="2" t="s">
        <v>14</v>
      </c>
      <c r="F532" s="2" t="s">
        <v>15</v>
      </c>
      <c r="G532" s="2" t="s">
        <v>1575</v>
      </c>
      <c r="H532" s="2" t="s">
        <v>333</v>
      </c>
      <c r="I532" s="2" t="str">
        <f>IFERROR(__xludf.DUMMYFUNCTION("GOOGLETRANSLATE(C532,""fr"",""en"")"),"Following a serious accident while I am assured all at maximum risk I find myself having to pay part of the towing.
They declared me 100% responsible for when the speed of the vehicle opposite was implicated .... and I am not even talking about agents on"&amp;" the phone who has no compassion and you very almost criminal then you you are a victim ....
In short, flee this insurance")</f>
        <v>Following a serious accident while I am assured all at maximum risk I find myself having to pay part of the towing.
They declared me 100% responsible for when the speed of the vehicle opposite was implicated .... and I am not even talking about agents on the phone who has no compassion and you very almost criminal then you you are a victim ....
In short, flee this insurance</v>
      </c>
    </row>
    <row r="533" ht="15.75" customHeight="1">
      <c r="B533" s="2" t="s">
        <v>1576</v>
      </c>
      <c r="C533" s="2" t="s">
        <v>1577</v>
      </c>
      <c r="D533" s="2" t="s">
        <v>1559</v>
      </c>
      <c r="E533" s="2" t="s">
        <v>14</v>
      </c>
      <c r="F533" s="2" t="s">
        <v>15</v>
      </c>
      <c r="G533" s="2" t="s">
        <v>1578</v>
      </c>
      <c r="H533" s="2" t="s">
        <v>350</v>
      </c>
      <c r="I533" s="2" t="str">
        <f>IFERROR(__xludf.DUMMYFUNCTION("GOOGLETRANSLATE(C533,""fr"",""en"")"),"It’s a pointed zero! Our vehicle was stolen on 08/08/2020, found in Romania at the end of August, and for more than 9 months we have been waiting for our vehicle! We were obviously assured any risk! We had a loan vehicle for only a week, nobody answers ou"&amp;"r emails, and no one tells us when we can recover it despite our incessant calls and our emails!
It is unacceptable ! A truly deplorable customer service ....")</f>
        <v>It’s a pointed zero! Our vehicle was stolen on 08/08/2020, found in Romania at the end of August, and for more than 9 months we have been waiting for our vehicle! We were obviously assured any risk! We had a loan vehicle for only a week, nobody answers our emails, and no one tells us when we can recover it despite our incessant calls and our emails!
It is unacceptable ! A truly deplorable customer service ....</v>
      </c>
    </row>
    <row r="534" ht="15.75" customHeight="1">
      <c r="B534" s="2" t="s">
        <v>1579</v>
      </c>
      <c r="C534" s="2" t="s">
        <v>1580</v>
      </c>
      <c r="D534" s="2" t="s">
        <v>1559</v>
      </c>
      <c r="E534" s="2" t="s">
        <v>14</v>
      </c>
      <c r="F534" s="2" t="s">
        <v>15</v>
      </c>
      <c r="G534" s="2" t="s">
        <v>1581</v>
      </c>
      <c r="H534" s="2" t="s">
        <v>350</v>
      </c>
      <c r="I534" s="2" t="str">
        <f>IFERROR(__xludf.DUMMYFUNCTION("GOOGLETRANSLATE(C534,""fr"",""en"")"),"Correct price, but very average service in the event of a breakdown, difficulties in obtaining assistance. The price is equivalent in certain agencies and, at least we have an interlocutor in front of us his s expecting very long minutes on the phone.")</f>
        <v>Correct price, but very average service in the event of a breakdown, difficulties in obtaining assistance. The price is equivalent in certain agencies and, at least we have an interlocutor in front of us his s expecting very long minutes on the phone.</v>
      </c>
    </row>
    <row r="535" ht="15.75" customHeight="1">
      <c r="B535" s="2" t="s">
        <v>1582</v>
      </c>
      <c r="C535" s="2" t="s">
        <v>1583</v>
      </c>
      <c r="D535" s="2" t="s">
        <v>1559</v>
      </c>
      <c r="E535" s="2" t="s">
        <v>14</v>
      </c>
      <c r="F535" s="2" t="s">
        <v>15</v>
      </c>
      <c r="G535" s="2" t="s">
        <v>1584</v>
      </c>
      <c r="H535" s="2" t="s">
        <v>350</v>
      </c>
      <c r="I535" s="2" t="str">
        <f>IFERROR(__xludf.DUMMYFUNCTION("GOOGLETRANSLATE(C535,""fr"",""en"")"),"I'm not happy with the price
Indeed, the maaf has just given me a proposal for the same car criteria
Annual amount of € 750 while euros, pay € 842 per year
Without a change of their share I will change insurance")</f>
        <v>I'm not happy with the price
Indeed, the maaf has just given me a proposal for the same car criteria
Annual amount of € 750 while euros, pay € 842 per year
Without a change of their share I will change insurance</v>
      </c>
    </row>
    <row r="536" ht="15.75" customHeight="1">
      <c r="B536" s="2" t="s">
        <v>1585</v>
      </c>
      <c r="C536" s="2" t="s">
        <v>1586</v>
      </c>
      <c r="D536" s="2" t="s">
        <v>1559</v>
      </c>
      <c r="E536" s="2" t="s">
        <v>14</v>
      </c>
      <c r="F536" s="2" t="s">
        <v>15</v>
      </c>
      <c r="G536" s="2" t="s">
        <v>1587</v>
      </c>
      <c r="H536" s="2" t="s">
        <v>360</v>
      </c>
      <c r="I536" s="2" t="str">
        <f>IFERROR(__xludf.DUMMYFUNCTION("GOOGLETRANSLATE(C536,""fr"",""en"")"),"The Eurofil insurance company is an assurance to flee absolutely !!!! No consideration of the insured. I absolutely do not recommend Eurofil.
 ")</f>
        <v>The Eurofil insurance company is an assurance to flee absolutely !!!! No consideration of the insured. I absolutely do not recommend Eurofil.
 </v>
      </c>
    </row>
    <row r="537" ht="15.75" customHeight="1">
      <c r="B537" s="2" t="s">
        <v>1588</v>
      </c>
      <c r="C537" s="2" t="s">
        <v>1589</v>
      </c>
      <c r="D537" s="2" t="s">
        <v>1559</v>
      </c>
      <c r="E537" s="2" t="s">
        <v>14</v>
      </c>
      <c r="F537" s="2" t="s">
        <v>15</v>
      </c>
      <c r="G537" s="2" t="s">
        <v>1252</v>
      </c>
      <c r="H537" s="2" t="s">
        <v>360</v>
      </c>
      <c r="I537" s="2" t="str">
        <f>IFERROR(__xludf.DUMMYFUNCTION("GOOGLETRANSLATE(C537,""fr"",""en"")"),"To do. Assured for several years, no claims, and there I want to put our son who has just had his response permit impossible to add it, they do not want to assure him, on the other hand they stipulate the risks incurred if it were to Drive on our vehicles"&amp;". And want proof that it does not drive.
My response bye-bye, a shame simply. Saturdays I would be elsewhere and my son will be assured as nimpquel driver")</f>
        <v>To do. Assured for several years, no claims, and there I want to put our son who has just had his response permit impossible to add it, they do not want to assure him, on the other hand they stipulate the risks incurred if it were to Drive on our vehicles. And want proof that it does not drive.
My response bye-bye, a shame simply. Saturdays I would be elsewhere and my son will be assured as nimpquel driver</v>
      </c>
    </row>
    <row r="538" ht="15.75" customHeight="1">
      <c r="B538" s="2" t="s">
        <v>1590</v>
      </c>
      <c r="C538" s="2" t="s">
        <v>1591</v>
      </c>
      <c r="D538" s="2" t="s">
        <v>1559</v>
      </c>
      <c r="E538" s="2" t="s">
        <v>14</v>
      </c>
      <c r="F538" s="2" t="s">
        <v>15</v>
      </c>
      <c r="G538" s="2" t="s">
        <v>1592</v>
      </c>
      <c r="H538" s="2" t="s">
        <v>360</v>
      </c>
      <c r="I538" s="2" t="str">
        <f>IFERROR(__xludf.DUMMYFUNCTION("GOOGLETRANSLATE(C538,""fr"",""en"")"),"Acceptable price, now as I did not have a claim I can not judge any refund following an accident, the relationship with the staff is correct")</f>
        <v>Acceptable price, now as I did not have a claim I can not judge any refund following an accident, the relationship with the staff is correct</v>
      </c>
    </row>
    <row r="539" ht="15.75" customHeight="1">
      <c r="B539" s="2" t="s">
        <v>1593</v>
      </c>
      <c r="C539" s="2" t="s">
        <v>1594</v>
      </c>
      <c r="D539" s="2" t="s">
        <v>1559</v>
      </c>
      <c r="E539" s="2" t="s">
        <v>14</v>
      </c>
      <c r="F539" s="2" t="s">
        <v>15</v>
      </c>
      <c r="G539" s="2" t="s">
        <v>730</v>
      </c>
      <c r="H539" s="2" t="s">
        <v>364</v>
      </c>
      <c r="I539" s="2" t="str">
        <f>IFERROR(__xludf.DUMMYFUNCTION("GOOGLETRANSLATE(C539,""fr"",""en"")"),"Impossible to ensure a Tesla Grande Autonomy 2021 of 11 CV yet customer for more than 20 years and having 50 % of bonuses for a very long time, it is a shame because it was a very good company and the nice personnel. I hope they will soon be able to ensur"&amp;"e this model because I will return immediately to them")</f>
        <v>Impossible to ensure a Tesla Grande Autonomy 2021 of 11 CV yet customer for more than 20 years and having 50 % of bonuses for a very long time, it is a shame because it was a very good company and the nice personnel. I hope they will soon be able to ensure this model because I will return immediately to them</v>
      </c>
    </row>
    <row r="540" ht="15.75" customHeight="1">
      <c r="B540" s="2" t="s">
        <v>1595</v>
      </c>
      <c r="C540" s="2" t="s">
        <v>1596</v>
      </c>
      <c r="D540" s="2" t="s">
        <v>1559</v>
      </c>
      <c r="E540" s="2" t="s">
        <v>14</v>
      </c>
      <c r="F540" s="2" t="s">
        <v>15</v>
      </c>
      <c r="G540" s="2" t="s">
        <v>1597</v>
      </c>
      <c r="H540" s="2" t="s">
        <v>371</v>
      </c>
      <c r="I540" s="2" t="str">
        <f>IFERROR(__xludf.DUMMYFUNCTION("GOOGLETRANSLATE(C540,""fr"",""en"")"),"very well placed price level at the time of subscription but personally
I notice big increases with each deadline and I find it a shame
to be obliged to call to negotiate the price increase. Fortunately we find
An arrangement quite easily with an inter"&amp;"locutor always extremely kind.
I have already recommended to many friends and family who have subscribed to you
")</f>
        <v>very well placed price level at the time of subscription but personally
I notice big increases with each deadline and I find it a shame
to be obliged to call to negotiate the price increase. Fortunately we find
An arrangement quite easily with an interlocutor always extremely kind.
I have already recommended to many friends and family who have subscribed to you
</v>
      </c>
    </row>
    <row r="541" ht="15.75" customHeight="1">
      <c r="B541" s="2" t="s">
        <v>1598</v>
      </c>
      <c r="C541" s="2" t="s">
        <v>1599</v>
      </c>
      <c r="D541" s="2" t="s">
        <v>1559</v>
      </c>
      <c r="E541" s="2" t="s">
        <v>14</v>
      </c>
      <c r="F541" s="2" t="s">
        <v>15</v>
      </c>
      <c r="G541" s="2" t="s">
        <v>1600</v>
      </c>
      <c r="H541" s="2" t="s">
        <v>21</v>
      </c>
      <c r="I541" s="2" t="str">
        <f>IFERROR(__xludf.DUMMYFUNCTION("GOOGLETRANSLATE(C541,""fr"",""en"")"),"Another great increase this year, 5.70% for my vehicle without accidents (2.2% for housing) despite a particularly difficult year of travel caused by the pandemic.
Already when normal time rolling with this car very little (2000 km/year), it is downright"&amp;" divide by 10 (200 km as maximum), you understand that it is starting to become ubuesque without counting and always because of the COVID that the Number of victims on our roads for 2020 due to successive confinements lowered.
I could have hoped for a de"&amp;"crease to see a decrease in the premium .......... but no! Up to where will that go?
")</f>
        <v>Another great increase this year, 5.70% for my vehicle without accidents (2.2% for housing) despite a particularly difficult year of travel caused by the pandemic.
Already when normal time rolling with this car very little (2000 km/year), it is downright divide by 10 (200 km as maximum), you understand that it is starting to become ubuesque without counting and always because of the COVID that the Number of victims on our roads for 2020 due to successive confinements lowered.
I could have hoped for a decrease to see a decrease in the premium .......... but no! Up to where will that go?
</v>
      </c>
    </row>
    <row r="542" ht="15.75" customHeight="1">
      <c r="B542" s="2" t="s">
        <v>1601</v>
      </c>
      <c r="C542" s="2" t="s">
        <v>1602</v>
      </c>
      <c r="D542" s="2" t="s">
        <v>1559</v>
      </c>
      <c r="E542" s="2" t="s">
        <v>14</v>
      </c>
      <c r="F542" s="2" t="s">
        <v>15</v>
      </c>
      <c r="G542" s="2" t="s">
        <v>1603</v>
      </c>
      <c r="H542" s="2" t="s">
        <v>21</v>
      </c>
      <c r="I542" s="2" t="str">
        <f>IFERROR(__xludf.DUMMYFUNCTION("GOOGLETRANSLATE(C542,""fr"",""en"")"),"I will never have assured me at home welcome telephone no compliance with 3 years of insurance with them no claim I ask them for a commercial I have a much cheaper insurance in the same warranty or even better at They pay £ 344 and with another £ 248 I ca"&amp;"ll them so that it faces a commercial I am and spread it why you stay with us will change and my assurance of £ 344 goes to £ 398 with a new Endness that they create on the spot I advise against who conks their assurance anyway from my part I would advise"&amp;" against those around me and knowledge")</f>
        <v>I will never have assured me at home welcome telephone no compliance with 3 years of insurance with them no claim I ask them for a commercial I have a much cheaper insurance in the same warranty or even better at They pay £ 344 and with another £ 248 I call them so that it faces a commercial I am and spread it why you stay with us will change and my assurance of £ 344 goes to £ 398 with a new Endness that they create on the spot I advise against who conks their assurance anyway from my part I would advise against those around me and knowledge</v>
      </c>
    </row>
    <row r="543" ht="15.75" customHeight="1">
      <c r="B543" s="2" t="s">
        <v>1604</v>
      </c>
      <c r="C543" s="2" t="s">
        <v>1605</v>
      </c>
      <c r="D543" s="2" t="s">
        <v>1559</v>
      </c>
      <c r="E543" s="2" t="s">
        <v>14</v>
      </c>
      <c r="F543" s="2" t="s">
        <v>15</v>
      </c>
      <c r="G543" s="2" t="s">
        <v>1606</v>
      </c>
      <c r="H543" s="2" t="s">
        <v>21</v>
      </c>
      <c r="I543" s="2" t="str">
        <f>IFERROR(__xludf.DUMMYFUNCTION("GOOGLETRANSLATE(C543,""fr"",""en"")"),"After negotiation which turns out to be nègative you have lost 558 euros from this to your poor negotiator you have received or you will soon receive the Rèsiliation which will be carried out by the future insurer. M Saadi Madani.")</f>
        <v>After negotiation which turns out to be nègative you have lost 558 euros from this to your poor negotiator you have received or you will soon receive the Rèsiliation which will be carried out by the future insurer. M Saadi Madani.</v>
      </c>
    </row>
    <row r="544" ht="15.75" customHeight="1">
      <c r="B544" s="2" t="s">
        <v>1607</v>
      </c>
      <c r="C544" s="2" t="s">
        <v>1608</v>
      </c>
      <c r="D544" s="2" t="s">
        <v>1559</v>
      </c>
      <c r="E544" s="2" t="s">
        <v>14</v>
      </c>
      <c r="F544" s="2" t="s">
        <v>15</v>
      </c>
      <c r="G544" s="2" t="s">
        <v>1609</v>
      </c>
      <c r="H544" s="2" t="s">
        <v>21</v>
      </c>
      <c r="I544" s="2" t="str">
        <f>IFERROR(__xludf.DUMMYFUNCTION("GOOGLETRANSLATE(C544,""fr"",""en"")"),"After 17 years of license, around 6 years of seniority at Eurofil, only one hanging (not at home in addition) and no other loss in 17 years ... they are more expensive than MMA! At 46%: € 650 for an unfortunate Clio! So bye Eurofil! I don't recommend!")</f>
        <v>After 17 years of license, around 6 years of seniority at Eurofil, only one hanging (not at home in addition) and no other loss in 17 years ... they are more expensive than MMA! At 46%: € 650 for an unfortunate Clio! So bye Eurofil! I don't recommend!</v>
      </c>
    </row>
    <row r="545" ht="15.75" customHeight="1">
      <c r="B545" s="2" t="s">
        <v>1610</v>
      </c>
      <c r="C545" s="2" t="s">
        <v>1611</v>
      </c>
      <c r="D545" s="2" t="s">
        <v>1559</v>
      </c>
      <c r="E545" s="2" t="s">
        <v>14</v>
      </c>
      <c r="F545" s="2" t="s">
        <v>15</v>
      </c>
      <c r="G545" s="2" t="s">
        <v>21</v>
      </c>
      <c r="H545" s="2" t="s">
        <v>21</v>
      </c>
      <c r="I545" s="2" t="str">
        <f>IFERROR(__xludf.DUMMYFUNCTION("GOOGLETRANSLATE(C545,""fr"",""en"")"),"Ashamed. Insurance which knows how to collect as long as everything is fine and which at the slightest little problem solves without proposing an amicable termination and without worrying about the difficulties that this operation will generate for the in"&amp;"sured. To flee !")</f>
        <v>Ashamed. Insurance which knows how to collect as long as everything is fine and which at the slightest little problem solves without proposing an amicable termination and without worrying about the difficulties that this operation will generate for the insured. To flee !</v>
      </c>
    </row>
    <row r="546" ht="15.75" customHeight="1">
      <c r="B546" s="2" t="s">
        <v>1612</v>
      </c>
      <c r="C546" s="2" t="s">
        <v>1613</v>
      </c>
      <c r="D546" s="2" t="s">
        <v>1559</v>
      </c>
      <c r="E546" s="2" t="s">
        <v>14</v>
      </c>
      <c r="F546" s="2" t="s">
        <v>15</v>
      </c>
      <c r="G546" s="2" t="s">
        <v>1614</v>
      </c>
      <c r="H546" s="2" t="s">
        <v>49</v>
      </c>
      <c r="I546" s="2" t="str">
        <f>IFERROR(__xludf.DUMMYFUNCTION("GOOGLETRANSLATE(C546,""fr"",""en"")"),"Poor telephone reception, and I am refused vehicle insurance because it was not insured in my name for 3 months. Yet I already have 2 contracts with them, auto and housing, as soon as I can, I move.")</f>
        <v>Poor telephone reception, and I am refused vehicle insurance because it was not insured in my name for 3 months. Yet I already have 2 contracts with them, auto and housing, as soon as I can, I move.</v>
      </c>
    </row>
    <row r="547" ht="15.75" customHeight="1">
      <c r="B547" s="2" t="s">
        <v>1615</v>
      </c>
      <c r="C547" s="2" t="s">
        <v>1616</v>
      </c>
      <c r="D547" s="2" t="s">
        <v>1559</v>
      </c>
      <c r="E547" s="2" t="s">
        <v>14</v>
      </c>
      <c r="F547" s="2" t="s">
        <v>15</v>
      </c>
      <c r="G547" s="2" t="s">
        <v>1617</v>
      </c>
      <c r="H547" s="2" t="s">
        <v>49</v>
      </c>
      <c r="I547" s="2" t="str">
        <f>IFERROR(__xludf.DUMMYFUNCTION("GOOGLETRANSLATE(C547,""fr"",""en"")"),"Since under control, less efficient conditions less advantageous.
Cdt")</f>
        <v>Since under control, less efficient conditions less advantageous.
Cdt</v>
      </c>
    </row>
    <row r="548" ht="15.75" customHeight="1">
      <c r="B548" s="2" t="s">
        <v>1618</v>
      </c>
      <c r="C548" s="2" t="s">
        <v>1619</v>
      </c>
      <c r="D548" s="2" t="s">
        <v>1559</v>
      </c>
      <c r="E548" s="2" t="s">
        <v>14</v>
      </c>
      <c r="F548" s="2" t="s">
        <v>15</v>
      </c>
      <c r="G548" s="2" t="s">
        <v>1620</v>
      </c>
      <c r="H548" s="2" t="s">
        <v>49</v>
      </c>
      <c r="I548" s="2" t="str">
        <f>IFERROR(__xludf.DUMMYFUNCTION("GOOGLETRANSLATE(C548,""fr"",""en"")"),"I paid 144 euros to ensure a car for a month, then the contract was terminated.
I do not recommend! Mediocre service! To flee absolutely !!!")</f>
        <v>I paid 144 euros to ensure a car for a month, then the contract was terminated.
I do not recommend! Mediocre service! To flee absolutely !!!</v>
      </c>
    </row>
    <row r="549" ht="15.75" customHeight="1">
      <c r="B549" s="2" t="s">
        <v>1621</v>
      </c>
      <c r="C549" s="2" t="s">
        <v>1622</v>
      </c>
      <c r="D549" s="2" t="s">
        <v>1559</v>
      </c>
      <c r="E549" s="2" t="s">
        <v>14</v>
      </c>
      <c r="F549" s="2" t="s">
        <v>15</v>
      </c>
      <c r="G549" s="2" t="s">
        <v>1623</v>
      </c>
      <c r="H549" s="2" t="s">
        <v>49</v>
      </c>
      <c r="I549" s="2" t="str">
        <f>IFERROR(__xludf.DUMMYFUNCTION("GOOGLETRANSLATE(C549,""fr"",""en"")"),"Hello. Low prices but abuse on very high franchise. As customers with several contracts at Eurofil we will see in competition we think they are better. Cordially.")</f>
        <v>Hello. Low prices but abuse on very high franchise. As customers with several contracts at Eurofil we will see in competition we think they are better. Cordially.</v>
      </c>
    </row>
    <row r="550" ht="15.75" customHeight="1">
      <c r="B550" s="2" t="s">
        <v>1624</v>
      </c>
      <c r="C550" s="2" t="s">
        <v>1625</v>
      </c>
      <c r="D550" s="2" t="s">
        <v>1559</v>
      </c>
      <c r="E550" s="2" t="s">
        <v>14</v>
      </c>
      <c r="F550" s="2" t="s">
        <v>15</v>
      </c>
      <c r="G550" s="2" t="s">
        <v>1626</v>
      </c>
      <c r="H550" s="2" t="s">
        <v>56</v>
      </c>
      <c r="I550" s="2" t="str">
        <f>IFERROR(__xludf.DUMMYFUNCTION("GOOGLETRANSLATE(C550,""fr"",""en"")"),"They are only good to collect your money. And again, be careful not to have concerns because otherwise they will claim you, for 2 weeks late, in one time the entire year in progress.
Under penalty of breaking the contract.
Termination at the end of the "&amp;"year and bye bye.")</f>
        <v>They are only good to collect your money. And again, be careful not to have concerns because otherwise they will claim you, for 2 weeks late, in one time the entire year in progress.
Under penalty of breaking the contract.
Termination at the end of the year and bye bye.</v>
      </c>
    </row>
    <row r="551" ht="15.75" customHeight="1">
      <c r="B551" s="2" t="s">
        <v>1627</v>
      </c>
      <c r="C551" s="2" t="s">
        <v>1628</v>
      </c>
      <c r="D551" s="2" t="s">
        <v>1559</v>
      </c>
      <c r="E551" s="2" t="s">
        <v>14</v>
      </c>
      <c r="F551" s="2" t="s">
        <v>15</v>
      </c>
      <c r="G551" s="2" t="s">
        <v>65</v>
      </c>
      <c r="H551" s="2" t="s">
        <v>56</v>
      </c>
      <c r="I551" s="2" t="str">
        <f>IFERROR(__xludf.DUMMYFUNCTION("GOOGLETRANSLATE(C551,""fr"",""en"")"),"Inadmissible, I have a vehicle insured at home for almost 4 years ... On these 4 diagnostics over the past 3 years I had the unfortunate to change my windshield twice, and to have a non-responsible accident ( I was hit at the back, driver responsible for "&amp;"the accident on the phone). As a result, I have 3 claims to be recorded ... and that even if I am responsible or not (in this case I am not responsible for anything).
I wanted to ensure a second vehicle and Eurofil tells me that I have too much disaster "&amp;"... so he doesn't want to offer me.
Reading messages, I understand the insurer's policy a little better.
Aimed to people with the misfortune of having broken ice or making you hit, you should know that you are responsible in the same way as if you are"&amp;" a bad driver responsible for accident. I have never had an accident being considered in this way is really unacceptable.
Eurofil is an insurance that you should not have to make a declaration ... responsible or not otherwise you will be considered a s"&amp;"ponsorship!
Insurer to avoid !!!")</f>
        <v>Inadmissible, I have a vehicle insured at home for almost 4 years ... On these 4 diagnostics over the past 3 years I had the unfortunate to change my windshield twice, and to have a non-responsible accident ( I was hit at the back, driver responsible for the accident on the phone). As a result, I have 3 claims to be recorded ... and that even if I am responsible or not (in this case I am not responsible for anything).
I wanted to ensure a second vehicle and Eurofil tells me that I have too much disaster ... so he doesn't want to offer me.
Reading messages, I understand the insurer's policy a little better.
Aimed to people with the misfortune of having broken ice or making you hit, you should know that you are responsible in the same way as if you are a bad driver responsible for accident. I have never had an accident being considered in this way is really unacceptable.
Eurofil is an insurance that you should not have to make a declaration ... responsible or not otherwise you will be considered a sponsorship!
Insurer to avoid !!!</v>
      </c>
    </row>
    <row r="552" ht="15.75" customHeight="1">
      <c r="B552" s="2" t="s">
        <v>1629</v>
      </c>
      <c r="C552" s="2" t="s">
        <v>1630</v>
      </c>
      <c r="D552" s="2" t="s">
        <v>1559</v>
      </c>
      <c r="E552" s="2" t="s">
        <v>14</v>
      </c>
      <c r="F552" s="2" t="s">
        <v>15</v>
      </c>
      <c r="G552" s="2" t="s">
        <v>1631</v>
      </c>
      <c r="H552" s="2" t="s">
        <v>56</v>
      </c>
      <c r="I552" s="2" t="str">
        <f>IFERROR(__xludf.DUMMYFUNCTION("GOOGLETRANSLATE(C552,""fr"",""en"")"),"This was 7 years that I have 1 auto insurance at Eurofil, I can say that I have nothing to blame. They are very kind, very responsive, very professional.")</f>
        <v>This was 7 years that I have 1 auto insurance at Eurofil, I can say that I have nothing to blame. They are very kind, very responsive, very professional.</v>
      </c>
    </row>
    <row r="553" ht="15.75" customHeight="1">
      <c r="B553" s="2" t="s">
        <v>1632</v>
      </c>
      <c r="C553" s="2" t="s">
        <v>1633</v>
      </c>
      <c r="D553" s="2" t="s">
        <v>1559</v>
      </c>
      <c r="E553" s="2" t="s">
        <v>14</v>
      </c>
      <c r="F553" s="2" t="s">
        <v>15</v>
      </c>
      <c r="G553" s="2" t="s">
        <v>1634</v>
      </c>
      <c r="H553" s="2" t="s">
        <v>72</v>
      </c>
      <c r="I553" s="2" t="str">
        <f>IFERROR(__xludf.DUMMYFUNCTION("GOOGLETRANSLATE(C553,""fr"",""en"")"),"Some advisers take people like their dog. Having a one who hung me over and told me that she will not make my car with a second driver despite my bonus at home. done with a competitor. Here I can think that I will terminate all my contracts at home
I do "&amp;"not advise anyone to do their insurance at Eurofil despite that I am a former member at home")</f>
        <v>Some advisers take people like their dog. Having a one who hung me over and told me that she will not make my car with a second driver despite my bonus at home. done with a competitor. Here I can think that I will terminate all my contracts at home
I do not advise anyone to do their insurance at Eurofil despite that I am a former member at home</v>
      </c>
    </row>
    <row r="554" ht="15.75" customHeight="1">
      <c r="B554" s="2" t="s">
        <v>1635</v>
      </c>
      <c r="C554" s="2" t="s">
        <v>1636</v>
      </c>
      <c r="D554" s="2" t="s">
        <v>1559</v>
      </c>
      <c r="E554" s="2" t="s">
        <v>14</v>
      </c>
      <c r="F554" s="2" t="s">
        <v>15</v>
      </c>
      <c r="G554" s="2" t="s">
        <v>826</v>
      </c>
      <c r="H554" s="2" t="s">
        <v>72</v>
      </c>
      <c r="I554" s="2" t="str">
        <f>IFERROR(__xludf.DUMMYFUNCTION("GOOGLETRANSLATE(C554,""fr"",""en"")"),"Very satisfied with the company Eurofil I have been a customer for 20 years and I have not found better service rendered impeccable in accordance with my expectations they have a commercial gesture I recommend I recommend")</f>
        <v>Very satisfied with the company Eurofil I have been a customer for 20 years and I have not found better service rendered impeccable in accordance with my expectations they have a commercial gesture I recommend I recommend</v>
      </c>
    </row>
    <row r="555" ht="15.75" customHeight="1">
      <c r="B555" s="2" t="s">
        <v>1637</v>
      </c>
      <c r="C555" s="2" t="s">
        <v>1638</v>
      </c>
      <c r="D555" s="2" t="s">
        <v>1559</v>
      </c>
      <c r="E555" s="2" t="s">
        <v>14</v>
      </c>
      <c r="F555" s="2" t="s">
        <v>15</v>
      </c>
      <c r="G555" s="2" t="s">
        <v>1639</v>
      </c>
      <c r="H555" s="2" t="s">
        <v>99</v>
      </c>
      <c r="I555" s="2" t="str">
        <f>IFERROR(__xludf.DUMMYFUNCTION("GOOGLETRANSLATE(C555,""fr"",""en"")"),"Insured since 1997 we wanted to register our son who just had the license, the answer was negative no new driver at Eurofil ....
After comparison with other insurances that ensure the same young people the prices are not so interesting.
")</f>
        <v>Insured since 1997 we wanted to register our son who just had the license, the answer was negative no new driver at Eurofil ....
After comparison with other insurances that ensure the same young people the prices are not so interesting.
</v>
      </c>
    </row>
    <row r="556" ht="15.75" customHeight="1">
      <c r="B556" s="2" t="s">
        <v>1640</v>
      </c>
      <c r="C556" s="2" t="s">
        <v>1641</v>
      </c>
      <c r="D556" s="2" t="s">
        <v>1559</v>
      </c>
      <c r="E556" s="2" t="s">
        <v>14</v>
      </c>
      <c r="F556" s="2" t="s">
        <v>15</v>
      </c>
      <c r="G556" s="2" t="s">
        <v>98</v>
      </c>
      <c r="H556" s="2" t="s">
        <v>99</v>
      </c>
      <c r="I556" s="2" t="str">
        <f>IFERROR(__xludf.DUMMYFUNCTION("GOOGLETRANSLATE(C556,""fr"",""en"")"),"On 7/11/2019 arrested has a red light, the truck next to me hooks my bumper at the front right then ""grid"" the red light and fled of course! I note his registration number and declare the claim to my insurance which asks me to file a complaint for offse"&amp;"t. With all the trouble in the world I manage to ""work"" a police officer to take my complaint on 7/7/2019, then I transmit it to the insurance that says to me: ""No problem we take care of it!"" . The morning of 07/11/2020 I receive an AR of Eurofil not"&amp;"ifying myself my contract terminations! Knowing that no repairs or other approach is initiated to date! Not even an observation but on the other hand my information statement, it indicates a claim !!! Then foutage of pear in the rules.")</f>
        <v>On 7/11/2019 arrested has a red light, the truck next to me hooks my bumper at the front right then "grid" the red light and fled of course! I note his registration number and declare the claim to my insurance which asks me to file a complaint for offset. With all the trouble in the world I manage to "work" a police officer to take my complaint on 7/7/2019, then I transmit it to the insurance that says to me: "No problem we take care of it!" . The morning of 07/11/2020 I receive an AR of Eurofil notifying myself my contract terminations! Knowing that no repairs or other approach is initiated to date! Not even an observation but on the other hand my information statement, it indicates a claim !!! Then foutage of pear in the rules.</v>
      </c>
    </row>
    <row r="557" ht="15.75" customHeight="1">
      <c r="B557" s="2" t="s">
        <v>1642</v>
      </c>
      <c r="C557" s="2" t="s">
        <v>1643</v>
      </c>
      <c r="D557" s="2" t="s">
        <v>1559</v>
      </c>
      <c r="E557" s="2" t="s">
        <v>14</v>
      </c>
      <c r="F557" s="2" t="s">
        <v>15</v>
      </c>
      <c r="G557" s="2" t="s">
        <v>1644</v>
      </c>
      <c r="H557" s="2" t="s">
        <v>99</v>
      </c>
      <c r="I557" s="2" t="str">
        <f>IFERROR(__xludf.DUMMYFUNCTION("GOOGLETRANSLATE(C557,""fr"",""en"")"),"On the phone")</f>
        <v>On the phone</v>
      </c>
    </row>
    <row r="558" ht="15.75" customHeight="1">
      <c r="B558" s="2" t="s">
        <v>1645</v>
      </c>
      <c r="C558" s="2" t="s">
        <v>1646</v>
      </c>
      <c r="D558" s="2" t="s">
        <v>1559</v>
      </c>
      <c r="E558" s="2" t="s">
        <v>14</v>
      </c>
      <c r="F558" s="2" t="s">
        <v>15</v>
      </c>
      <c r="G558" s="2" t="s">
        <v>1647</v>
      </c>
      <c r="H558" s="2" t="s">
        <v>99</v>
      </c>
      <c r="I558" s="2" t="str">
        <f>IFERROR(__xludf.DUMMYFUNCTION("GOOGLETRANSLATE(C558,""fr"",""en"")"),"Following the theft of our family vehicle 15 days from our vacation, we ask for a commercial gesture to rent a car for 15 days so that we can leave a little .... (we are my husband and I nurses in the hospital and We have ""trime"" as donkeys during the c"&amp;"ovid crisis ...), results: no gesture not a semblance of compassion or humanity.")</f>
        <v>Following the theft of our family vehicle 15 days from our vacation, we ask for a commercial gesture to rent a car for 15 days so that we can leave a little .... (we are my husband and I nurses in the hospital and We have "trime" as donkeys during the covid crisis ...), results: no gesture not a semblance of compassion or humanity.</v>
      </c>
    </row>
    <row r="559" ht="15.75" customHeight="1">
      <c r="B559" s="2" t="s">
        <v>1648</v>
      </c>
      <c r="C559" s="2" t="s">
        <v>1649</v>
      </c>
      <c r="D559" s="2" t="s">
        <v>1559</v>
      </c>
      <c r="E559" s="2" t="s">
        <v>14</v>
      </c>
      <c r="F559" s="2" t="s">
        <v>15</v>
      </c>
      <c r="G559" s="2" t="s">
        <v>1650</v>
      </c>
      <c r="H559" s="2" t="s">
        <v>99</v>
      </c>
      <c r="I559" s="2" t="str">
        <f>IFERROR(__xludf.DUMMYFUNCTION("GOOGLETRANSLATE(C559,""fr"",""en"")"),"Rather satisfied overall, I would recommend.")</f>
        <v>Rather satisfied overall, I would recommend.</v>
      </c>
    </row>
    <row r="560" ht="15.75" customHeight="1">
      <c r="B560" s="2" t="s">
        <v>1651</v>
      </c>
      <c r="C560" s="2" t="s">
        <v>1652</v>
      </c>
      <c r="D560" s="2" t="s">
        <v>1559</v>
      </c>
      <c r="E560" s="2" t="s">
        <v>14</v>
      </c>
      <c r="F560" s="2" t="s">
        <v>15</v>
      </c>
      <c r="G560" s="2" t="s">
        <v>1653</v>
      </c>
      <c r="H560" s="2" t="s">
        <v>112</v>
      </c>
      <c r="I560" s="2" t="str">
        <f>IFERROR(__xludf.DUMMYFUNCTION("GOOGLETRANSLATE(C560,""fr"",""en"")"),"I recently subscribed to auto insurance at Eurofil by Aviva. After sending them the situation statements of my former insurers they increased my subscription by 200 euros! When I wanted to understand why they told me non -responsible claims on a statement"&amp;". I told them that this was a mistake by the former insurer. They asked me to have it correct, which I did. Upon receipt of the corrected statement they accused me of having falsified the document, terminating my contract by keeping all the advances I had"&amp;" made, around 300 euros !!! I had to fight with them to prove that I had not falsified this document. Thing done, they want to continue my contract but still do not update it !!! Unacceptable !!! I am obliged to involve the legal protection")</f>
        <v>I recently subscribed to auto insurance at Eurofil by Aviva. After sending them the situation statements of my former insurers they increased my subscription by 200 euros! When I wanted to understand why they told me non -responsible claims on a statement. I told them that this was a mistake by the former insurer. They asked me to have it correct, which I did. Upon receipt of the corrected statement they accused me of having falsified the document, terminating my contract by keeping all the advances I had made, around 300 euros !!! I had to fight with them to prove that I had not falsified this document. Thing done, they want to continue my contract but still do not update it !!! Unacceptable !!! I am obliged to involve the legal protection</v>
      </c>
    </row>
    <row r="561" ht="15.75" customHeight="1">
      <c r="B561" s="2" t="s">
        <v>1654</v>
      </c>
      <c r="C561" s="2" t="s">
        <v>1655</v>
      </c>
      <c r="D561" s="2" t="s">
        <v>1559</v>
      </c>
      <c r="E561" s="2" t="s">
        <v>14</v>
      </c>
      <c r="F561" s="2" t="s">
        <v>15</v>
      </c>
      <c r="G561" s="2" t="s">
        <v>1656</v>
      </c>
      <c r="H561" s="2" t="s">
        <v>119</v>
      </c>
      <c r="I561" s="2" t="str">
        <f>IFERROR(__xludf.DUMMYFUNCTION("GOOGLETRANSLATE(C561,""fr"",""en"")"),"The price is not everything ... Today I teach it to my depends. Pas immediately given to the theft of my car ... Despite several calls, emails, I am ballad without giving me any answer.
Soon 2 months of waiting and Eurofil Damn Dead letter.
Today I real"&amp;"ly ask myself the question when to start legal demands.
A word of advice, run away from this type of company, or in the event of a problem there is no one left.")</f>
        <v>The price is not everything ... Today I teach it to my depends. Pas immediately given to the theft of my car ... Despite several calls, emails, I am ballad without giving me any answer.
Soon 2 months of waiting and Eurofil Damn Dead letter.
Today I really ask myself the question when to start legal demands.
A word of advice, run away from this type of company, or in the event of a problem there is no one left.</v>
      </c>
    </row>
    <row r="562" ht="15.75" customHeight="1">
      <c r="B562" s="2" t="s">
        <v>1657</v>
      </c>
      <c r="C562" s="2" t="s">
        <v>1658</v>
      </c>
      <c r="D562" s="2" t="s">
        <v>1559</v>
      </c>
      <c r="E562" s="2" t="s">
        <v>14</v>
      </c>
      <c r="F562" s="2" t="s">
        <v>15</v>
      </c>
      <c r="G562" s="2" t="s">
        <v>126</v>
      </c>
      <c r="H562" s="2" t="s">
        <v>123</v>
      </c>
      <c r="I562" s="2" t="str">
        <f>IFERROR(__xludf.DUMMYFUNCTION("GOOGLETRANSLATE(C562,""fr"",""en"")"),"I have been at Eurofil for 5 years for car insurance at all risk. They are very well placed level rate, but be very careful with the condition Tel that the flight of personal effect they never reimburse this type of incident !!")</f>
        <v>I have been at Eurofil for 5 years for car insurance at all risk. They are very well placed level rate, but be very careful with the condition Tel that the flight of personal effect they never reimburse this type of incident !!</v>
      </c>
    </row>
    <row r="563" ht="15.75" customHeight="1">
      <c r="B563" s="2" t="s">
        <v>1659</v>
      </c>
      <c r="C563" s="2" t="s">
        <v>1660</v>
      </c>
      <c r="D563" s="2" t="s">
        <v>1559</v>
      </c>
      <c r="E563" s="2" t="s">
        <v>14</v>
      </c>
      <c r="F563" s="2" t="s">
        <v>15</v>
      </c>
      <c r="G563" s="2" t="s">
        <v>1661</v>
      </c>
      <c r="H563" s="2" t="s">
        <v>123</v>
      </c>
      <c r="I563" s="2" t="str">
        <f>IFERROR(__xludf.DUMMYFUNCTION("GOOGLETRANSLATE(C563,""fr"",""en"")"),"Hello, I had a non -responsible disaster by leaving work the damaged barrier the hood of my car (non -repairable rubbed); The pseudo expert gave me 150 euros !!! While I am all risk !!!! So I can repair anything I specify that my employer wants to take ca"&amp;"re of as I was at work but only if the insurance also supports (so insurance will be reimbursed) but no, insurance is hidden behind of this expert and I am asked against expertise !!!! I pay every month all risks, no accidents and bonus max, and the only "&amp;"time I am appealing to them, it is sidereal nothingness. Basically this insurance is behind experts to repay as little as possible! Your file is dragging, you have to call hundreds of times, for in the end nothing: I wonder if it had been a serious accide"&amp;"nt how it would have been managed !!! Conclusion, flee, you just have a green paper to roll but in terms of the rest, it's a shame")</f>
        <v>Hello, I had a non -responsible disaster by leaving work the damaged barrier the hood of my car (non -repairable rubbed); The pseudo expert gave me 150 euros !!! While I am all risk !!!! So I can repair anything I specify that my employer wants to take care of as I was at work but only if the insurance also supports (so insurance will be reimbursed) but no, insurance is hidden behind of this expert and I am asked against expertise !!!! I pay every month all risks, no accidents and bonus max, and the only time I am appealing to them, it is sidereal nothingness. Basically this insurance is behind experts to repay as little as possible! Your file is dragging, you have to call hundreds of times, for in the end nothing: I wonder if it had been a serious accident how it would have been managed !!! Conclusion, flee, you just have a green paper to roll but in terms of the rest, it's a shame</v>
      </c>
    </row>
    <row r="564" ht="15.75" customHeight="1">
      <c r="B564" s="2" t="s">
        <v>1662</v>
      </c>
      <c r="C564" s="2" t="s">
        <v>1663</v>
      </c>
      <c r="D564" s="2" t="s">
        <v>1559</v>
      </c>
      <c r="E564" s="2" t="s">
        <v>14</v>
      </c>
      <c r="F564" s="2" t="s">
        <v>15</v>
      </c>
      <c r="G564" s="2" t="s">
        <v>856</v>
      </c>
      <c r="H564" s="2" t="s">
        <v>123</v>
      </c>
      <c r="I564" s="2" t="str">
        <f>IFERROR(__xludf.DUMMYFUNCTION("GOOGLETRANSLATE(C564,""fr"",""en"")"),"To flee! Customer for many years at Eurofil, I have just been terminated my car contract following) The declaration of 3 non -responsible claims in 24 months (including 1 natural disaster and 1 broken ice)!")</f>
        <v>To flee! Customer for many years at Eurofil, I have just been terminated my car contract following) The declaration of 3 non -responsible claims in 24 months (including 1 natural disaster and 1 broken ice)!</v>
      </c>
    </row>
    <row r="565" ht="15.75" customHeight="1">
      <c r="B565" s="2" t="s">
        <v>1664</v>
      </c>
      <c r="C565" s="2" t="s">
        <v>1665</v>
      </c>
      <c r="D565" s="2" t="s">
        <v>1559</v>
      </c>
      <c r="E565" s="2" t="s">
        <v>14</v>
      </c>
      <c r="F565" s="2" t="s">
        <v>15</v>
      </c>
      <c r="G565" s="2" t="s">
        <v>1666</v>
      </c>
      <c r="H565" s="2" t="s">
        <v>142</v>
      </c>
      <c r="I565" s="2" t="str">
        <f>IFERROR(__xludf.DUMMYFUNCTION("GOOGLETRANSLATE(C565,""fr"",""en"")"),"To flee especially do not get you I wanted to change insurance to pay cheaper at the beginning everything was all beautiful and there today a car when I was parked break my rear bumper which caused Problems at the engine level and blocked my door at the p"&amp;"assenger level I have a smart they are in collusion with the expert they made he went he declared a small damage at the bumper is a joke I You were not not even responsible for it and they do not defend their insured person we really have the impressio to"&amp;" be at least that nothing incoherence in the management of the information communicated to the assistance of the big anything I Now finds me to pay an expert contract he already tells me that you will have to pay the third to decide is inadmissible run aw"&amp;"ay to run away from flee")</f>
        <v>To flee especially do not get you I wanted to change insurance to pay cheaper at the beginning everything was all beautiful and there today a car when I was parked break my rear bumper which caused Problems at the engine level and blocked my door at the passenger level I have a smart they are in collusion with the expert they made he went he declared a small damage at the bumper is a joke I You were not not even responsible for it and they do not defend their insured person we really have the impressio to be at least that nothing incoherence in the management of the information communicated to the assistance of the big anything I Now finds me to pay an expert contract he already tells me that you will have to pay the third to decide is inadmissible run away to run away from flee</v>
      </c>
    </row>
    <row r="566" ht="15.75" customHeight="1">
      <c r="B566" s="2" t="s">
        <v>1667</v>
      </c>
      <c r="C566" s="2" t="s">
        <v>1668</v>
      </c>
      <c r="D566" s="2" t="s">
        <v>1559</v>
      </c>
      <c r="E566" s="2" t="s">
        <v>14</v>
      </c>
      <c r="F566" s="2" t="s">
        <v>15</v>
      </c>
      <c r="G566" s="2" t="s">
        <v>1669</v>
      </c>
      <c r="H566" s="2" t="s">
        <v>142</v>
      </c>
      <c r="I566" s="2" t="str">
        <f>IFERROR(__xludf.DUMMYFUNCTION("GOOGLETRANSLATE(C566,""fr"",""en"")"),"The offers received by Internet or by phone are not the same when you receive the situation of the account ....")</f>
        <v>The offers received by Internet or by phone are not the same when you receive the situation of the account ....</v>
      </c>
    </row>
    <row r="567" ht="15.75" customHeight="1">
      <c r="B567" s="2" t="s">
        <v>1670</v>
      </c>
      <c r="C567" s="2" t="s">
        <v>1671</v>
      </c>
      <c r="D567" s="2" t="s">
        <v>1559</v>
      </c>
      <c r="E567" s="2" t="s">
        <v>14</v>
      </c>
      <c r="F567" s="2" t="s">
        <v>15</v>
      </c>
      <c r="G567" s="2" t="s">
        <v>145</v>
      </c>
      <c r="H567" s="2" t="s">
        <v>142</v>
      </c>
      <c r="I567" s="2" t="str">
        <f>IFERROR(__xludf.DUMMYFUNCTION("GOOGLETRANSLATE(C567,""fr"",""en"")"),"With 50% bonuses had been terminated without having had any responsible claim, moreover without having been warned of this termination which, according to the Macif, should have been signified by registered mail. Macif assured me without problem on presen"&amp;"tation of the information statement")</f>
        <v>With 50% bonuses had been terminated without having had any responsible claim, moreover without having been warned of this termination which, according to the Macif, should have been signified by registered mail. Macif assured me without problem on presentation of the information statement</v>
      </c>
    </row>
    <row r="568" ht="15.75" customHeight="1">
      <c r="B568" s="2" t="s">
        <v>1672</v>
      </c>
      <c r="C568" s="2" t="s">
        <v>1673</v>
      </c>
      <c r="D568" s="2" t="s">
        <v>1559</v>
      </c>
      <c r="E568" s="2" t="s">
        <v>14</v>
      </c>
      <c r="F568" s="2" t="s">
        <v>15</v>
      </c>
      <c r="G568" s="2" t="s">
        <v>148</v>
      </c>
      <c r="H568" s="2" t="s">
        <v>149</v>
      </c>
      <c r="I568" s="2" t="str">
        <f>IFERROR(__xludf.DUMMYFUNCTION("GOOGLETRANSLATE(C568,""fr"",""en"")"),"I was terminated after a non -responsible disaster (struck at the rear by being stopped), I did not even do a year with them. Very expeditious.")</f>
        <v>I was terminated after a non -responsible disaster (struck at the rear by being stopped), I did not even do a year with them. Very expeditious.</v>
      </c>
    </row>
    <row r="569" ht="15.75" customHeight="1">
      <c r="B569" s="2" t="s">
        <v>1674</v>
      </c>
      <c r="C569" s="2" t="s">
        <v>1675</v>
      </c>
      <c r="D569" s="2" t="s">
        <v>1559</v>
      </c>
      <c r="E569" s="2" t="s">
        <v>14</v>
      </c>
      <c r="F569" s="2" t="s">
        <v>15</v>
      </c>
      <c r="G569" s="2" t="s">
        <v>1676</v>
      </c>
      <c r="H569" s="2" t="s">
        <v>149</v>
      </c>
      <c r="I569" s="2" t="str">
        <f>IFERROR(__xludf.DUMMYFUNCTION("GOOGLETRANSLATE(C569,""fr"",""en"")"),"To flee ! Non -responsible car accident sent to a garage not approved by Eurofil !!! The expert cannot pass because opposing party not insured and now they ask me to remove the non -rolling wreck to my charge so as not to pay the fees of Guarding ....")</f>
        <v>To flee ! Non -responsible car accident sent to a garage not approved by Eurofil !!! The expert cannot pass because opposing party not insured and now they ask me to remove the non -rolling wreck to my charge so as not to pay the fees of Guarding ....</v>
      </c>
    </row>
    <row r="570" ht="15.75" customHeight="1">
      <c r="B570" s="2" t="s">
        <v>1677</v>
      </c>
      <c r="C570" s="2" t="s">
        <v>1678</v>
      </c>
      <c r="D570" s="2" t="s">
        <v>1559</v>
      </c>
      <c r="E570" s="2" t="s">
        <v>14</v>
      </c>
      <c r="F570" s="2" t="s">
        <v>15</v>
      </c>
      <c r="G570" s="2" t="s">
        <v>174</v>
      </c>
      <c r="H570" s="2" t="s">
        <v>175</v>
      </c>
      <c r="I570" s="2" t="str">
        <f>IFERROR(__xludf.DUMMYFUNCTION("GOOGLETRANSLATE(C570,""fr"",""en"")"),"The discharge notice of January 5, 2020 went to my account on December 30 without apologies or counterparties despite my phone calls")</f>
        <v>The discharge notice of January 5, 2020 went to my account on December 30 without apologies or counterparties despite my phone calls</v>
      </c>
    </row>
    <row r="571" ht="15.75" customHeight="1">
      <c r="B571" s="2" t="s">
        <v>1679</v>
      </c>
      <c r="C571" s="2" t="s">
        <v>1680</v>
      </c>
      <c r="D571" s="2" t="s">
        <v>1559</v>
      </c>
      <c r="E571" s="2" t="s">
        <v>14</v>
      </c>
      <c r="F571" s="2" t="s">
        <v>15</v>
      </c>
      <c r="G571" s="2" t="s">
        <v>174</v>
      </c>
      <c r="H571" s="2" t="s">
        <v>175</v>
      </c>
      <c r="I571" s="2" t="str">
        <f>IFERROR(__xludf.DUMMYFUNCTION("GOOGLETRANSLATE(C571,""fr"",""en"")"),"It is not complicated, at the first claim, a termination, with the same standard sentence as others: ""risk inadequacy"". What is the point of being insured if in the end is it to be terminated at the slightest claim? Basically, to avoid purely and simply"&amp;".")</f>
        <v>It is not complicated, at the first claim, a termination, with the same standard sentence as others: "risk inadequacy". What is the point of being insured if in the end is it to be terminated at the slightest claim? Basically, to avoid purely and simply.</v>
      </c>
    </row>
    <row r="572" ht="15.75" customHeight="1">
      <c r="B572" s="2" t="s">
        <v>1681</v>
      </c>
      <c r="C572" s="2" t="s">
        <v>1682</v>
      </c>
      <c r="D572" s="2" t="s">
        <v>1559</v>
      </c>
      <c r="E572" s="2" t="s">
        <v>14</v>
      </c>
      <c r="F572" s="2" t="s">
        <v>15</v>
      </c>
      <c r="G572" s="2" t="s">
        <v>1683</v>
      </c>
      <c r="H572" s="2" t="s">
        <v>175</v>
      </c>
      <c r="I572" s="2" t="str">
        <f>IFERROR(__xludf.DUMMYFUNCTION("GOOGLETRANSLATE(C572,""fr"",""en"")"),"And another increase, another one!
I want to understand for a even non -responsible disaster but 10 years of seniority without any reproaches, moreover for an insignificant annual mileage (around 3500km) hard to digest!
Without counting the many sponsor"&amp;"ships (sister, brother, etc.) and my commercial gesture last year once again flew.
Ah there, I swear!")</f>
        <v>And another increase, another one!
I want to understand for a even non -responsible disaster but 10 years of seniority without any reproaches, moreover for an insignificant annual mileage (around 3500km) hard to digest!
Without counting the many sponsorships (sister, brother, etc.) and my commercial gesture last year once again flew.
Ah there, I swear!</v>
      </c>
    </row>
    <row r="573" ht="15.75" customHeight="1">
      <c r="B573" s="2" t="s">
        <v>1684</v>
      </c>
      <c r="C573" s="2" t="s">
        <v>1685</v>
      </c>
      <c r="D573" s="2" t="s">
        <v>1559</v>
      </c>
      <c r="E573" s="2" t="s">
        <v>14</v>
      </c>
      <c r="F573" s="2" t="s">
        <v>15</v>
      </c>
      <c r="G573" s="2" t="s">
        <v>1686</v>
      </c>
      <c r="H573" s="2" t="s">
        <v>175</v>
      </c>
      <c r="I573" s="2" t="str">
        <f>IFERROR(__xludf.DUMMYFUNCTION("GOOGLETRANSLATE(C573,""fr"",""en"")"),"It is amazing contempt and how they talk to customers !!! I have never seen that of life! I called just to find out if there are case fees is not complicated !! And I am already forced to record all my personal info to update their advertising databases !"&amp;"!! The file fees sometimes are exorbitant and it is not mentioned in the quote! As I cannot take out online
I had a second time and there surprised another interlocutor refuses to take care of my subscription !!! I dream !!! In addition we take you high."&amp;" To avoid absolutely")</f>
        <v>It is amazing contempt and how they talk to customers !!! I have never seen that of life! I called just to find out if there are case fees is not complicated !! And I am already forced to record all my personal info to update their advertising databases !!! The file fees sometimes are exorbitant and it is not mentioned in the quote! As I cannot take out online
I had a second time and there surprised another interlocutor refuses to take care of my subscription !!! I dream !!! In addition we take you high. To avoid absolutely</v>
      </c>
    </row>
    <row r="574" ht="15.75" customHeight="1">
      <c r="B574" s="2" t="s">
        <v>1687</v>
      </c>
      <c r="C574" s="2" t="s">
        <v>1688</v>
      </c>
      <c r="D574" s="2" t="s">
        <v>1559</v>
      </c>
      <c r="E574" s="2" t="s">
        <v>14</v>
      </c>
      <c r="F574" s="2" t="s">
        <v>15</v>
      </c>
      <c r="G574" s="2" t="s">
        <v>178</v>
      </c>
      <c r="H574" s="2" t="s">
        <v>179</v>
      </c>
      <c r="I574" s="2" t="str">
        <f>IFERROR(__xludf.DUMMYFUNCTION("GOOGLETRANSLATE(C574,""fr"",""en"")"),"You cashed 123rd at once (4 months). After a month you told me that it was missing an information statement from a former insurer and that therefore you could not make sure. I asked you for the reimbursement of the 3 months that I had paid in advance but "&amp;"I was told that no I had to read the contract well because you did not reimburse.
So I paid 123rd for 1 month of insurance !! (for a clio 2).
 ")</f>
        <v>You cashed 123rd at once (4 months). After a month you told me that it was missing an information statement from a former insurer and that therefore you could not make sure. I asked you for the reimbursement of the 3 months that I had paid in advance but I was told that no I had to read the contract well because you did not reimburse.
So I paid 123rd for 1 month of insurance !! (for a clio 2).
 </v>
      </c>
    </row>
    <row r="575" ht="15.75" customHeight="1">
      <c r="B575" s="2" t="s">
        <v>1689</v>
      </c>
      <c r="C575" s="2" t="s">
        <v>1690</v>
      </c>
      <c r="D575" s="2" t="s">
        <v>1559</v>
      </c>
      <c r="E575" s="2" t="s">
        <v>14</v>
      </c>
      <c r="F575" s="2" t="s">
        <v>15</v>
      </c>
      <c r="G575" s="2" t="s">
        <v>1367</v>
      </c>
      <c r="H575" s="2" t="s">
        <v>179</v>
      </c>
      <c r="I575" s="2" t="str">
        <f>IFERROR(__xludf.DUMMYFUNCTION("GOOGLETRANSLATE(C575,""fr"",""en"")"),"Here is a company that offers a quote, then when subscribing makes a superior offer for the same vehicle, then returns to the price of the quote, then makes a temporary contract by being mistaken in the type of vehicle. I remind you in the minute followin"&amp;"g to tell them the error which causes a new increase in the price. I therefore refuse the contract verbally and send at the same time a registered letter that they receive the next day, ie 24 hours before the possible date of the start of the contract. Of"&amp;" course they do not take it into account and give me a new provisional contract with erroneous dates, the type of vehicle incores and direct a due date. Eurofil Aviva even intends to take a second the following month. How can we qualify as such procedures"&amp;". Needless to say, I won't let myself be done.")</f>
        <v>Here is a company that offers a quote, then when subscribing makes a superior offer for the same vehicle, then returns to the price of the quote, then makes a temporary contract by being mistaken in the type of vehicle. I remind you in the minute following to tell them the error which causes a new increase in the price. I therefore refuse the contract verbally and send at the same time a registered letter that they receive the next day, ie 24 hours before the possible date of the start of the contract. Of course they do not take it into account and give me a new provisional contract with erroneous dates, the type of vehicle incores and direct a due date. Eurofil Aviva even intends to take a second the following month. How can we qualify as such procedures. Needless to say, I won't let myself be done.</v>
      </c>
    </row>
    <row r="576" ht="15.75" customHeight="1">
      <c r="B576" s="2" t="s">
        <v>1691</v>
      </c>
      <c r="C576" s="2" t="s">
        <v>1692</v>
      </c>
      <c r="D576" s="2" t="s">
        <v>1559</v>
      </c>
      <c r="E576" s="2" t="s">
        <v>14</v>
      </c>
      <c r="F576" s="2" t="s">
        <v>15</v>
      </c>
      <c r="G576" s="2" t="s">
        <v>1693</v>
      </c>
      <c r="H576" s="2" t="s">
        <v>189</v>
      </c>
      <c r="I576" s="2" t="str">
        <f>IFERROR(__xludf.DUMMYFUNCTION("GOOGLETRANSLATE(C576,""fr"",""en"")"),"Very correct price, perfect customer service no need to wait 1 hour to reach a person even when I broke down after 8 p.m. after we will see later.")</f>
        <v>Very correct price, perfect customer service no need to wait 1 hour to reach a person even when I broke down after 8 p.m. after we will see later.</v>
      </c>
    </row>
    <row r="577" ht="15.75" customHeight="1">
      <c r="B577" s="2" t="s">
        <v>1694</v>
      </c>
      <c r="C577" s="2" t="s">
        <v>1695</v>
      </c>
      <c r="D577" s="2" t="s">
        <v>1559</v>
      </c>
      <c r="E577" s="2" t="s">
        <v>14</v>
      </c>
      <c r="F577" s="2" t="s">
        <v>15</v>
      </c>
      <c r="G577" s="2" t="s">
        <v>1696</v>
      </c>
      <c r="H577" s="2" t="s">
        <v>189</v>
      </c>
      <c r="I577" s="2" t="str">
        <f>IFERROR(__xludf.DUMMYFUNCTION("GOOGLETRANSLATE(C577,""fr"",""en"")"),"I subscribed to auto insurance on September 10, on September 22, I provided information statements on October 4 I received a recommended to warn me that my insurance will be terminated on October 10 because they did not not recruit the proof of the gray c"&amp;"ard. I sent it on October 1 and it is still under treatment! I paid 3 months of insurance! I will send them a formal notice to reimburse me in 2 months: to flee !!!")</f>
        <v>I subscribed to auto insurance on September 10, on September 22, I provided information statements on October 4 I received a recommended to warn me that my insurance will be terminated on October 10 because they did not not recruit the proof of the gray card. I sent it on October 1 and it is still under treatment! I paid 3 months of insurance! I will send them a formal notice to reimburse me in 2 months: to flee !!!</v>
      </c>
    </row>
    <row r="578" ht="15.75" customHeight="1">
      <c r="B578" s="2" t="s">
        <v>1697</v>
      </c>
      <c r="C578" s="2" t="s">
        <v>1698</v>
      </c>
      <c r="D578" s="2" t="s">
        <v>1559</v>
      </c>
      <c r="E578" s="2" t="s">
        <v>14</v>
      </c>
      <c r="F578" s="2" t="s">
        <v>15</v>
      </c>
      <c r="G578" s="2" t="s">
        <v>473</v>
      </c>
      <c r="H578" s="2" t="s">
        <v>193</v>
      </c>
      <c r="I578" s="2" t="str">
        <f>IFERROR(__xludf.DUMMYFUNCTION("GOOGLETRANSLATE(C578,""fr"",""en"")"),"Attention, limit honesty. Insured for 5 years, without accident, when I terminate my contract, Hamont law, they do not receive the termination documents for my new insurance. I had to send them back myself. They therefore won a month of payment. I hope to"&amp;" be reimbursed for too perceived.")</f>
        <v>Attention, limit honesty. Insured for 5 years, without accident, when I terminate my contract, Hamont law, they do not receive the termination documents for my new insurance. I had to send them back myself. They therefore won a month of payment. I hope to be reimbursed for too perceived.</v>
      </c>
    </row>
    <row r="579" ht="15.75" customHeight="1">
      <c r="B579" s="2" t="s">
        <v>1699</v>
      </c>
      <c r="C579" s="2" t="s">
        <v>1700</v>
      </c>
      <c r="D579" s="2" t="s">
        <v>1559</v>
      </c>
      <c r="E579" s="2" t="s">
        <v>14</v>
      </c>
      <c r="F579" s="2" t="s">
        <v>15</v>
      </c>
      <c r="G579" s="2" t="s">
        <v>476</v>
      </c>
      <c r="H579" s="2" t="s">
        <v>193</v>
      </c>
      <c r="I579" s="2" t="str">
        <f>IFERROR(__xludf.DUMMYFUNCTION("GOOGLETRANSLATE(C579,""fr"",""en"")"),"Flee 0 Star is what it deserves. Do not count on assistance it is nonexistent. We will make fun of you.")</f>
        <v>Flee 0 Star is what it deserves. Do not count on assistance it is nonexistent. We will make fun of you.</v>
      </c>
    </row>
    <row r="580" ht="15.75" customHeight="1">
      <c r="B580" s="2" t="s">
        <v>1701</v>
      </c>
      <c r="C580" s="2" t="s">
        <v>1702</v>
      </c>
      <c r="D580" s="2" t="s">
        <v>1559</v>
      </c>
      <c r="E580" s="2" t="s">
        <v>14</v>
      </c>
      <c r="F580" s="2" t="s">
        <v>15</v>
      </c>
      <c r="G580" s="2" t="s">
        <v>1703</v>
      </c>
      <c r="H580" s="2" t="s">
        <v>193</v>
      </c>
      <c r="I580" s="2" t="str">
        <f>IFERROR(__xludf.DUMMYFUNCTION("GOOGLETRANSLATE(C580,""fr"",""en"")"),"Catastrophic.
Termination following two non -responsible claims after 950 euros of franchise per claim. We have just seen following a contract modification this day that we have been running without insurance for 3 months! Eurofil wrote to us at a bad ad"&amp;"dress and did not surprise the return of the recommended with the mention of error. A bunch of big draws.")</f>
        <v>Catastrophic.
Termination following two non -responsible claims after 950 euros of franchise per claim. We have just seen following a contract modification this day that we have been running without insurance for 3 months! Eurofil wrote to us at a bad address and did not surprise the return of the recommended with the mention of error. A bunch of big draws.</v>
      </c>
    </row>
    <row r="581" ht="15.75" customHeight="1">
      <c r="B581" s="2" t="s">
        <v>1704</v>
      </c>
      <c r="C581" s="2" t="s">
        <v>1705</v>
      </c>
      <c r="D581" s="2" t="s">
        <v>1559</v>
      </c>
      <c r="E581" s="2" t="s">
        <v>14</v>
      </c>
      <c r="F581" s="2" t="s">
        <v>15</v>
      </c>
      <c r="G581" s="2" t="s">
        <v>1706</v>
      </c>
      <c r="H581" s="2" t="s">
        <v>193</v>
      </c>
      <c r="I581" s="2" t="str">
        <f>IFERROR(__xludf.DUMMYFUNCTION("GOOGLETRANSLATE(C581,""fr"",""en"")"),"Too bad to have made an registration according to the price with 50 bonuses without looking at the maddening comments and I note that everything is true: communication at the tel nothing, or in break, while the site mentions from 8:45 am to 8 pm every day"&amp;" , or write on Facebook, a world! You have to stay hung on Facebook for 1 hour to wait for the answer ..... which does not come anyway. The whole is purely incredible")</f>
        <v>Too bad to have made an registration according to the price with 50 bonuses without looking at the maddening comments and I note that everything is true: communication at the tel nothing, or in break, while the site mentions from 8:45 am to 8 pm every day , or write on Facebook, a world! You have to stay hung on Facebook for 1 hour to wait for the answer ..... which does not come anyway. The whole is purely incredible</v>
      </c>
    </row>
    <row r="582" ht="15.75" customHeight="1">
      <c r="B582" s="2" t="s">
        <v>1707</v>
      </c>
      <c r="C582" s="2" t="s">
        <v>1708</v>
      </c>
      <c r="D582" s="2" t="s">
        <v>1559</v>
      </c>
      <c r="E582" s="2" t="s">
        <v>14</v>
      </c>
      <c r="F582" s="2" t="s">
        <v>15</v>
      </c>
      <c r="G582" s="2" t="s">
        <v>1709</v>
      </c>
      <c r="H582" s="2" t="s">
        <v>197</v>
      </c>
      <c r="I582" s="2" t="str">
        <f>IFERROR(__xludf.DUMMYFUNCTION("GOOGLETRANSLATE(C582,""fr"",""en"")"),"To run away absolutely, completely incompetent telephone platform. After 30 minutes of waiting, the staff unable to give the right information and above all make no effort.")</f>
        <v>To run away absolutely, completely incompetent telephone platform. After 30 minutes of waiting, the staff unable to give the right information and above all make no effort.</v>
      </c>
    </row>
    <row r="583" ht="15.75" customHeight="1">
      <c r="B583" s="2" t="s">
        <v>1710</v>
      </c>
      <c r="C583" s="2" t="s">
        <v>1711</v>
      </c>
      <c r="D583" s="2" t="s">
        <v>1559</v>
      </c>
      <c r="E583" s="2" t="s">
        <v>14</v>
      </c>
      <c r="F583" s="2" t="s">
        <v>15</v>
      </c>
      <c r="G583" s="2" t="s">
        <v>1712</v>
      </c>
      <c r="H583" s="2" t="s">
        <v>210</v>
      </c>
      <c r="I583" s="2" t="str">
        <f>IFERROR(__xludf.DUMMYFUNCTION("GOOGLETRANSLATE(C583,""fr"",""en"")"),"Staff who responds in an execrable way! We are good than paying and they make you understand!")</f>
        <v>Staff who responds in an execrable way! We are good than paying and they make you understand!</v>
      </c>
    </row>
    <row r="584" ht="15.75" customHeight="1">
      <c r="B584" s="2" t="s">
        <v>1713</v>
      </c>
      <c r="C584" s="2" t="s">
        <v>1714</v>
      </c>
      <c r="D584" s="2" t="s">
        <v>1559</v>
      </c>
      <c r="E584" s="2" t="s">
        <v>14</v>
      </c>
      <c r="F584" s="2" t="s">
        <v>15</v>
      </c>
      <c r="G584" s="2" t="s">
        <v>1715</v>
      </c>
      <c r="H584" s="2" t="s">
        <v>217</v>
      </c>
      <c r="I584" s="2" t="str">
        <f>IFERROR(__xludf.DUMMYFUNCTION("GOOGLETRANSLATE(C584,""fr"",""en"")"),"Reactive, attractive price, listening to the customer, one of the cheapest on the car and home insurance market")</f>
        <v>Reactive, attractive price, listening to the customer, one of the cheapest on the car and home insurance market</v>
      </c>
    </row>
    <row r="585" ht="15.75" customHeight="1">
      <c r="B585" s="2" t="s">
        <v>1716</v>
      </c>
      <c r="C585" s="2" t="s">
        <v>1717</v>
      </c>
      <c r="D585" s="2" t="s">
        <v>1559</v>
      </c>
      <c r="E585" s="2" t="s">
        <v>14</v>
      </c>
      <c r="F585" s="2" t="s">
        <v>15</v>
      </c>
      <c r="G585" s="2" t="s">
        <v>1718</v>
      </c>
      <c r="H585" s="2" t="s">
        <v>217</v>
      </c>
      <c r="I585" s="2" t="str">
        <f>IFERROR(__xludf.DUMMYFUNCTION("GOOGLETRANSLATE(C585,""fr"",""en"")"),"Very unhappy to flee. Customer for + 7 years, no unpaid, no claim except 1 4 days ago, received today LRAR for ejection (no reason) at maturity on 31/8! In addition recommends a partner insurer! By telephone to the declaration of the claim, had certified "&amp;"no impact on bonus 50% very old ... This day contacted customer service which cannot indicate the reason for termination: this is a decision of the management, the fact of the prince therefore ....
")</f>
        <v>Very unhappy to flee. Customer for + 7 years, no unpaid, no claim except 1 4 days ago, received today LRAR for ejection (no reason) at maturity on 31/8! In addition recommends a partner insurer! By telephone to the declaration of the claim, had certified no impact on bonus 50% very old ... This day contacted customer service which cannot indicate the reason for termination: this is a decision of the management, the fact of the prince therefore ....
</v>
      </c>
    </row>
    <row r="586" ht="15.75" customHeight="1">
      <c r="B586" s="2" t="s">
        <v>1719</v>
      </c>
      <c r="C586" s="2" t="s">
        <v>1720</v>
      </c>
      <c r="D586" s="2" t="s">
        <v>1559</v>
      </c>
      <c r="E586" s="2" t="s">
        <v>14</v>
      </c>
      <c r="F586" s="2" t="s">
        <v>15</v>
      </c>
      <c r="G586" s="2" t="s">
        <v>1718</v>
      </c>
      <c r="H586" s="2" t="s">
        <v>217</v>
      </c>
      <c r="I586" s="2" t="str">
        <f>IFERROR(__xludf.DUMMYFUNCTION("GOOGLETRANSLATE(C586,""fr"",""en"")"),"To flee.
I subscribed to them for a brand new car on May 28, 2019. Now that 20 days I have been terminated the contract because once they have obtained my provisional gray card they see in the holder my husband who did not Not the permit when I report it"&amp;" when I made the quote at home.
All this apparently is written in their conditions but respect? The way to speak to their client?
The person I had on the phone just replied that I could take it as I wanted when I told them that basically I just sat on 2"&amp;"60th? Because of course they take the sum of 4 months in advance and they don't give it back when they terminate you. I am simply shocked by the way we treat you
I never give my opinion or whether it is but I take the trouble to do it here so that anothe"&amp;"r person does not have like me.
I have 7 years of permit, I have ever had any concerns have always had the best insurance offers but now because of them I find myself with little insurance that wants me and at very high prices because I got Equi terminat"&amp;"ed by insurance.")</f>
        <v>To flee.
I subscribed to them for a brand new car on May 28, 2019. Now that 20 days I have been terminated the contract because once they have obtained my provisional gray card they see in the holder my husband who did not Not the permit when I report it when I made the quote at home.
All this apparently is written in their conditions but respect? The way to speak to their client?
The person I had on the phone just replied that I could take it as I wanted when I told them that basically I just sat on 260th? Because of course they take the sum of 4 months in advance and they don't give it back when they terminate you. I am simply shocked by the way we treat you
I never give my opinion or whether it is but I take the trouble to do it here so that another person does not have like me.
I have 7 years of permit, I have ever had any concerns have always had the best insurance offers but now because of them I find myself with little insurance that wants me and at very high prices because I got Equi terminated by insurance.</v>
      </c>
    </row>
    <row r="587" ht="15.75" customHeight="1">
      <c r="B587" s="2" t="s">
        <v>1721</v>
      </c>
      <c r="C587" s="2" t="s">
        <v>1722</v>
      </c>
      <c r="D587" s="2" t="s">
        <v>1559</v>
      </c>
      <c r="E587" s="2" t="s">
        <v>14</v>
      </c>
      <c r="F587" s="2" t="s">
        <v>15</v>
      </c>
      <c r="G587" s="2" t="s">
        <v>902</v>
      </c>
      <c r="H587" s="2" t="s">
        <v>217</v>
      </c>
      <c r="I587" s="2" t="str">
        <f>IFERROR(__xludf.DUMMYFUNCTION("GOOGLETRANSLATE(C587,""fr"",""en"")"),"Despite the very attractive rates, this insurance does not present anything comparable to insurance
 Discount and I have nothing to agree with certain comments read on the Internet.
The teams are very professional and the advice is very wise.
I highly "&amp;"recommend this insurance and without any hesitation
")</f>
        <v>Despite the very attractive rates, this insurance does not present anything comparable to insurance
 Discount and I have nothing to agree with certain comments read on the Internet.
The teams are very professional and the advice is very wise.
I highly recommend this insurance and without any hesitation
</v>
      </c>
    </row>
    <row r="588" ht="15.75" customHeight="1">
      <c r="B588" s="2" t="s">
        <v>1723</v>
      </c>
      <c r="C588" s="2" t="s">
        <v>1724</v>
      </c>
      <c r="D588" s="2" t="s">
        <v>1559</v>
      </c>
      <c r="E588" s="2" t="s">
        <v>14</v>
      </c>
      <c r="F588" s="2" t="s">
        <v>15</v>
      </c>
      <c r="G588" s="2" t="s">
        <v>496</v>
      </c>
      <c r="H588" s="2" t="s">
        <v>217</v>
      </c>
      <c r="I588" s="2" t="str">
        <f>IFERROR(__xludf.DUMMYFUNCTION("GOOGLETRANSLATE(C588,""fr"",""en"")"),"Hello:
Last Friday I received by mail my car insurance premium.
I note an increase of 17%, when I have no claim and my reduction coefficient to decrease.
Who are we laughing at ?.
I do not understand the position of Eurofil.
I have 2 solutions left: "&amp;"leave Eurofil or drive without insurance and the more I think about it ................
I leave you alone judge to go to Eurofil")</f>
        <v>Hello:
Last Friday I received by mail my car insurance premium.
I note an increase of 17%, when I have no claim and my reduction coefficient to decrease.
Who are we laughing at ?.
I do not understand the position of Eurofil.
I have 2 solutions left: leave Eurofil or drive without insurance and the more I think about it ................
I leave you alone judge to go to Eurofil</v>
      </c>
    </row>
    <row r="589" ht="15.75" customHeight="1">
      <c r="B589" s="2" t="s">
        <v>1725</v>
      </c>
      <c r="C589" s="2" t="s">
        <v>1726</v>
      </c>
      <c r="D589" s="2" t="s">
        <v>1559</v>
      </c>
      <c r="E589" s="2" t="s">
        <v>14</v>
      </c>
      <c r="F589" s="2" t="s">
        <v>15</v>
      </c>
      <c r="G589" s="2" t="s">
        <v>1727</v>
      </c>
      <c r="H589" s="2" t="s">
        <v>217</v>
      </c>
      <c r="I589" s="2" t="str">
        <f>IFERROR(__xludf.DUMMYFUNCTION("GOOGLETRANSLATE(C589,""fr"",""en"")"),"Insured for 25 years at Eurofil I have to change insurance today because they do not want to ensure my new vehicle. Despite the sending of the transfer act of my old vehicle, he took my new bonus to me and refuses to immediately reimburse me the 600 euros"&amp;" asks me to wait a month !!!")</f>
        <v>Insured for 25 years at Eurofil I have to change insurance today because they do not want to ensure my new vehicle. Despite the sending of the transfer act of my old vehicle, he took my new bonus to me and refuses to immediately reimburse me the 600 euros asks me to wait a month !!!</v>
      </c>
    </row>
    <row r="590" ht="15.75" customHeight="1">
      <c r="B590" s="2" t="s">
        <v>1728</v>
      </c>
      <c r="C590" s="2" t="s">
        <v>1729</v>
      </c>
      <c r="D590" s="2" t="s">
        <v>1559</v>
      </c>
      <c r="E590" s="2" t="s">
        <v>14</v>
      </c>
      <c r="F590" s="2" t="s">
        <v>15</v>
      </c>
      <c r="G590" s="2" t="s">
        <v>1730</v>
      </c>
      <c r="H590" s="2" t="s">
        <v>224</v>
      </c>
      <c r="I590" s="2" t="str">
        <f>IFERROR(__xludf.DUMMYFUNCTION("GOOGLETRANSLATE(C590,""fr"",""en"")"),"Do not trust the prices, which increases in the second year.
And beware of the Green Break of Ice, because if you have a disaster you are terminated in the year !!!
You are open to you extra claims, you need to have an hour (literally) to obtain the"&amp;" classification without follow -up.
")</f>
        <v>Do not trust the prices, which increases in the second year.
And beware of the Green Break of Ice, because if you have a disaster you are terminated in the year !!!
You are open to you extra claims, you need to have an hour (literally) to obtain the classification without follow -up.
</v>
      </c>
    </row>
    <row r="591" ht="15.75" customHeight="1">
      <c r="B591" s="2" t="s">
        <v>1731</v>
      </c>
      <c r="C591" s="2" t="s">
        <v>1732</v>
      </c>
      <c r="D591" s="2" t="s">
        <v>1559</v>
      </c>
      <c r="E591" s="2" t="s">
        <v>14</v>
      </c>
      <c r="F591" s="2" t="s">
        <v>15</v>
      </c>
      <c r="G591" s="2" t="s">
        <v>916</v>
      </c>
      <c r="H591" s="2" t="s">
        <v>228</v>
      </c>
      <c r="I591" s="2" t="str">
        <f>IFERROR(__xludf.DUMMYFUNCTION("GOOGLETRANSLATE(C591,""fr"",""en"")"),"Hello,
Insured for over 15 years at Eurofil (2 houses, 1 car, family protection), I am amazed by their way of doing
My son having had his license, we want to put him as a secondary driver while he buys his own car. When my wife calls, a very unple"&amp;"asant lady retorts to her that she is solving the Helico-Presto contract. My wife did not even have time to explain anything to him or even tried to find another solution (do not add my son to the contract for example). In stride we receive a notification"&amp;" of termination.
So I want to look for another insurance and ask Eurofil not to leave the mention ""terminated by the insurer"" to avoid the negative consequences during my research. There too, refusal on their part until I find another insurance (very"&amp;" practical I find .....).
In short, I am chosen and will remove all my insured property at home because they only deserve that
Flee Eurofil and do not trust their ""attractive"" prices ... the quality has a price!")</f>
        <v>Hello,
Insured for over 15 years at Eurofil (2 houses, 1 car, family protection), I am amazed by their way of doing
My son having had his license, we want to put him as a secondary driver while he buys his own car. When my wife calls, a very unpleasant lady retorts to her that she is solving the Helico-Presto contract. My wife did not even have time to explain anything to him or even tried to find another solution (do not add my son to the contract for example). In stride we receive a notification of termination.
So I want to look for another insurance and ask Eurofil not to leave the mention "terminated by the insurer" to avoid the negative consequences during my research. There too, refusal on their part until I find another insurance (very practical I find .....).
In short, I am chosen and will remove all my insured property at home because they only deserve that
Flee Eurofil and do not trust their "attractive" prices ... the quality has a price!</v>
      </c>
    </row>
    <row r="592" ht="15.75" customHeight="1">
      <c r="B592" s="2" t="s">
        <v>1733</v>
      </c>
      <c r="C592" s="2" t="s">
        <v>1734</v>
      </c>
      <c r="D592" s="2" t="s">
        <v>1559</v>
      </c>
      <c r="E592" s="2" t="s">
        <v>14</v>
      </c>
      <c r="F592" s="2" t="s">
        <v>15</v>
      </c>
      <c r="G592" s="2" t="s">
        <v>227</v>
      </c>
      <c r="H592" s="2" t="s">
        <v>228</v>
      </c>
      <c r="I592" s="2" t="str">
        <f>IFERROR(__xludf.DUMMYFUNCTION("GOOGLETRANSLATE(C592,""fr"",""en"")"),"Hello,
I have 2 cars insured at Eurofil. My wife has just had her license. I want to insure it as a secondary driver on one of them. Eurofil does not want to assure him in the main driver and therefore suddenly the triple price. The only refusal reason i"&amp;"s because I have 2 cars. Is this normal? It is not mentioned in the contract right?")</f>
        <v>Hello,
I have 2 cars insured at Eurofil. My wife has just had her license. I want to insure it as a secondary driver on one of them. Eurofil does not want to assure him in the main driver and therefore suddenly the triple price. The only refusal reason is because I have 2 cars. Is this normal? It is not mentioned in the contract right?</v>
      </c>
    </row>
    <row r="593" ht="15.75" customHeight="1">
      <c r="B593" s="2" t="s">
        <v>1735</v>
      </c>
      <c r="C593" s="2" t="s">
        <v>1736</v>
      </c>
      <c r="D593" s="2" t="s">
        <v>1559</v>
      </c>
      <c r="E593" s="2" t="s">
        <v>14</v>
      </c>
      <c r="F593" s="2" t="s">
        <v>15</v>
      </c>
      <c r="G593" s="2" t="s">
        <v>1737</v>
      </c>
      <c r="H593" s="2" t="s">
        <v>228</v>
      </c>
      <c r="I593" s="2" t="str">
        <f>IFERROR(__xludf.DUMMYFUNCTION("GOOGLETRANSLATE(C593,""fr"",""en"")"),"To flee, they terminated me because I wanted to add my spouse as an occasional driver and they refused it because he had claims. And they refused to assure me alone as the main driver of my car because they consider us a home. Aberrant, illogical and unfa"&amp;"ir because I had no claim for 5 years. I should have stayed at Direct Assurance.")</f>
        <v>To flee, they terminated me because I wanted to add my spouse as an occasional driver and they refused it because he had claims. And they refused to assure me alone as the main driver of my car because they consider us a home. Aberrant, illogical and unfair because I had no claim for 5 years. I should have stayed at Direct Assurance.</v>
      </c>
    </row>
    <row r="594" ht="15.75" customHeight="1">
      <c r="B594" s="2" t="s">
        <v>1738</v>
      </c>
      <c r="C594" s="2" t="s">
        <v>1739</v>
      </c>
      <c r="D594" s="2" t="s">
        <v>1559</v>
      </c>
      <c r="E594" s="2" t="s">
        <v>14</v>
      </c>
      <c r="F594" s="2" t="s">
        <v>15</v>
      </c>
      <c r="G594" s="2" t="s">
        <v>1740</v>
      </c>
      <c r="H594" s="2" t="s">
        <v>513</v>
      </c>
      <c r="I594" s="2" t="str">
        <f>IFERROR(__xludf.DUMMYFUNCTION("GOOGLETRANSLATE(C594,""fr"",""en"")"),"Eurofil-Aviva Low-Coast insurance !!!
Everything is at a discount !!!
In order to maximize their profits, they try for example to force you to repair your vehicle in a garage with which they have arrangements ... despite the legal obligation (Hamon law "&amp;"of March 17, 2014) ""free choice of repairer"".
Not only do they not inform you of your freedom to repair your vehicle (decree of December 29, 2014), but try by intimidation (if the repair is badly made you will not be covered, you will have to pay your "&amp;"pocket etc etc. Multiple calls to dissuade you from going elsewhere, pretend that your desire has not been formulated etc etc.).
I strongly advise against this merchant.")</f>
        <v>Eurofil-Aviva Low-Coast insurance !!!
Everything is at a discount !!!
In order to maximize their profits, they try for example to force you to repair your vehicle in a garage with which they have arrangements ... despite the legal obligation (Hamon law of March 17, 2014) "free choice of repairer".
Not only do they not inform you of your freedom to repair your vehicle (decree of December 29, 2014), but try by intimidation (if the repair is badly made you will not be covered, you will have to pay your pocket etc etc. Multiple calls to dissuade you from going elsewhere, pretend that your desire has not been formulated etc etc.).
I strongly advise against this merchant.</v>
      </c>
    </row>
    <row r="595" ht="15.75" customHeight="1">
      <c r="B595" s="2" t="s">
        <v>1741</v>
      </c>
      <c r="C595" s="2" t="s">
        <v>1742</v>
      </c>
      <c r="D595" s="2" t="s">
        <v>1559</v>
      </c>
      <c r="E595" s="2" t="s">
        <v>14</v>
      </c>
      <c r="F595" s="2" t="s">
        <v>15</v>
      </c>
      <c r="G595" s="2" t="s">
        <v>1743</v>
      </c>
      <c r="H595" s="2" t="s">
        <v>513</v>
      </c>
      <c r="I595" s="2" t="str">
        <f>IFERROR(__xludf.DUMMYFUNCTION("GOOGLETRANSLATE(C595,""fr"",""en"")"),"Eurofil client for 8 years with two different successive cars.
While my last car was vandalized twice in 6 months, two years after Eurofil decides to terminate me for ""risk inadequacy with regard to acceptance policy"".
Hello shock !!!!
Of course then"&amp;" we are marked with a hot iron and it is impossible to secure properly unless you pay an exorbitant premium.
It is absolutely unacceptable to undergo this and especially then to be relieved as a vulgar offender while I have 50% bonus and in addition anot"&amp;"her additional bonus linked to my loyalty.
A termination by the insured at the insurer's request would be much better to avoid being in an inextricable situation.")</f>
        <v>Eurofil client for 8 years with two different successive cars.
While my last car was vandalized twice in 6 months, two years after Eurofil decides to terminate me for "risk inadequacy with regard to acceptance policy".
Hello shock !!!!
Of course then we are marked with a hot iron and it is impossible to secure properly unless you pay an exorbitant premium.
It is absolutely unacceptable to undergo this and especially then to be relieved as a vulgar offender while I have 50% bonus and in addition another additional bonus linked to my loyalty.
A termination by the insured at the insurer's request would be much better to avoid being in an inextricable situation.</v>
      </c>
    </row>
    <row r="596" ht="15.75" customHeight="1">
      <c r="B596" s="2" t="s">
        <v>1744</v>
      </c>
      <c r="C596" s="2" t="s">
        <v>1745</v>
      </c>
      <c r="D596" s="2" t="s">
        <v>1559</v>
      </c>
      <c r="E596" s="2" t="s">
        <v>14</v>
      </c>
      <c r="F596" s="2" t="s">
        <v>15</v>
      </c>
      <c r="G596" s="2" t="s">
        <v>1746</v>
      </c>
      <c r="H596" s="2" t="s">
        <v>513</v>
      </c>
      <c r="I596" s="2" t="str">
        <f>IFERROR(__xludf.DUMMYFUNCTION("GOOGLETRANSLATE(C596,""fr"",""en"")"),"I was the victim of the theft of my car Ensure all risks ++++ Eurofil refuses to reimburse my vehicle, so I took a lawyer to defend me when I never had to do with justice, I decide to EUROFIL")</f>
        <v>I was the victim of the theft of my car Ensure all risks ++++ Eurofil refuses to reimburse my vehicle, so I took a lawyer to defend me when I never had to do with justice, I decide to EUROFIL</v>
      </c>
    </row>
    <row r="597" ht="15.75" customHeight="1">
      <c r="B597" s="2" t="s">
        <v>1747</v>
      </c>
      <c r="C597" s="2" t="s">
        <v>1748</v>
      </c>
      <c r="D597" s="2" t="s">
        <v>1559</v>
      </c>
      <c r="E597" s="2" t="s">
        <v>14</v>
      </c>
      <c r="F597" s="2" t="s">
        <v>15</v>
      </c>
      <c r="G597" s="2" t="s">
        <v>1749</v>
      </c>
      <c r="H597" s="2" t="s">
        <v>517</v>
      </c>
      <c r="I597" s="2" t="str">
        <f>IFERROR(__xludf.DUMMYFUNCTION("GOOGLETRANSLATE(C597,""fr"",""en"")"),"I have assured my car for 15 days and I have just received a new schedule which doubles my monthly subscription! No consent request, this modification was made without even consulting me.")</f>
        <v>I have assured my car for 15 days and I have just received a new schedule which doubles my monthly subscription! No consent request, this modification was made without even consulting me.</v>
      </c>
    </row>
    <row r="598" ht="15.75" customHeight="1">
      <c r="B598" s="2" t="s">
        <v>1750</v>
      </c>
      <c r="C598" s="2" t="s">
        <v>1751</v>
      </c>
      <c r="D598" s="2" t="s">
        <v>1559</v>
      </c>
      <c r="E598" s="2" t="s">
        <v>14</v>
      </c>
      <c r="F598" s="2" t="s">
        <v>15</v>
      </c>
      <c r="G598" s="2" t="s">
        <v>1752</v>
      </c>
      <c r="H598" s="2" t="s">
        <v>524</v>
      </c>
      <c r="I598" s="2" t="str">
        <f>IFERROR(__xludf.DUMMYFUNCTION("GOOGLETRANSLATE(C598,""fr"",""en"")"),"Hello, Insurance terminated for lack of documents by AR mail. However, all the documents were on the site largely before the end of the first month of insurance. Customer service told me that the reason for termination was linked to the fact that my profi"&amp;"le did not correspond to the general conditions. The advanced argument had nothing to do with a document defect. I did not find the argument put forward in the general conditions either.
So I have two problems: reimbursement or commercial gesture, none"&amp;" and much more important in view of the letter AR No insurer wants to take me back to normal conditions because I will according to them will act for 3 years. On the phone, customer service assures me that I am not on duty will act. I ask for a letter ind"&amp;"icating that it was not a company termination and that I am not on the basis will act to be able to send it to my new insurer and reduce the premium; Customer service response No mail will be sent to me. It is unacceptable and unacceptable.
Personally,"&amp;" I have several vehicles, 50% bonuses for 19 years and only one declaration for non -responsible accident in 2017")</f>
        <v>Hello, Insurance terminated for lack of documents by AR mail. However, all the documents were on the site largely before the end of the first month of insurance. Customer service told me that the reason for termination was linked to the fact that my profile did not correspond to the general conditions. The advanced argument had nothing to do with a document defect. I did not find the argument put forward in the general conditions either.
So I have two problems: reimbursement or commercial gesture, none and much more important in view of the letter AR No insurer wants to take me back to normal conditions because I will according to them will act for 3 years. On the phone, customer service assures me that I am not on duty will act. I ask for a letter indicating that it was not a company termination and that I am not on the basis will act to be able to send it to my new insurer and reduce the premium; Customer service response No mail will be sent to me. It is unacceptable and unacceptable.
Personally, I have several vehicles, 50% bonuses for 19 years and only one declaration for non -responsible accident in 2017</v>
      </c>
    </row>
    <row r="599" ht="15.75" customHeight="1">
      <c r="B599" s="2" t="s">
        <v>1753</v>
      </c>
      <c r="C599" s="2" t="s">
        <v>1754</v>
      </c>
      <c r="D599" s="2" t="s">
        <v>1559</v>
      </c>
      <c r="E599" s="2" t="s">
        <v>14</v>
      </c>
      <c r="F599" s="2" t="s">
        <v>15</v>
      </c>
      <c r="G599" s="2" t="s">
        <v>1752</v>
      </c>
      <c r="H599" s="2" t="s">
        <v>524</v>
      </c>
      <c r="I599" s="2" t="str">
        <f>IFERROR(__xludf.DUMMYFUNCTION("GOOGLETRANSLATE(C599,""fr"",""en"")"),"I would have saved time and money, and serenity not to be assured ...")</f>
        <v>I would have saved time and money, and serenity not to be assured ...</v>
      </c>
    </row>
    <row r="600" ht="15.75" customHeight="1">
      <c r="B600" s="2" t="s">
        <v>1755</v>
      </c>
      <c r="C600" s="2" t="s">
        <v>1756</v>
      </c>
      <c r="D600" s="2" t="s">
        <v>1559</v>
      </c>
      <c r="E600" s="2" t="s">
        <v>14</v>
      </c>
      <c r="F600" s="2" t="s">
        <v>15</v>
      </c>
      <c r="G600" s="2" t="s">
        <v>1757</v>
      </c>
      <c r="H600" s="2" t="s">
        <v>524</v>
      </c>
      <c r="I600" s="2" t="str">
        <f>IFERROR(__xludf.DUMMYFUNCTION("GOOGLETRANSLATE(C600,""fr"",""en"")"),"The company has just resilled my contract within 10 days because my son (who does not drink and does not come out he loves sport) has just had his license is a aggravating risk for their benefit by driving my clio !!! Alert to all the parents of serious t"&amp;"eenagers you were thrown overnight bonus 50% never an accident 30 years of license !!!!!
Call you will see !!!!!!")</f>
        <v>The company has just resilled my contract within 10 days because my son (who does not drink and does not come out he loves sport) has just had his license is a aggravating risk for their benefit by driving my clio !!! Alert to all the parents of serious teenagers you were thrown overnight bonus 50% never an accident 30 years of license !!!!!
Call you will see !!!!!!</v>
      </c>
    </row>
    <row r="601" ht="15.75" customHeight="1">
      <c r="B601" s="2" t="s">
        <v>1758</v>
      </c>
      <c r="C601" s="2" t="s">
        <v>1759</v>
      </c>
      <c r="D601" s="2" t="s">
        <v>1559</v>
      </c>
      <c r="E601" s="2" t="s">
        <v>14</v>
      </c>
      <c r="F601" s="2" t="s">
        <v>15</v>
      </c>
      <c r="G601" s="2" t="s">
        <v>1760</v>
      </c>
      <c r="H601" s="2" t="s">
        <v>524</v>
      </c>
      <c r="I601" s="2" t="str">
        <f>IFERROR(__xludf.DUMMYFUNCTION("GOOGLETRANSLATE(C601,""fr"",""en"")"),"Contract subscribed on 01/01/2002 for two cars and for a house
First claim on 04/04/2018 or 16 years and 4 months without claim
The disaster in question intervenes in a parking lot of my overloaded city
Reduced space between two cars I touch the back l"&amp;"eft of the car located on my right the driver of this car present aboard this one opens the door which leads to the contact between the 2 cars I receive a standard termination letter photocopy According to opinions read moreover, no particular explanation"&amp;"
")</f>
        <v>Contract subscribed on 01/01/2002 for two cars and for a house
First claim on 04/04/2018 or 16 years and 4 months without claim
The disaster in question intervenes in a parking lot of my overloaded city
Reduced space between two cars I touch the back left of the car located on my right the driver of this car present aboard this one opens the door which leads to the contact between the 2 cars I receive a standard termination letter photocopy According to opinions read moreover, no particular explanation
</v>
      </c>
    </row>
    <row r="602" ht="15.75" customHeight="1">
      <c r="B602" s="2" t="s">
        <v>1761</v>
      </c>
      <c r="C602" s="2" t="s">
        <v>1762</v>
      </c>
      <c r="D602" s="2" t="s">
        <v>1559</v>
      </c>
      <c r="E602" s="2" t="s">
        <v>14</v>
      </c>
      <c r="F602" s="2" t="s">
        <v>15</v>
      </c>
      <c r="G602" s="2" t="s">
        <v>535</v>
      </c>
      <c r="H602" s="2" t="s">
        <v>249</v>
      </c>
      <c r="I602" s="2" t="str">
        <f>IFERROR(__xludf.DUMMYFUNCTION("GOOGLETRANSLATE(C602,""fr"",""en"")"),"After more than 10 years at Eurofil with 4 contracts, I was put outside during my address changes.
Without an explanation apart that I had in 18 months 3 broken non -responsible ice cream.
Eurofil as many insurance is there to make figures on your back."&amp;"
to flee")</f>
        <v>After more than 10 years at Eurofil with 4 contracts, I was put outside during my address changes.
Without an explanation apart that I had in 18 months 3 broken non -responsible ice cream.
Eurofil as many insurance is there to make figures on your back.
to flee</v>
      </c>
    </row>
    <row r="603" ht="15.75" customHeight="1">
      <c r="B603" s="2" t="s">
        <v>1763</v>
      </c>
      <c r="C603" s="2" t="s">
        <v>1764</v>
      </c>
      <c r="D603" s="2" t="s">
        <v>1559</v>
      </c>
      <c r="E603" s="2" t="s">
        <v>14</v>
      </c>
      <c r="F603" s="2" t="s">
        <v>15</v>
      </c>
      <c r="G603" s="2" t="s">
        <v>968</v>
      </c>
      <c r="H603" s="2" t="s">
        <v>249</v>
      </c>
      <c r="I603" s="2" t="str">
        <f>IFERROR(__xludf.DUMMYFUNCTION("GOOGLETRANSLATE(C603,""fr"",""en"")"),"Be careful if you buy a leasing car and assure you at Eurofil. My car under 2 years of age 17000kms estimated at ... 7680th while the Argus is 11,000 excluding option. According to the expert, which is any matter what, the costs of the repair are more exp"&amp;"ensive than the price of The car (it's madness). At Eurofil, we have the right to pay and after a disaster, the leasing company and insurance arrange together. Leasing, never again! Eurofil, never again, even less elsewhere")</f>
        <v>Be careful if you buy a leasing car and assure you at Eurofil. My car under 2 years of age 17000kms estimated at ... 7680th while the Argus is 11,000 excluding option. According to the expert, which is any matter what, the costs of the repair are more expensive than the price of The car (it's madness). At Eurofil, we have the right to pay and after a disaster, the leasing company and insurance arrange together. Leasing, never again! Eurofil, never again, even less elsewhere</v>
      </c>
    </row>
    <row r="604" ht="15.75" customHeight="1">
      <c r="B604" s="2" t="s">
        <v>1765</v>
      </c>
      <c r="C604" s="2" t="s">
        <v>1766</v>
      </c>
      <c r="D604" s="2" t="s">
        <v>1559</v>
      </c>
      <c r="E604" s="2" t="s">
        <v>14</v>
      </c>
      <c r="F604" s="2" t="s">
        <v>15</v>
      </c>
      <c r="G604" s="2" t="s">
        <v>1767</v>
      </c>
      <c r="H604" s="2" t="s">
        <v>258</v>
      </c>
      <c r="I604" s="2" t="str">
        <f>IFERROR(__xludf.DUMMYFUNCTION("GOOGLETRANSLATE(C604,""fr"",""en"")"),"Without my making no accidents they increase prices.
Therefore I am not at all happy with Eurofil, I even intend to terminate all my contracts at home.")</f>
        <v>Without my making no accidents they increase prices.
Therefore I am not at all happy with Eurofil, I even intend to terminate all my contracts at home.</v>
      </c>
    </row>
    <row r="605" ht="15.75" customHeight="1">
      <c r="B605" s="2" t="s">
        <v>1768</v>
      </c>
      <c r="C605" s="2" t="s">
        <v>1769</v>
      </c>
      <c r="D605" s="2" t="s">
        <v>1559</v>
      </c>
      <c r="E605" s="2" t="s">
        <v>14</v>
      </c>
      <c r="F605" s="2" t="s">
        <v>15</v>
      </c>
      <c r="G605" s="2" t="s">
        <v>1770</v>
      </c>
      <c r="H605" s="2" t="s">
        <v>258</v>
      </c>
      <c r="I605" s="2" t="str">
        <f>IFERROR(__xludf.DUMMYFUNCTION("GOOGLETRANSLATE(C605,""fr"",""en"")"),"This insurance does not defend yourself as soon as there is a dispute and applies the penalty even if you are right. Exponential increase in Ass d ann ee in the year. Vite to change ... Zero ............ I do not advise this insurance. Ditto GMF and Direc"&amp;"t Ass Null .......................
")</f>
        <v>This insurance does not defend yourself as soon as there is a dispute and applies the penalty even if you are right. Exponential increase in Ass d ann ee in the year. Vite to change ... Zero ............ I do not advise this insurance. Ditto GMF and Direct Ass Null .......................
</v>
      </c>
    </row>
    <row r="606" ht="15.75" customHeight="1">
      <c r="B606" s="2" t="s">
        <v>1771</v>
      </c>
      <c r="C606" s="2" t="s">
        <v>1772</v>
      </c>
      <c r="D606" s="2" t="s">
        <v>1559</v>
      </c>
      <c r="E606" s="2" t="s">
        <v>14</v>
      </c>
      <c r="F606" s="2" t="s">
        <v>15</v>
      </c>
      <c r="G606" s="2" t="s">
        <v>1770</v>
      </c>
      <c r="H606" s="2" t="s">
        <v>258</v>
      </c>
      <c r="I606" s="2" t="str">
        <f>IFERROR(__xludf.DUMMYFUNCTION("GOOGLETRANSLATE(C606,""fr"",""en"")"),"Flery off at 280 km, we forget to call the taxi and the charter was too far he does not pay the difference")</f>
        <v>Flery off at 280 km, we forget to call the taxi and the charter was too far he does not pay the difference</v>
      </c>
    </row>
    <row r="607" ht="15.75" customHeight="1">
      <c r="B607" s="2" t="s">
        <v>1773</v>
      </c>
      <c r="C607" s="2" t="s">
        <v>1774</v>
      </c>
      <c r="D607" s="2" t="s">
        <v>1559</v>
      </c>
      <c r="E607" s="2" t="s">
        <v>14</v>
      </c>
      <c r="F607" s="2" t="s">
        <v>15</v>
      </c>
      <c r="G607" s="2" t="s">
        <v>257</v>
      </c>
      <c r="H607" s="2" t="s">
        <v>258</v>
      </c>
      <c r="I607" s="2" t="str">
        <f>IFERROR(__xludf.DUMMYFUNCTION("GOOGLETRANSLATE(C607,""fr"",""en"")"),"Following a major degat on my caravan, so I warned by phone my Eurofil insurer.
No deproblem we open a file. This was the only approach I made. So a proposal for the passage of the expert, repairs (6,200 euros) and recovery of my caravan after a check of"&amp;" 150 euros in franchise. I am Extremely Satsfait of taking care of my claim and I strongly recommend taking out your insurance at Eurofil. Pas de Blablas only compliance with the contract and simplicity in the approach during a problem.
Declaration made "&amp;"in September 2017. AUTHOVED VEHICLE insured LAGUNA 8CHV Formula all risks without a franchise accident
")</f>
        <v>Following a major degat on my caravan, so I warned by phone my Eurofil insurer.
No deproblem we open a file. This was the only approach I made. So a proposal for the passage of the expert, repairs (6,200 euros) and recovery of my caravan after a check of 150 euros in franchise. I am Extremely Satsfait of taking care of my claim and I strongly recommend taking out your insurance at Eurofil. Pas de Blablas only compliance with the contract and simplicity in the approach during a problem.
Declaration made in September 2017. AUTHOVED VEHICLE insured LAGUNA 8CHV Formula all risks without a franchise accident
</v>
      </c>
    </row>
    <row r="608" ht="15.75" customHeight="1">
      <c r="B608" s="2" t="s">
        <v>1775</v>
      </c>
      <c r="C608" s="2" t="s">
        <v>1776</v>
      </c>
      <c r="D608" s="2" t="s">
        <v>1559</v>
      </c>
      <c r="E608" s="2" t="s">
        <v>14</v>
      </c>
      <c r="F608" s="2" t="s">
        <v>15</v>
      </c>
      <c r="G608" s="2" t="s">
        <v>1777</v>
      </c>
      <c r="H608" s="2" t="s">
        <v>262</v>
      </c>
      <c r="I608" s="2" t="str">
        <f>IFERROR(__xludf.DUMMYFUNCTION("GOOGLETRANSLATE(C608,""fr"",""en"")"),"To be urgently fleeing! I am only dispute with them! Refusal to take into account the mail, refusal to take into account the termination request, triple the insurance premium on the ego after, claimed an insurance premium with 2 months advance otherwise i"&amp;"t is resilled, no response not to email , surcharged number, in short, don't flee !!!")</f>
        <v>To be urgently fleeing! I am only dispute with them! Refusal to take into account the mail, refusal to take into account the termination request, triple the insurance premium on the ego after, claimed an insurance premium with 2 months advance otherwise it is resilled, no response not to email , surcharged number, in short, don't flee !!!</v>
      </c>
    </row>
    <row r="609" ht="15.75" customHeight="1">
      <c r="B609" s="2" t="s">
        <v>1778</v>
      </c>
      <c r="C609" s="2" t="s">
        <v>1779</v>
      </c>
      <c r="D609" s="2" t="s">
        <v>1559</v>
      </c>
      <c r="E609" s="2" t="s">
        <v>14</v>
      </c>
      <c r="F609" s="2" t="s">
        <v>15</v>
      </c>
      <c r="G609" s="2" t="s">
        <v>1780</v>
      </c>
      <c r="H609" s="2" t="s">
        <v>262</v>
      </c>
      <c r="I609" s="2" t="str">
        <f>IFERROR(__xludf.DUMMYFUNCTION("GOOGLETRANSLATE(C609,""fr"",""en"")"),"I confirm the previous opinion of the driver in the same situation as mine
Do not lend your vehicle to a young driver under penalty of undergoing an abusive clause, a franchise-penalty of 3000 euros
Clause that no one tells you about when signing the co"&amp;"ntract
My daughter had a hanging in a parking lot with amicable observation and I was asked to pay all the costs (1600 euros). In addition to that Eurofil terminated my contract
The repair took place in June of this year and I paid the mechanic directly"&amp;"
On this I have just received a letter from Eurofil recalling that I owe them 3000 euros.
On the phone, the advisor is unable to explain to me why if not to reread me the clauses of the contract
""Franchise of 3000 euros in the event of a loan ...)
Sh"&amp;"e wants to pass me the manager who is not available
The practices of this insurance are very questionable
I am currently there and expect from their news.
Several of my knowledge flees this insurance
 ")</f>
        <v>I confirm the previous opinion of the driver in the same situation as mine
Do not lend your vehicle to a young driver under penalty of undergoing an abusive clause, a franchise-penalty of 3000 euros
Clause that no one tells you about when signing the contract
My daughter had a hanging in a parking lot with amicable observation and I was asked to pay all the costs (1600 euros). In addition to that Eurofil terminated my contract
The repair took place in June of this year and I paid the mechanic directly
On this I have just received a letter from Eurofil recalling that I owe them 3000 euros.
On the phone, the advisor is unable to explain to me why if not to reread me the clauses of the contract
"Franchise of 3000 euros in the event of a loan ...)
She wants to pass me the manager who is not available
The practices of this insurance are very questionable
I am currently there and expect from their news.
Several of my knowledge flees this insurance
 </v>
      </c>
    </row>
    <row r="610" ht="15.75" customHeight="1">
      <c r="B610" s="2" t="s">
        <v>1781</v>
      </c>
      <c r="C610" s="2" t="s">
        <v>1782</v>
      </c>
      <c r="D610" s="2" t="s">
        <v>1559</v>
      </c>
      <c r="E610" s="2" t="s">
        <v>14</v>
      </c>
      <c r="F610" s="2" t="s">
        <v>15</v>
      </c>
      <c r="G610" s="2" t="s">
        <v>1783</v>
      </c>
      <c r="H610" s="2" t="s">
        <v>262</v>
      </c>
      <c r="I610" s="2" t="str">
        <f>IFERROR(__xludf.DUMMYFUNCTION("GOOGLETRANSLATE(C610,""fr"",""en"")"),"Insurance that is defosed when taking care of a disaster. She relies on the conclusions of an incompetent expert. Disastrous customer and commercial service. To flee!")</f>
        <v>Insurance that is defosed when taking care of a disaster. She relies on the conclusions of an incompetent expert. Disastrous customer and commercial service. To flee!</v>
      </c>
    </row>
    <row r="611" ht="15.75" customHeight="1">
      <c r="B611" s="2" t="s">
        <v>1784</v>
      </c>
      <c r="C611" s="2" t="s">
        <v>1785</v>
      </c>
      <c r="D611" s="2" t="s">
        <v>1559</v>
      </c>
      <c r="E611" s="2" t="s">
        <v>14</v>
      </c>
      <c r="F611" s="2" t="s">
        <v>15</v>
      </c>
      <c r="G611" s="2" t="s">
        <v>1786</v>
      </c>
      <c r="H611" s="2" t="s">
        <v>272</v>
      </c>
      <c r="I611" s="2" t="str">
        <f>IFERROR(__xludf.DUMMYFUNCTION("GOOGLETRANSLATE(C611,""fr"",""en"")"),"Run away!!! No empathy for customers. Continuation of job loss I changed banks and the levy of my car insurance has not passed.
I was contacted and informed of my situation, the service did not want to know anything. They want me to pay the entire year t"&amp;"hat is 600th. I lost my job 1 rent a child I do not refuse to pay the 200th lais 600 at a time given my situation.
I will have jaise to subscribe")</f>
        <v>Run away!!! No empathy for customers. Continuation of job loss I changed banks and the levy of my car insurance has not passed.
I was contacted and informed of my situation, the service did not want to know anything. They want me to pay the entire year that is 600th. I lost my job 1 rent a child I do not refuse to pay the 200th lais 600 at a time given my situation.
I will have jaise to subscribe</v>
      </c>
    </row>
    <row r="612" ht="15.75" customHeight="1">
      <c r="B612" s="2" t="s">
        <v>1787</v>
      </c>
      <c r="C612" s="2" t="s">
        <v>1788</v>
      </c>
      <c r="D612" s="2" t="s">
        <v>1559</v>
      </c>
      <c r="E612" s="2" t="s">
        <v>14</v>
      </c>
      <c r="F612" s="2" t="s">
        <v>15</v>
      </c>
      <c r="G612" s="2" t="s">
        <v>1789</v>
      </c>
      <c r="H612" s="2" t="s">
        <v>276</v>
      </c>
      <c r="I612" s="2" t="str">
        <f>IFERROR(__xludf.DUMMYFUNCTION("GOOGLETRANSLATE(C612,""fr"",""en"")"),"A shame !!! 3 claims in parking so not responsible in two years and we throw you like a malpropre, even if you contribute to the all -risk option! Letter in termination without reason: ""a recent examination of your file [...] does not allow its renewal"""&amp;".
Insurance that is not one: nothing should be declared even if you are not wrong and pay the repairs for yourself. Or you expose yourself to seeing the price of your triple insurance premium with one of their ""partner"" and with other insurers !!")</f>
        <v>A shame !!! 3 claims in parking so not responsible in two years and we throw you like a malpropre, even if you contribute to the all -risk option! Letter in termination without reason: "a recent examination of your file [...] does not allow its renewal".
Insurance that is not one: nothing should be declared even if you are not wrong and pay the repairs for yourself. Or you expose yourself to seeing the price of your triple insurance premium with one of their "partner" and with other insurers !!</v>
      </c>
    </row>
    <row r="613" ht="15.75" customHeight="1">
      <c r="B613" s="2" t="s">
        <v>1790</v>
      </c>
      <c r="C613" s="2" t="s">
        <v>1791</v>
      </c>
      <c r="D613" s="2" t="s">
        <v>1559</v>
      </c>
      <c r="E613" s="2" t="s">
        <v>14</v>
      </c>
      <c r="F613" s="2" t="s">
        <v>15</v>
      </c>
      <c r="G613" s="2" t="s">
        <v>1792</v>
      </c>
      <c r="H613" s="2" t="s">
        <v>276</v>
      </c>
      <c r="I613" s="2" t="str">
        <f>IFERROR(__xludf.DUMMYFUNCTION("GOOGLETRANSLATE(C613,""fr"",""en"")"),"Ensures 1 year and then an accident and: increased risk therefore termination. Inexpensive insurance if you do not have brsoin. You come out at the slightest expenditure")</f>
        <v>Ensures 1 year and then an accident and: increased risk therefore termination. Inexpensive insurance if you do not have brsoin. You come out at the slightest expenditure</v>
      </c>
    </row>
    <row r="614" ht="15.75" customHeight="1">
      <c r="B614" s="2" t="s">
        <v>1793</v>
      </c>
      <c r="C614" s="2" t="s">
        <v>1794</v>
      </c>
      <c r="D614" s="2" t="s">
        <v>1559</v>
      </c>
      <c r="E614" s="2" t="s">
        <v>14</v>
      </c>
      <c r="F614" s="2" t="s">
        <v>15</v>
      </c>
      <c r="G614" s="2" t="s">
        <v>1005</v>
      </c>
      <c r="H614" s="2" t="s">
        <v>276</v>
      </c>
      <c r="I614" s="2" t="str">
        <f>IFERROR(__xludf.DUMMYFUNCTION("GOOGLETRANSLATE(C614,""fr"",""en"")"),"I have the end of my claim and I have been to have been my accident contract since 05/16 and always not repair my vehicle ontou I am not at fault. To run away from you the advice not regal.")</f>
        <v>I have the end of my claim and I have been to have been my accident contract since 05/16 and always not repair my vehicle ontou I am not at fault. To run away from you the advice not regal.</v>
      </c>
    </row>
    <row r="615" ht="15.75" customHeight="1">
      <c r="B615" s="2" t="s">
        <v>1795</v>
      </c>
      <c r="C615" s="2" t="s">
        <v>1796</v>
      </c>
      <c r="D615" s="2" t="s">
        <v>1559</v>
      </c>
      <c r="E615" s="2" t="s">
        <v>14</v>
      </c>
      <c r="F615" s="2" t="s">
        <v>15</v>
      </c>
      <c r="G615" s="2" t="s">
        <v>1797</v>
      </c>
      <c r="H615" s="2" t="s">
        <v>1009</v>
      </c>
      <c r="I615" s="2" t="str">
        <f>IFERROR(__xludf.DUMMYFUNCTION("GOOGLETRANSLATE(C615,""fr"",""en"")"),"I got screwed ! I had subscribed to two car contracts for two drivers. At first we took into account the highest bonus. It was enough that I terminate the second contract, they recalculated pricing for the driver who has the least bonus. When I wanted to "&amp;"reverse the drivers, the advisor with whom I subscribed to the contract completely discharged, she turned me to customer service who sent me back to her! Everyone withdrew from the case. I was asked to submit a complaint. Impulsive advisers and not at all"&amp;" professionals !!")</f>
        <v>I got screwed ! I had subscribed to two car contracts for two drivers. At first we took into account the highest bonus. It was enough that I terminate the second contract, they recalculated pricing for the driver who has the least bonus. When I wanted to reverse the drivers, the advisor with whom I subscribed to the contract completely discharged, she turned me to customer service who sent me back to her! Everyone withdrew from the case. I was asked to submit a complaint. Impulsive advisers and not at all professionals !!</v>
      </c>
    </row>
    <row r="616" ht="15.75" customHeight="1">
      <c r="B616" s="2" t="s">
        <v>1798</v>
      </c>
      <c r="C616" s="2" t="s">
        <v>1799</v>
      </c>
      <c r="D616" s="2" t="s">
        <v>1559</v>
      </c>
      <c r="E616" s="2" t="s">
        <v>14</v>
      </c>
      <c r="F616" s="2" t="s">
        <v>15</v>
      </c>
      <c r="G616" s="2" t="s">
        <v>1800</v>
      </c>
      <c r="H616" s="2" t="s">
        <v>1009</v>
      </c>
      <c r="I616" s="2" t="str">
        <f>IFERROR(__xludf.DUMMYFUNCTION("GOOGLETRANSLATE(C616,""fr"",""en"")"),"I had an accident with injured. Assistance, rapping, problem solving, listening to customer service, the expert etc ... Everything was hell, I would never go back to it !!!")</f>
        <v>I had an accident with injured. Assistance, rapping, problem solving, listening to customer service, the expert etc ... Everything was hell, I would never go back to it !!!</v>
      </c>
    </row>
    <row r="617" ht="15.75" customHeight="1">
      <c r="B617" s="2" t="s">
        <v>1801</v>
      </c>
      <c r="C617" s="2" t="s">
        <v>1802</v>
      </c>
      <c r="D617" s="2" t="s">
        <v>1559</v>
      </c>
      <c r="E617" s="2" t="s">
        <v>14</v>
      </c>
      <c r="F617" s="2" t="s">
        <v>15</v>
      </c>
      <c r="G617" s="2" t="s">
        <v>1803</v>
      </c>
      <c r="H617" s="2" t="s">
        <v>559</v>
      </c>
      <c r="I617" s="2" t="str">
        <f>IFERROR(__xludf.DUMMYFUNCTION("GOOGLETRANSLATE(C617,""fr"",""en"")"),"Insurance that I recommend to anyone. On a word of the phone on the phone the conversation is recorded and they come out your contract in a jiffy, never had an accident in twists! Bonus at the highest! For a non -responsible disaster the cross and the ban"&amp;"ner for the mechanic who reappears! Auto C on competing rate but c all! On the phone they take themselves for cadors because they record, a shame, in these cases they have everything good !!!!!! then reflech twice before taking this insurance !!!!!")</f>
        <v>Insurance that I recommend to anyone. On a word of the phone on the phone the conversation is recorded and they come out your contract in a jiffy, never had an accident in twists! Bonus at the highest! For a non -responsible disaster the cross and the banner for the mechanic who reappears! Auto C on competing rate but c all! On the phone they take themselves for cadors because they record, a shame, in these cases they have everything good !!!!!! then reflech twice before taking this insurance !!!!!</v>
      </c>
    </row>
    <row r="618" ht="15.75" customHeight="1">
      <c r="B618" s="2" t="s">
        <v>1804</v>
      </c>
      <c r="C618" s="2" t="s">
        <v>1805</v>
      </c>
      <c r="D618" s="2" t="s">
        <v>1559</v>
      </c>
      <c r="E618" s="2" t="s">
        <v>14</v>
      </c>
      <c r="F618" s="2" t="s">
        <v>15</v>
      </c>
      <c r="G618" s="2" t="s">
        <v>1806</v>
      </c>
      <c r="H618" s="2" t="s">
        <v>559</v>
      </c>
      <c r="I618" s="2" t="str">
        <f>IFERROR(__xludf.DUMMYFUNCTION("GOOGLETRANSLATE(C618,""fr"",""en"")"),"They play on words to be able to steal people better is lamentable ... They do not give you the right information to be able to terminate your contract and keep the response. On the phone the service is pitiful and the various services contradict each oth"&amp;"er while waiting for the time ""imparted"" passes and more insurance on the other hand ""the response is lost"" yes but not for everyone ...")</f>
        <v>They play on words to be able to steal people better is lamentable ... They do not give you the right information to be able to terminate your contract and keep the response. On the phone the service is pitiful and the various services contradict each other while waiting for the time "imparted" passes and more insurance on the other hand "the response is lost" yes but not for everyone ...</v>
      </c>
    </row>
    <row r="619" ht="15.75" customHeight="1">
      <c r="B619" s="2" t="s">
        <v>1807</v>
      </c>
      <c r="C619" s="2" t="s">
        <v>1808</v>
      </c>
      <c r="D619" s="2" t="s">
        <v>1559</v>
      </c>
      <c r="E619" s="2" t="s">
        <v>14</v>
      </c>
      <c r="F619" s="2" t="s">
        <v>15</v>
      </c>
      <c r="G619" s="2" t="s">
        <v>1809</v>
      </c>
      <c r="H619" s="2" t="s">
        <v>559</v>
      </c>
      <c r="I619" s="2" t="str">
        <f>IFERROR(__xludf.DUMMYFUNCTION("GOOGLETRANSLATE(C619,""fr"",""en"")"),"Terminated by insurance after two non -responsible accidents, it is shameful")</f>
        <v>Terminated by insurance after two non -responsible accidents, it is shameful</v>
      </c>
    </row>
    <row r="620" ht="15.75" customHeight="1">
      <c r="B620" s="2" t="s">
        <v>1810</v>
      </c>
      <c r="C620" s="2" t="s">
        <v>1811</v>
      </c>
      <c r="D620" s="2" t="s">
        <v>1559</v>
      </c>
      <c r="E620" s="2" t="s">
        <v>14</v>
      </c>
      <c r="F620" s="2" t="s">
        <v>15</v>
      </c>
      <c r="G620" s="2" t="s">
        <v>1812</v>
      </c>
      <c r="H620" s="2" t="s">
        <v>559</v>
      </c>
      <c r="I620" s="2" t="str">
        <f>IFERROR(__xludf.DUMMYFUNCTION("GOOGLETRANSLATE(C620,""fr"",""en"")"),"I would not want to make a judgment neither subjective nor hateful, a real case, this insurance, in this case covers me in what?
Case study :
Do not have an accident in a ""large area"" parking lot (if traveling people degrade your car). Refund to your "&amp;"real.
Above all, do not get out of your department (however it only ""towed to be towed from 27 or 50 km depending on department).
Unhappy, if you have an accident outside of France; Catastrophe, your vehicle, neither repatriated, repaired, nor took cha"&amp;"rge…. Hello …. Hello…. Silence…
However, on the date of the sample, ""Eurofil is the"" ... Weird to take very prompt and reactive present?
")</f>
        <v>I would not want to make a judgment neither subjective nor hateful, a real case, this insurance, in this case covers me in what?
Case study :
Do not have an accident in a "large area" parking lot (if traveling people degrade your car). Refund to your real.
Above all, do not get out of your department (however it only "towed to be towed from 27 or 50 km depending on department).
Unhappy, if you have an accident outside of France; Catastrophe, your vehicle, neither repatriated, repaired, nor took charge…. Hello …. Hello…. Silence…
However, on the date of the sample, "Eurofil is the" ... Weird to take very prompt and reactive present?
</v>
      </c>
    </row>
    <row r="621" ht="15.75" customHeight="1">
      <c r="B621" s="2" t="s">
        <v>1813</v>
      </c>
      <c r="C621" s="2" t="s">
        <v>1814</v>
      </c>
      <c r="D621" s="2" t="s">
        <v>1559</v>
      </c>
      <c r="E621" s="2" t="s">
        <v>14</v>
      </c>
      <c r="F621" s="2" t="s">
        <v>15</v>
      </c>
      <c r="G621" s="2" t="s">
        <v>1815</v>
      </c>
      <c r="H621" s="2" t="s">
        <v>559</v>
      </c>
      <c r="I621" s="2" t="str">
        <f>IFERROR(__xludf.DUMMYFUNCTION("GOOGLETRANSLATE(C621,""fr"",""en"")"),"Aggressive staff on the phone The various services contradict each other. They terminate insurance contracts by falsifying the sending dates! The postman took three weeks to present me a recommended! Termination made after more than 15 years of insurance "&amp;"without any declared claims!")</f>
        <v>Aggressive staff on the phone The various services contradict each other. They terminate insurance contracts by falsifying the sending dates! The postman took three weeks to present me a recommended! Termination made after more than 15 years of insurance without any declared claims!</v>
      </c>
    </row>
    <row r="622" ht="15.75" customHeight="1">
      <c r="B622" s="2" t="s">
        <v>1816</v>
      </c>
      <c r="C622" s="2" t="s">
        <v>1817</v>
      </c>
      <c r="D622" s="2" t="s">
        <v>1559</v>
      </c>
      <c r="E622" s="2" t="s">
        <v>14</v>
      </c>
      <c r="F622" s="2" t="s">
        <v>15</v>
      </c>
      <c r="G622" s="2" t="s">
        <v>564</v>
      </c>
      <c r="H622" s="2" t="s">
        <v>565</v>
      </c>
      <c r="I622" s="2" t="str">
        <f>IFERROR(__xludf.DUMMYFUNCTION("GOOGLETRANSLATE(C622,""fr"",""en"")"),"I have been a customer for my car and house insurance for several years with a 0.5 bonus for my car and I have just received a registered letter of termination for ""increased risk"". I had 3 claims since the start of my contract, including 2 not responsi"&amp;"ble and I find myself having to find insurance for insured persons terminated (and therefore much more expensive) while the last 2 claims are not my fact (e.g. The last one is a break of ice following a stone received on the road). This insurance did not "&amp;"hesitate to terminate me but it is not seen a problem to increase my insurance contributions each year: my bonus has taken 80% in 5 years ...")</f>
        <v>I have been a customer for my car and house insurance for several years with a 0.5 bonus for my car and I have just received a registered letter of termination for "increased risk". I had 3 claims since the start of my contract, including 2 not responsible and I find myself having to find insurance for insured persons terminated (and therefore much more expensive) while the last 2 claims are not my fact (e.g. The last one is a break of ice following a stone received on the road). This insurance did not hesitate to terminate me but it is not seen a problem to increase my insurance contributions each year: my bonus has taken 80% in 5 years ...</v>
      </c>
    </row>
    <row r="623" ht="15.75" customHeight="1">
      <c r="B623" s="2" t="s">
        <v>1818</v>
      </c>
      <c r="C623" s="2" t="s">
        <v>1819</v>
      </c>
      <c r="D623" s="2" t="s">
        <v>1559</v>
      </c>
      <c r="E623" s="2" t="s">
        <v>14</v>
      </c>
      <c r="F623" s="2" t="s">
        <v>15</v>
      </c>
      <c r="G623" s="2" t="s">
        <v>1820</v>
      </c>
      <c r="H623" s="2" t="s">
        <v>565</v>
      </c>
      <c r="I623" s="2" t="str">
        <f>IFERROR(__xludf.DUMMYFUNCTION("GOOGLETRANSLATE(C623,""fr"",""en"")"),"I have been assured at Eurofil for over 8 years for two vehicles. My daughter is in supervised driving and when I wanted to know the costs of her insurance after her license I was told that they did not assume young drivers. Consequence I am looking for a"&amp;" new company for my cars")</f>
        <v>I have been assured at Eurofil for over 8 years for two vehicles. My daughter is in supervised driving and when I wanted to know the costs of her insurance after her license I was told that they did not assume young drivers. Consequence I am looking for a new company for my cars</v>
      </c>
    </row>
    <row r="624" ht="15.75" customHeight="1">
      <c r="B624" s="2" t="s">
        <v>1821</v>
      </c>
      <c r="C624" s="2" t="s">
        <v>1822</v>
      </c>
      <c r="D624" s="2" t="s">
        <v>1559</v>
      </c>
      <c r="E624" s="2" t="s">
        <v>14</v>
      </c>
      <c r="F624" s="2" t="s">
        <v>15</v>
      </c>
      <c r="G624" s="2" t="s">
        <v>1823</v>
      </c>
      <c r="H624" s="2" t="s">
        <v>577</v>
      </c>
      <c r="I624" s="2" t="str">
        <f>IFERROR(__xludf.DUMMYFUNCTION("GOOGLETRANSLATE(C624,""fr"",""en"")"),"This insurance terminated my contract because I could not provide the gray card that I have not yet received because of a late request from my seller to the ANTS. Company to avoid absolutely.")</f>
        <v>This insurance terminated my contract because I could not provide the gray card that I have not yet received because of a late request from my seller to the ANTS. Company to avoid absolutely.</v>
      </c>
    </row>
    <row r="625" ht="15.75" customHeight="1">
      <c r="B625" s="2" t="s">
        <v>1824</v>
      </c>
      <c r="C625" s="2" t="s">
        <v>1825</v>
      </c>
      <c r="D625" s="2" t="s">
        <v>1559</v>
      </c>
      <c r="E625" s="2" t="s">
        <v>14</v>
      </c>
      <c r="F625" s="2" t="s">
        <v>15</v>
      </c>
      <c r="G625" s="2" t="s">
        <v>1826</v>
      </c>
      <c r="H625" s="2" t="s">
        <v>286</v>
      </c>
      <c r="I625" s="2" t="str">
        <f>IFERROR(__xludf.DUMMYFUNCTION("GOOGLETRANSLATE(C625,""fr"",""en"")"),"My wife and I have been insured for 2 years at Eurofil for our 2 cars, with a reduction coefficient of 0.50 for more than 3 years. To our big Eurofil surprise has just canceled our 2 contracts without, despite our request, give us the reason for this term"&amp;"ination. I specify that we declared in 2017 a minor equipment claim (rear view mirror) with partial responsibility, on one of our 2 contracts and no claim on the 2nd contract.")</f>
        <v>My wife and I have been insured for 2 years at Eurofil for our 2 cars, with a reduction coefficient of 0.50 for more than 3 years. To our big Eurofil surprise has just canceled our 2 contracts without, despite our request, give us the reason for this termination. I specify that we declared in 2017 a minor equipment claim (rear view mirror) with partial responsibility, on one of our 2 contracts and no claim on the 2nd contract.</v>
      </c>
    </row>
    <row r="626" ht="15.75" customHeight="1">
      <c r="B626" s="2" t="s">
        <v>1827</v>
      </c>
      <c r="C626" s="2" t="s">
        <v>1828</v>
      </c>
      <c r="D626" s="2" t="s">
        <v>1559</v>
      </c>
      <c r="E626" s="2" t="s">
        <v>14</v>
      </c>
      <c r="F626" s="2" t="s">
        <v>15</v>
      </c>
      <c r="G626" s="2" t="s">
        <v>1829</v>
      </c>
      <c r="H626" s="2" t="s">
        <v>286</v>
      </c>
      <c r="I626" s="2" t="str">
        <f>IFERROR(__xludf.DUMMYFUNCTION("GOOGLETRANSLATE(C626,""fr"",""en"")"),"A SHAME !!
I assure myself at home, they ask me for papers one by one once I send them (it has taken time since each time they ask me something new, not to ask me all at once), they Resilient my insurance for lack of time when it is they who did not deal"&amp;" with the papers awaits.
And to top it all they can no longer make sure since, I quote, ""once to terminate is to terminate""
I completely recommend this insurance! I have never seen that")</f>
        <v>A SHAME !!
I assure myself at home, they ask me for papers one by one once I send them (it has taken time since each time they ask me something new, not to ask me all at once), they Resilient my insurance for lack of time when it is they who did not deal with the papers awaits.
And to top it all they can no longer make sure since, I quote, "once to terminate is to terminate"
I completely recommend this insurance! I have never seen that</v>
      </c>
    </row>
    <row r="627" ht="15.75" customHeight="1">
      <c r="B627" s="2" t="s">
        <v>1830</v>
      </c>
      <c r="C627" s="2" t="s">
        <v>1831</v>
      </c>
      <c r="D627" s="2" t="s">
        <v>1559</v>
      </c>
      <c r="E627" s="2" t="s">
        <v>14</v>
      </c>
      <c r="F627" s="2" t="s">
        <v>15</v>
      </c>
      <c r="G627" s="2" t="s">
        <v>1832</v>
      </c>
      <c r="H627" s="2" t="s">
        <v>286</v>
      </c>
      <c r="I627" s="2" t="str">
        <f>IFERROR(__xludf.DUMMYFUNCTION("GOOGLETRANSLATE(C627,""fr"",""en"")"),"I thought you were responsible and human insurance but I am starting to realize that in fact I am wrong, after years spent in your home without any concern, no delay in payment, I just received my new schedule and I take more From 200th for 1 very small d"&amp;"isaster unfortunately almost independent of my will, certainly I am recognized as an answer but the situation means that the first car has faulted and it was me who took, and yet it was only small damage to materials !! , a few months ago I called one of "&amp;"your advisers who assured me that the subscription will not be very high and that I had to take home insurance at home to rest the price and that will lean in the balance during The notice of new deadline !!!! Quenini he does not have anything I call a la"&amp;"dy telling me that this is not possible at all !!! Bizard The speech has changed in a few months
I am totally disappointed with your promises not held and yet I enjoyed being at home and I will surely go to see the assignment knowing that I have already "&amp;"received offers at EGAL or near option for almost 300th less expensive
Ah yes I forget I was also criticized for a break of ice completely independent of my will (I bought the vehicle like that) I have the option broke of ice with the franchise at 0 and "&amp;"I am told that I must pay more because I called on your service for that !!! And yet I pay for that every month why increased because of this too ??? So I pay double I start to feel like a pigeon !!")</f>
        <v>I thought you were responsible and human insurance but I am starting to realize that in fact I am wrong, after years spent in your home without any concern, no delay in payment, I just received my new schedule and I take more From 200th for 1 very small disaster unfortunately almost independent of my will, certainly I am recognized as an answer but the situation means that the first car has faulted and it was me who took, and yet it was only small damage to materials !! , a few months ago I called one of your advisers who assured me that the subscription will not be very high and that I had to take home insurance at home to rest the price and that will lean in the balance during The notice of new deadline !!!! Quenini he does not have anything I call a lady telling me that this is not possible at all !!! Bizard The speech has changed in a few months
I am totally disappointed with your promises not held and yet I enjoyed being at home and I will surely go to see the assignment knowing that I have already received offers at EGAL or near option for almost 300th less expensive
Ah yes I forget I was also criticized for a break of ice completely independent of my will (I bought the vehicle like that) I have the option broke of ice with the franchise at 0 and I am told that I must pay more because I called on your service for that !!! And yet I pay for that every month why increased because of this too ??? So I pay double I start to feel like a pigeon !!</v>
      </c>
    </row>
    <row r="628" ht="15.75" customHeight="1">
      <c r="B628" s="2" t="s">
        <v>1833</v>
      </c>
      <c r="C628" s="2" t="s">
        <v>1834</v>
      </c>
      <c r="D628" s="2" t="s">
        <v>1559</v>
      </c>
      <c r="E628" s="2" t="s">
        <v>14</v>
      </c>
      <c r="F628" s="2" t="s">
        <v>15</v>
      </c>
      <c r="G628" s="2" t="s">
        <v>289</v>
      </c>
      <c r="H628" s="2" t="s">
        <v>286</v>
      </c>
      <c r="I628" s="2" t="str">
        <f>IFERROR(__xludf.DUMMYFUNCTION("GOOGLETRANSLATE(C628,""fr"",""en"")"),"Request for a quote for a vehicle that I intend to serve myself as a resident of my main vehicle which is assured Allieur so he makes me the quote and Mz says that during the 3 first me I will have a penalty of 3000 Euro in addition to my franchise in Cas"&amp;"e of sinister lol because it is a vehicle that is brought to me in an outbuilder on the panel that I will repair and which is currently not ensured HA also at home if you prepare your vehicle ensure that the person has more than 5 years of license if not "&amp;"you have it in the .. and yes it is not 3 years the probationary permit with them lol fine I is not that advice change quickly insurance !!
Sorry for the hortographer.")</f>
        <v>Request for a quote for a vehicle that I intend to serve myself as a resident of my main vehicle which is assured Allieur so he makes me the quote and Mz says that during the 3 first me I will have a penalty of 3000 Euro in addition to my franchise in Case of sinister lol because it is a vehicle that is brought to me in an outbuilder on the panel that I will repair and which is currently not ensured HA also at home if you prepare your vehicle ensure that the person has more than 5 years of license if not you have it in the .. and yes it is not 3 years the probationary permit with them lol fine I is not that advice change quickly insurance !!
Sorry for the hortographer.</v>
      </c>
    </row>
    <row r="629" ht="15.75" customHeight="1">
      <c r="B629" s="2" t="s">
        <v>1835</v>
      </c>
      <c r="C629" s="2" t="s">
        <v>1836</v>
      </c>
      <c r="D629" s="2" t="s">
        <v>1559</v>
      </c>
      <c r="E629" s="2" t="s">
        <v>14</v>
      </c>
      <c r="F629" s="2" t="s">
        <v>15</v>
      </c>
      <c r="G629" s="2" t="s">
        <v>1837</v>
      </c>
      <c r="H629" s="2" t="s">
        <v>286</v>
      </c>
      <c r="I629" s="2" t="str">
        <f>IFERROR(__xludf.DUMMYFUNCTION("GOOGLETRANSLATE(C629,""fr"",""en"")"),"I just had a top assistance at the top and quick assistance of people to your listening really very containing Eurofil I advise this insurance to envy with classic insurance in addition I have an insurance all maximum risk so loan of car pouf 21J")</f>
        <v>I just had a top assistance at the top and quick assistance of people to your listening really very containing Eurofil I advise this insurance to envy with classic insurance in addition I have an insurance all maximum risk so loan of car pouf 21J</v>
      </c>
    </row>
    <row r="630" ht="15.75" customHeight="1">
      <c r="B630" s="2" t="s">
        <v>1838</v>
      </c>
      <c r="C630" s="2" t="s">
        <v>1839</v>
      </c>
      <c r="D630" s="2" t="s">
        <v>1559</v>
      </c>
      <c r="E630" s="2" t="s">
        <v>14</v>
      </c>
      <c r="F630" s="2" t="s">
        <v>15</v>
      </c>
      <c r="G630" s="2" t="s">
        <v>1081</v>
      </c>
      <c r="H630" s="2" t="s">
        <v>587</v>
      </c>
      <c r="I630" s="2" t="str">
        <f>IFERROR(__xludf.DUMMYFUNCTION("GOOGLETRANSLATE(C630,""fr"",""en"")"),"Very satisfied
Listening advisers, competent
Well informed and assisted along the compensation procedure following the claim that I declared the month of November 2017 (car accident)
Quickly compensated in accordance with the contract clauses despite t"&amp;"he fact that the reimbursed amount is high (almost new accident vehicle).
  ")</f>
        <v>Very satisfied
Listening advisers, competent
Well informed and assisted along the compensation procedure following the claim that I declared the month of November 2017 (car accident)
Quickly compensated in accordance with the contract clauses despite the fact that the reimbursed amount is high (almost new accident vehicle).
  </v>
      </c>
    </row>
    <row r="631" ht="15.75" customHeight="1">
      <c r="B631" s="2" t="s">
        <v>1840</v>
      </c>
      <c r="C631" s="2" t="s">
        <v>1841</v>
      </c>
      <c r="D631" s="2" t="s">
        <v>1559</v>
      </c>
      <c r="E631" s="2" t="s">
        <v>14</v>
      </c>
      <c r="F631" s="2" t="s">
        <v>15</v>
      </c>
      <c r="G631" s="2" t="s">
        <v>593</v>
      </c>
      <c r="H631" s="2" t="s">
        <v>293</v>
      </c>
      <c r="I631" s="2" t="str">
        <f>IFERROR(__xludf.DUMMYFUNCTION("GOOGLETRANSLATE(C631,""fr"",""en"")"),"Almost all advisers are aggressive at the time of information, so imagine when you have a problem !!!
How in my case I had a small accident and despite maximum risk insurance they made me pay part of the repair work. I saw 2 lawyers both inanimate is ina"&amp;"dmissible. I am being procedure with them. Case to follow.
")</f>
        <v>Almost all advisers are aggressive at the time of information, so imagine when you have a problem !!!
How in my case I had a small accident and despite maximum risk insurance they made me pay part of the repair work. I saw 2 lawyers both inanimate is inadmissible. I am being procedure with them. Case to follow.
</v>
      </c>
    </row>
    <row r="632" ht="15.75" customHeight="1">
      <c r="B632" s="2" t="s">
        <v>1842</v>
      </c>
      <c r="C632" s="2" t="s">
        <v>1843</v>
      </c>
      <c r="D632" s="2" t="s">
        <v>1559</v>
      </c>
      <c r="E632" s="2" t="s">
        <v>14</v>
      </c>
      <c r="F632" s="2" t="s">
        <v>15</v>
      </c>
      <c r="G632" s="2" t="s">
        <v>593</v>
      </c>
      <c r="H632" s="2" t="s">
        <v>293</v>
      </c>
      <c r="I632" s="2" t="str">
        <f>IFERROR(__xludf.DUMMYFUNCTION("GOOGLETRANSLATE(C632,""fr"",""en"")"),"hello everyone after having long hesitated and having read all your comments I conclude that Eurofil is a very good insurance if we have zero sinister until the end of our day !!!!! I think so stay on my initial insurance which Certainly cost me 35 euros "&amp;"more per month than this online insurance but at least I have an office in my city for the view and especially in the event of concern it will find me a solution because with 2 cars and 2 houses insured at home I do not do not think to be fired in the fir"&amp;"st pepin")</f>
        <v>hello everyone after having long hesitated and having read all your comments I conclude that Eurofil is a very good insurance if we have zero sinister until the end of our day !!!!! I think so stay on my initial insurance which Certainly cost me 35 euros more per month than this online insurance but at least I have an office in my city for the view and especially in the event of concern it will find me a solution because with 2 cars and 2 houses insured at home I do not do not think to be fired in the first pepin</v>
      </c>
    </row>
    <row r="633" ht="15.75" customHeight="1">
      <c r="B633" s="2" t="s">
        <v>1844</v>
      </c>
      <c r="C633" s="2" t="s">
        <v>1845</v>
      </c>
      <c r="D633" s="2" t="s">
        <v>1559</v>
      </c>
      <c r="E633" s="2" t="s">
        <v>14</v>
      </c>
      <c r="F633" s="2" t="s">
        <v>15</v>
      </c>
      <c r="G633" s="2" t="s">
        <v>1846</v>
      </c>
      <c r="H633" s="2" t="s">
        <v>293</v>
      </c>
      <c r="I633" s="2" t="str">
        <f>IFERROR(__xludf.DUMMYFUNCTION("GOOGLETRANSLATE(C633,""fr"",""en"")"),"We had me and my spouse contact this insurance for our car. He temporarily assured us until receiving the requested papers.
Last days we are assured they call us to tell us that they cannot assure us.
I am very angry with this insurance. I advise agains"&amp;"t.")</f>
        <v>We had me and my spouse contact this insurance for our car. He temporarily assured us until receiving the requested papers.
Last days we are assured they call us to tell us that they cannot assure us.
I am very angry with this insurance. I advise against.</v>
      </c>
    </row>
    <row r="634" ht="15.75" customHeight="1">
      <c r="B634" s="2" t="s">
        <v>1847</v>
      </c>
      <c r="C634" s="2" t="s">
        <v>1848</v>
      </c>
      <c r="D634" s="2" t="s">
        <v>1559</v>
      </c>
      <c r="E634" s="2" t="s">
        <v>14</v>
      </c>
      <c r="F634" s="2" t="s">
        <v>15</v>
      </c>
      <c r="G634" s="2" t="s">
        <v>1849</v>
      </c>
      <c r="H634" s="2" t="s">
        <v>293</v>
      </c>
      <c r="I634" s="2" t="str">
        <f>IFERROR(__xludf.DUMMYFUNCTION("GOOGLETRANSLATE(C634,""fr"",""en"")"),"Hello,
I just received my new auto contribution: it increased by 8% and no explanation in the mail!
So I call customer service: there either the assistant cannot give me a reason. I remind him that the average increase in companies is 2 to 3 %. ""I can "&amp;"do nothing for you sir"" tells me (hard job). I ask him to raise my misunderstanding, my anger and my wish to terminate.
")</f>
        <v>Hello,
I just received my new auto contribution: it increased by 8% and no explanation in the mail!
So I call customer service: there either the assistant cannot give me a reason. I remind him that the average increase in companies is 2 to 3 %. "I can do nothing for you sir" tells me (hard job). I ask him to raise my misunderstanding, my anger and my wish to terminate.
</v>
      </c>
    </row>
    <row r="635" ht="15.75" customHeight="1">
      <c r="B635" s="2" t="s">
        <v>1850</v>
      </c>
      <c r="C635" s="2" t="s">
        <v>1851</v>
      </c>
      <c r="D635" s="2" t="s">
        <v>1559</v>
      </c>
      <c r="E635" s="2" t="s">
        <v>14</v>
      </c>
      <c r="F635" s="2" t="s">
        <v>15</v>
      </c>
      <c r="G635" s="2" t="s">
        <v>1852</v>
      </c>
      <c r="H635" s="2" t="s">
        <v>293</v>
      </c>
      <c r="I635" s="2" t="str">
        <f>IFERROR(__xludf.DUMMYFUNCTION("GOOGLETRANSLATE(C635,""fr"",""en"")"),"I've been a client for my car and home insurance for 17 years. I move and there I am told that we will not renew my contract and that I have two months before the termination intervenes. An ice cream in 17 years and throw like a malpropre. The height is t"&amp;"hat I can't get a letter saying that I am amicable. Mail that a suspicious future insurer reclaims me to see me arriving as a customer.
In addition, I was attacked on the phone while I just try to get this certificate.
Finally I wonder if I am not the v"&amp;"ictim of discrimination linked to my age.
I will not fail to send you a registered letter in order to obtain this letter.")</f>
        <v>I've been a client for my car and home insurance for 17 years. I move and there I am told that we will not renew my contract and that I have two months before the termination intervenes. An ice cream in 17 years and throw like a malpropre. The height is that I can't get a letter saying that I am amicable. Mail that a suspicious future insurer reclaims me to see me arriving as a customer.
In addition, I was attacked on the phone while I just try to get this certificate.
Finally I wonder if I am not the victim of discrimination linked to my age.
I will not fail to send you a registered letter in order to obtain this letter.</v>
      </c>
    </row>
    <row r="636" ht="15.75" customHeight="1">
      <c r="B636" s="2" t="s">
        <v>1853</v>
      </c>
      <c r="C636" s="2" t="s">
        <v>1854</v>
      </c>
      <c r="D636" s="2" t="s">
        <v>1559</v>
      </c>
      <c r="E636" s="2" t="s">
        <v>14</v>
      </c>
      <c r="F636" s="2" t="s">
        <v>15</v>
      </c>
      <c r="G636" s="2" t="s">
        <v>1855</v>
      </c>
      <c r="H636" s="2" t="s">
        <v>297</v>
      </c>
      <c r="I636" s="2" t="str">
        <f>IFERROR(__xludf.DUMMYFUNCTION("GOOGLETRANSLATE(C636,""fr"",""en"")"),"Eurofil, an insurer who drops his customers")</f>
        <v>Eurofil, an insurer who drops his customers</v>
      </c>
    </row>
    <row r="637" ht="15.75" customHeight="1">
      <c r="B637" s="2" t="s">
        <v>1856</v>
      </c>
      <c r="C637" s="2" t="s">
        <v>1857</v>
      </c>
      <c r="D637" s="2" t="s">
        <v>1559</v>
      </c>
      <c r="E637" s="2" t="s">
        <v>14</v>
      </c>
      <c r="F637" s="2" t="s">
        <v>15</v>
      </c>
      <c r="G637" s="2" t="s">
        <v>605</v>
      </c>
      <c r="H637" s="2" t="s">
        <v>297</v>
      </c>
      <c r="I637" s="2" t="str">
        <f>IFERROR(__xludf.DUMMYFUNCTION("GOOGLETRANSLATE(C637,""fr"",""en"")"),"For two I have been 0.64 of past bonus l.nee last at 0.84 suite surface hung or j.eais wrongly but my vehicle had not had a damage (the person that I hit was in leasing). Then we hung by falling back on me, this year with a new car, the driver fled J.a ha"&amp;"d time to take photos to have the plate and I did not stop witness to panic. We had warned that it could be 100% wrong if she did not declare herself, denied the facts, and he passed 50/50 because the opposite declaration of the person following recovery "&amp;"process requested by me via Eurofil .. Result we see a letter of termination knowing that my vehicle is not yet repaired because of the fixed scale at € 150 per l. Expert on a rim (PU new € 350). The repair solution is to be given this rim in Portugal wit"&amp;"h a loc D. A loan vehicle for 2 days via approved service provider ... So in this story on M.A sanctioned several times, a J. Etais not in wrong, the code insurance sees it differently. But the person steps and does not present these papers, and it is per"&amp;"haps even a false statement if not a good driver declared opposite (impossible to check), and at the end you asked nothing we You radi with the pricing increases that this generates the competition .. or is the human in your this? Or customer relations?")</f>
        <v>For two I have been 0.64 of past bonus l.nee last at 0.84 suite surface hung or j.eais wrongly but my vehicle had not had a damage (the person that I hit was in leasing). Then we hung by falling back on me, this year with a new car, the driver fled J.a had time to take photos to have the plate and I did not stop witness to panic. We had warned that it could be 100% wrong if she did not declare herself, denied the facts, and he passed 50/50 because the opposite declaration of the person following recovery process requested by me via Eurofil .. Result we see a letter of termination knowing that my vehicle is not yet repaired because of the fixed scale at € 150 per l. Expert on a rim (PU new € 350). The repair solution is to be given this rim in Portugal with a loc D. A loan vehicle for 2 days via approved service provider ... So in this story on M.A sanctioned several times, a J. Etais not in wrong, the code insurance sees it differently. But the person steps and does not present these papers, and it is perhaps even a false statement if not a good driver declared opposite (impossible to check), and at the end you asked nothing we You radi with the pricing increases that this generates the competition .. or is the human in your this? Or customer relations?</v>
      </c>
    </row>
    <row r="638" ht="15.75" customHeight="1">
      <c r="B638" s="2" t="s">
        <v>1858</v>
      </c>
      <c r="C638" s="2" t="s">
        <v>1859</v>
      </c>
      <c r="D638" s="2" t="s">
        <v>1559</v>
      </c>
      <c r="E638" s="2" t="s">
        <v>14</v>
      </c>
      <c r="F638" s="2" t="s">
        <v>15</v>
      </c>
      <c r="G638" s="2" t="s">
        <v>1860</v>
      </c>
      <c r="H638" s="2" t="s">
        <v>297</v>
      </c>
      <c r="I638" s="2" t="str">
        <f>IFERROR(__xludf.DUMMYFUNCTION("GOOGLETRANSLATE(C638,""fr"",""en"")"),"I have just been terminated for my car and caravan insurance after 4 years. The reason: ""Following a recent examination of your file, the inadequacy of the risk with regard to the company's acceptance policy does not allow its renewal for the coming peri"&amp;"od"". I ask them to communicate to me the reasons for this choice, knowing that I did not have a license withdrawal, driving driving, withdrawn points, honored invoices, that a hanging in 2014. I wish a Contact with the Eurofil mediator. Thank you. I send"&amp;" them a registered letter this day to understand something.")</f>
        <v>I have just been terminated for my car and caravan insurance after 4 years. The reason: "Following a recent examination of your file, the inadequacy of the risk with regard to the company's acceptance policy does not allow its renewal for the coming period". I ask them to communicate to me the reasons for this choice, knowing that I did not have a license withdrawal, driving driving, withdrawn points, honored invoices, that a hanging in 2014. I wish a Contact with the Eurofil mediator. Thank you. I send them a registered letter this day to understand something.</v>
      </c>
    </row>
    <row r="639" ht="15.75" customHeight="1">
      <c r="B639" s="2" t="s">
        <v>1861</v>
      </c>
      <c r="C639" s="2" t="s">
        <v>1862</v>
      </c>
      <c r="D639" s="2" t="s">
        <v>1559</v>
      </c>
      <c r="E639" s="2" t="s">
        <v>14</v>
      </c>
      <c r="F639" s="2" t="s">
        <v>15</v>
      </c>
      <c r="G639" s="2" t="s">
        <v>608</v>
      </c>
      <c r="H639" s="2" t="s">
        <v>297</v>
      </c>
      <c r="I639" s="2" t="str">
        <f>IFERROR(__xludf.DUMMYFUNCTION("GOOGLETRANSLATE(C639,""fr"",""en"")"),"I am still not reimbursed after more than 8 months following a non -responsible hanging with a foreign vehicle! The file goes into litigation. I regret that insurance has not advanced the costs for repairing my vehicle.")</f>
        <v>I am still not reimbursed after more than 8 months following a non -responsible hanging with a foreign vehicle! The file goes into litigation. I regret that insurance has not advanced the costs for repairing my vehicle.</v>
      </c>
    </row>
    <row r="640" ht="15.75" customHeight="1">
      <c r="B640" s="2" t="s">
        <v>1863</v>
      </c>
      <c r="C640" s="2" t="s">
        <v>1864</v>
      </c>
      <c r="D640" s="2" t="s">
        <v>1559</v>
      </c>
      <c r="E640" s="2" t="s">
        <v>14</v>
      </c>
      <c r="F640" s="2" t="s">
        <v>15</v>
      </c>
      <c r="G640" s="2" t="s">
        <v>608</v>
      </c>
      <c r="H640" s="2" t="s">
        <v>297</v>
      </c>
      <c r="I640" s="2" t="str">
        <f>IFERROR(__xludf.DUMMYFUNCTION("GOOGLETRANSLATE(C640,""fr"",""en"")"),"An accident and we end up with an insurance termination by lassoring because we correspond more to their insurance policy. (basically we pay everything is good and the day we have a problem we are tidy). Really lamentable.")</f>
        <v>An accident and we end up with an insurance termination by lassoring because we correspond more to their insurance policy. (basically we pay everything is good and the day we have a problem we are tidy). Really lamentable.</v>
      </c>
    </row>
    <row r="641" ht="15.75" customHeight="1">
      <c r="B641" s="2" t="s">
        <v>1865</v>
      </c>
      <c r="C641" s="2" t="s">
        <v>1866</v>
      </c>
      <c r="D641" s="2" t="s">
        <v>1559</v>
      </c>
      <c r="E641" s="2" t="s">
        <v>14</v>
      </c>
      <c r="F641" s="2" t="s">
        <v>15</v>
      </c>
      <c r="G641" s="2" t="s">
        <v>1867</v>
      </c>
      <c r="H641" s="2" t="s">
        <v>297</v>
      </c>
      <c r="I641" s="2" t="str">
        <f>IFERROR(__xludf.DUMMYFUNCTION("GOOGLETRANSLATE(C641,""fr"",""en"")"),"Expensive insurance for an old vehicle (more than 20 years) at most bonuses, with very precarious guarantees (341 euros for old 7 horsepower diesel)")</f>
        <v>Expensive insurance for an old vehicle (more than 20 years) at most bonuses, with very precarious guarantees (341 euros for old 7 horsepower diesel)</v>
      </c>
    </row>
    <row r="642" ht="15.75" customHeight="1">
      <c r="B642" s="2" t="s">
        <v>1868</v>
      </c>
      <c r="C642" s="2" t="s">
        <v>1869</v>
      </c>
      <c r="D642" s="2" t="s">
        <v>1559</v>
      </c>
      <c r="E642" s="2" t="s">
        <v>14</v>
      </c>
      <c r="F642" s="2" t="s">
        <v>15</v>
      </c>
      <c r="G642" s="2" t="s">
        <v>1870</v>
      </c>
      <c r="H642" s="2" t="s">
        <v>297</v>
      </c>
      <c r="I642" s="2" t="str">
        <f>IFERROR(__xludf.DUMMYFUNCTION("GOOGLETRANSLATE(C642,""fr"",""en"")"),"Bravo to you Eurofil!
Sinister + 6 months ago! After many phones and threatens this very day to leave, Eurofil as well as by enchantment has just done the necessary: ​​Mr, the expert made the file leave this very day you are lucky! Ouaah what efficiency "&amp;"(they lost the expertise photo then we find and so on) .. as it is a European carrier I am still announced 1 year of waiting ... 6 months lost to you constantly contact ... you are incapable!
Beware of small lines, their prices are aggressive but many """&amp;"limitations"" are to be deplored such as the mileage specified at no time!")</f>
        <v>Bravo to you Eurofil!
Sinister + 6 months ago! After many phones and threatens this very day to leave, Eurofil as well as by enchantment has just done the necessary: ​​Mr, the expert made the file leave this very day you are lucky! Ouaah what efficiency (they lost the expertise photo then we find and so on) .. as it is a European carrier I am still announced 1 year of waiting ... 6 months lost to you constantly contact ... you are incapable!
Beware of small lines, their prices are aggressive but many "limitations" are to be deplored such as the mileage specified at no time!</v>
      </c>
    </row>
    <row r="643" ht="15.75" customHeight="1">
      <c r="B643" s="2" t="s">
        <v>1871</v>
      </c>
      <c r="C643" s="2" t="s">
        <v>1872</v>
      </c>
      <c r="D643" s="2" t="s">
        <v>1559</v>
      </c>
      <c r="E643" s="2" t="s">
        <v>14</v>
      </c>
      <c r="F643" s="2" t="s">
        <v>15</v>
      </c>
      <c r="G643" s="2" t="s">
        <v>1873</v>
      </c>
      <c r="H643" s="2" t="s">
        <v>297</v>
      </c>
      <c r="I643" s="2" t="str">
        <f>IFERROR(__xludf.DUMMYFUNCTION("GOOGLETRANSLATE(C643,""fr"",""en"")"),"Catastrophic customer service.
Purchase of an additional car while waiting for the sale of the old and 3 days without being able to subscribe because it is never the right service concerned etc etc
After 3 days finally someone phone and as if by magic 1"&amp;"0 euros more expensive than the previous quote do by phone (do not make your quote on the internet there is always something that will not go the contract and which will surely cost you ).
The advisor has not accepted this remark and it is done to speak "&amp;"to me, accuse me of everything and anything and it is allowed to criticize my choice to be able to see elsewhere since the price had increased .
I had never had to do customer service in 1 year since I never had anything to declare and the latest was bes"&amp;"t I will therefore redirect myself to another insurance even more expensive but at least Have a customer service worthy of the name and above all that respects its customers.")</f>
        <v>Catastrophic customer service.
Purchase of an additional car while waiting for the sale of the old and 3 days without being able to subscribe because it is never the right service concerned etc etc
After 3 days finally someone phone and as if by magic 10 euros more expensive than the previous quote do by phone (do not make your quote on the internet there is always something that will not go the contract and which will surely cost you ).
The advisor has not accepted this remark and it is done to speak to me, accuse me of everything and anything and it is allowed to criticize my choice to be able to see elsewhere since the price had increased .
I had never had to do customer service in 1 year since I never had anything to declare and the latest was best I will therefore redirect myself to another insurance even more expensive but at least Have a customer service worthy of the name and above all that respects its customers.</v>
      </c>
    </row>
    <row r="644" ht="15.75" customHeight="1">
      <c r="B644" s="2" t="s">
        <v>1874</v>
      </c>
      <c r="C644" s="2" t="s">
        <v>1875</v>
      </c>
      <c r="D644" s="2" t="s">
        <v>1559</v>
      </c>
      <c r="E644" s="2" t="s">
        <v>14</v>
      </c>
      <c r="F644" s="2" t="s">
        <v>15</v>
      </c>
      <c r="G644" s="2" t="s">
        <v>1873</v>
      </c>
      <c r="H644" s="2" t="s">
        <v>297</v>
      </c>
      <c r="I644" s="2" t="str">
        <f>IFERROR(__xludf.DUMMYFUNCTION("GOOGLETRANSLATE(C644,""fr"",""en"")"),"10 years old and fired after 2 claims (very small clashes without body) responsible in 2 years")</f>
        <v>10 years old and fired after 2 claims (very small clashes without body) responsible in 2 years</v>
      </c>
    </row>
    <row r="645" ht="15.75" customHeight="1">
      <c r="B645" s="2" t="s">
        <v>1876</v>
      </c>
      <c r="C645" s="2" t="s">
        <v>1877</v>
      </c>
      <c r="D645" s="2" t="s">
        <v>1559</v>
      </c>
      <c r="E645" s="2" t="s">
        <v>14</v>
      </c>
      <c r="F645" s="2" t="s">
        <v>15</v>
      </c>
      <c r="G645" s="2" t="s">
        <v>1878</v>
      </c>
      <c r="H645" s="2" t="s">
        <v>301</v>
      </c>
      <c r="I645" s="2" t="str">
        <f>IFERROR(__xludf.DUMMYFUNCTION("GOOGLETRANSLATE(C645,""fr"",""en"")"),"Run away!!!!!! They saw you on the slightest occasions and after that it is hell to find another insurance !!!")</f>
        <v>Run away!!!!!! They saw you on the slightest occasions and after that it is hell to find another insurance !!!</v>
      </c>
    </row>
    <row r="646" ht="15.75" customHeight="1">
      <c r="B646" s="2" t="s">
        <v>1879</v>
      </c>
      <c r="C646" s="2" t="s">
        <v>1880</v>
      </c>
      <c r="D646" s="2" t="s">
        <v>1559</v>
      </c>
      <c r="E646" s="2" t="s">
        <v>14</v>
      </c>
      <c r="F646" s="2" t="s">
        <v>15</v>
      </c>
      <c r="G646" s="2" t="s">
        <v>1881</v>
      </c>
      <c r="H646" s="2" t="s">
        <v>301</v>
      </c>
      <c r="I646" s="2" t="str">
        <f>IFERROR(__xludf.DUMMYFUNCTION("GOOGLETRANSLATE(C646,""fr"",""en"")"),"Very unpleasant staff (Madame Leroy), shouts on the phone when asked to repeat brief very annoying especially in the morning !!! , if not their advertising on the fact of leaving as we want ... it's blabla because we ask you for the same justifying as the"&amp;" others as for example a certificate of transfer in the event of a breach of contract for sale so nothing new, price level like the others")</f>
        <v>Very unpleasant staff (Madame Leroy), shouts on the phone when asked to repeat brief very annoying especially in the morning !!! , if not their advertising on the fact of leaving as we want ... it's blabla because we ask you for the same justifying as the others as for example a certificate of transfer in the event of a breach of contract for sale so nothing new, price level like the others</v>
      </c>
    </row>
    <row r="647" ht="15.75" customHeight="1">
      <c r="B647" s="2" t="s">
        <v>1882</v>
      </c>
      <c r="C647" s="2" t="s">
        <v>1883</v>
      </c>
      <c r="D647" s="2" t="s">
        <v>1559</v>
      </c>
      <c r="E647" s="2" t="s">
        <v>14</v>
      </c>
      <c r="F647" s="2" t="s">
        <v>15</v>
      </c>
      <c r="G647" s="2" t="s">
        <v>1884</v>
      </c>
      <c r="H647" s="2" t="s">
        <v>301</v>
      </c>
      <c r="I647" s="2" t="str">
        <f>IFERROR(__xludf.DUMMYFUNCTION("GOOGLETRANSLATE(C647,""fr"",""en"")"),"Good evening
I subscribed to Eurofil at the end of July, including the comparator lesfurets.com believing that it has done the good deal only since I received or contract and even less the green card. I tried to contact them but never answers. Recently I"&amp;" receive a unilateral termination letter, so I call for more information I am simply told that the contract was terminated and that I lost the deposit which is 290 euros. Advisor to her tells me that we sent you the contract but the mail has been returned"&amp;" to us and that we have left you a message on your answering machine ... Finally, anything.
It should be noted that the advisor was very unpleasant, I ask for a renewal of the contract (logical thing) and thus close this misunderstanding she responds exp"&amp;"ressly by a negative and she goes so far as to taunt me by suggesting me to go to justice and than anyway I had more to lose. While at no time did I approach this part. Incredible from a professional, I was really shocked by the tone used.
I hope that th"&amp;"is case is only the fact of an employee a little embittered and not a large -scale policy of an insurer, otherwise it is very scary.")</f>
        <v>Good evening
I subscribed to Eurofil at the end of July, including the comparator lesfurets.com believing that it has done the good deal only since I received or contract and even less the green card. I tried to contact them but never answers. Recently I receive a unilateral termination letter, so I call for more information I am simply told that the contract was terminated and that I lost the deposit which is 290 euros. Advisor to her tells me that we sent you the contract but the mail has been returned to us and that we have left you a message on your answering machine ... Finally, anything.
It should be noted that the advisor was very unpleasant, I ask for a renewal of the contract (logical thing) and thus close this misunderstanding she responds expressly by a negative and she goes so far as to taunt me by suggesting me to go to justice and than anyway I had more to lose. While at no time did I approach this part. Incredible from a professional, I was really shocked by the tone used.
I hope that this case is only the fact of an employee a little embittered and not a large -scale policy of an insurer, otherwise it is very scary.</v>
      </c>
    </row>
    <row r="648" ht="15.75" customHeight="1">
      <c r="B648" s="2" t="s">
        <v>1885</v>
      </c>
      <c r="C648" s="2" t="s">
        <v>1886</v>
      </c>
      <c r="D648" s="2" t="s">
        <v>1559</v>
      </c>
      <c r="E648" s="2" t="s">
        <v>14</v>
      </c>
      <c r="F648" s="2" t="s">
        <v>15</v>
      </c>
      <c r="G648" s="2" t="s">
        <v>1887</v>
      </c>
      <c r="H648" s="2" t="s">
        <v>301</v>
      </c>
      <c r="I648" s="2" t="str">
        <f>IFERROR(__xludf.DUMMYFUNCTION("GOOGLETRANSLATE(C648,""fr"",""en"")"),"After going through Allianz and Direct Insurance, I can guarantee that Euro Fil is much better!")</f>
        <v>After going through Allianz and Direct Insurance, I can guarantee that Euro Fil is much better!</v>
      </c>
    </row>
    <row r="649" ht="15.75" customHeight="1">
      <c r="B649" s="2" t="s">
        <v>1888</v>
      </c>
      <c r="C649" s="2" t="s">
        <v>1889</v>
      </c>
      <c r="D649" s="2" t="s">
        <v>1559</v>
      </c>
      <c r="E649" s="2" t="s">
        <v>14</v>
      </c>
      <c r="F649" s="2" t="s">
        <v>15</v>
      </c>
      <c r="G649" s="2" t="s">
        <v>300</v>
      </c>
      <c r="H649" s="2" t="s">
        <v>301</v>
      </c>
      <c r="I649" s="2" t="str">
        <f>IFERROR(__xludf.DUMMYFUNCTION("GOOGLETRANSLATE(C649,""fr"",""en"")"),"Hello, I strongly recommend this Eurofil company.
I called a few weeks ago to study the possibility of making a modification to my contract by adding other guarantees.
On the return and in the immediate future, I am informed that my contract will be ter"&amp;"minated when I have at no time ask for a termination I just asked for information ... Asking for information that cost me a termination At Eurofil ... I let you judge yourself!
Be careful be careful to flee as soon as possible before you make you have li"&amp;"ke me ... I was terminated for none but really no valid pattern.")</f>
        <v>Hello, I strongly recommend this Eurofil company.
I called a few weeks ago to study the possibility of making a modification to my contract by adding other guarantees.
On the return and in the immediate future, I am informed that my contract will be terminated when I have at no time ask for a termination I just asked for information ... Asking for information that cost me a termination At Eurofil ... I let you judge yourself!
Be careful be careful to flee as soon as possible before you make you have like me ... I was terminated for none but really no valid pattern.</v>
      </c>
    </row>
    <row r="650" ht="15.75" customHeight="1">
      <c r="B650" s="2" t="s">
        <v>1890</v>
      </c>
      <c r="C650" s="2" t="s">
        <v>1891</v>
      </c>
      <c r="D650" s="2" t="s">
        <v>1559</v>
      </c>
      <c r="E650" s="2" t="s">
        <v>14</v>
      </c>
      <c r="F650" s="2" t="s">
        <v>15</v>
      </c>
      <c r="G650" s="2" t="s">
        <v>1892</v>
      </c>
      <c r="H650" s="2" t="s">
        <v>1130</v>
      </c>
      <c r="I650" s="2" t="str">
        <f>IFERROR(__xludf.DUMMYFUNCTION("GOOGLETRANSLATE(C650,""fr"",""en"")"),"For almost ten years for almost ten years, two non -responsible accidents, the first wreckage vehicle, but compensate for its fair value, the second vehicle is also wrecking, but very badly assessing at the time of expertise on my part and there they do n"&amp;"ot like, Suddenly they are looking for more endless complications, since February 2017 my file has been dragging and still not compensating.")</f>
        <v>For almost ten years for almost ten years, two non -responsible accidents, the first wreckage vehicle, but compensate for its fair value, the second vehicle is also wrecking, but very badly assessing at the time of expertise on my part and there they do not like, Suddenly they are looking for more endless complications, since February 2017 my file has been dragging and still not compensating.</v>
      </c>
    </row>
    <row r="651" ht="15.75" customHeight="1">
      <c r="B651" s="2" t="s">
        <v>1893</v>
      </c>
      <c r="C651" s="2" t="s">
        <v>1894</v>
      </c>
      <c r="D651" s="2" t="s">
        <v>1559</v>
      </c>
      <c r="E651" s="2" t="s">
        <v>14</v>
      </c>
      <c r="F651" s="2" t="s">
        <v>15</v>
      </c>
      <c r="G651" s="2" t="s">
        <v>1895</v>
      </c>
      <c r="H651" s="2" t="s">
        <v>1130</v>
      </c>
      <c r="I651" s="2" t="str">
        <f>IFERROR(__xludf.DUMMYFUNCTION("GOOGLETRANSLATE(C651,""fr"",""en"")"),"In the event of a serious accident, even if you are not wrong, you have to fight and you are ejecting you")</f>
        <v>In the event of a serious accident, even if you are not wrong, you have to fight and you are ejecting you</v>
      </c>
    </row>
    <row r="652" ht="15.75" customHeight="1">
      <c r="B652" s="2" t="s">
        <v>1896</v>
      </c>
      <c r="C652" s="2" t="s">
        <v>1897</v>
      </c>
      <c r="D652" s="2" t="s">
        <v>1559</v>
      </c>
      <c r="E652" s="2" t="s">
        <v>14</v>
      </c>
      <c r="F652" s="2" t="s">
        <v>15</v>
      </c>
      <c r="G652" s="2" t="s">
        <v>1898</v>
      </c>
      <c r="H652" s="2" t="s">
        <v>1130</v>
      </c>
      <c r="I652" s="2" t="str">
        <f>IFERROR(__xludf.DUMMYFUNCTION("GOOGLETRANSLATE(C652,""fr"",""en"")"),"Very unpleasant customer service, he was waiting for the end of the holidays to be able to receive care while the vehicle is immobilized, for broken ice.")</f>
        <v>Very unpleasant customer service, he was waiting for the end of the holidays to be able to receive care while the vehicle is immobilized, for broken ice.</v>
      </c>
    </row>
    <row r="653" ht="15.75" customHeight="1">
      <c r="B653" s="2" t="s">
        <v>1899</v>
      </c>
      <c r="C653" s="2" t="s">
        <v>1900</v>
      </c>
      <c r="D653" s="2" t="s">
        <v>1559</v>
      </c>
      <c r="E653" s="2" t="s">
        <v>14</v>
      </c>
      <c r="F653" s="2" t="s">
        <v>15</v>
      </c>
      <c r="G653" s="2" t="s">
        <v>1901</v>
      </c>
      <c r="H653" s="2" t="s">
        <v>1140</v>
      </c>
      <c r="I653" s="2" t="str">
        <f>IFERROR(__xludf.DUMMYFUNCTION("GOOGLETRANSLATE(C653,""fr"",""en"")"),"Eurofil simply terminated my contract because I did not return my information statement for the last 24 months, when it had received that of the last 12 months. While I was going to send them, it was just a document to recover from my former insurer. In a"&amp;"ddition, it had been 10 days that I was driving without insurance without knowing it. I went on vacation without insurance and without being aware. It was only on my return from vacation that I discovered a post -post telling me that my contract had been "&amp;"terminated for 10 days. They are unconscious. To flee..")</f>
        <v>Eurofil simply terminated my contract because I did not return my information statement for the last 24 months, when it had received that of the last 12 months. While I was going to send them, it was just a document to recover from my former insurer. In addition, it had been 10 days that I was driving without insurance without knowing it. I went on vacation without insurance and without being aware. It was only on my return from vacation that I discovered a post -post telling me that my contract had been terminated for 10 days. They are unconscious. To flee..</v>
      </c>
    </row>
    <row r="654" ht="15.75" customHeight="1">
      <c r="B654" s="2" t="s">
        <v>1902</v>
      </c>
      <c r="C654" s="2" t="s">
        <v>1903</v>
      </c>
      <c r="D654" s="2" t="s">
        <v>1559</v>
      </c>
      <c r="E654" s="2" t="s">
        <v>14</v>
      </c>
      <c r="F654" s="2" t="s">
        <v>15</v>
      </c>
      <c r="G654" s="2" t="s">
        <v>1904</v>
      </c>
      <c r="H654" s="2" t="s">
        <v>1140</v>
      </c>
      <c r="I654" s="2" t="str">
        <f>IFERROR(__xludf.DUMMYFUNCTION("GOOGLETRANSLATE(C654,""fr"",""en"")"),"I am extremely dissatisfied with Eurofil services. In short, I declared 3 claims in the year:
- 2 broken ice, (the 1st a gravel and the 2nd a bird that taps my windshield)
- 1 vandalism: a civilized person is amused to scratch the whole left side of the"&amp;" car with a key.
3 claims for which I do not understand where my responsibility is.
Today, I have changed regions and Eurofil uses article L.113.16 of the insurance code to throw myself as a clean evil.
What makes me even more furious is that when I ma"&amp;"ke quote requests on the comparators by indicating the claims and my new postal address, Eurofil allows me to contact me to make a proposal.
These people pay my heads, they did not terminate me because of my move but because of 3 claims for which I am ab"&amp;"solutely for nothing and for which I asked them to do the work for which I pay them: Indemnate myself in the event of a disaster.
What do you use Eurofil? To pocket the money of people and throw them away if you have to get out of your pocket !!!
I don’"&amp;"t call it insurance, just a money pump.
I strongly advise you not to sign an insurance contract with Eurofil.
")</f>
        <v>I am extremely dissatisfied with Eurofil services. In short, I declared 3 claims in the year:
- 2 broken ice, (the 1st a gravel and the 2nd a bird that taps my windshield)
- 1 vandalism: a civilized person is amused to scratch the whole left side of the car with a key.
3 claims for which I do not understand where my responsibility is.
Today, I have changed regions and Eurofil uses article L.113.16 of the insurance code to throw myself as a clean evil.
What makes me even more furious is that when I make quote requests on the comparators by indicating the claims and my new postal address, Eurofil allows me to contact me to make a proposal.
These people pay my heads, they did not terminate me because of my move but because of 3 claims for which I am absolutely for nothing and for which I asked them to do the work for which I pay them: Indemnate myself in the event of a disaster.
What do you use Eurofil? To pocket the money of people and throw them away if you have to get out of your pocket !!!
I don’t call it insurance, just a money pump.
I strongly advise you not to sign an insurance contract with Eurofil.
</v>
      </c>
    </row>
    <row r="655" ht="15.75" customHeight="1">
      <c r="B655" s="2" t="s">
        <v>1905</v>
      </c>
      <c r="C655" s="2" t="s">
        <v>1906</v>
      </c>
      <c r="D655" s="2" t="s">
        <v>1559</v>
      </c>
      <c r="E655" s="2" t="s">
        <v>14</v>
      </c>
      <c r="F655" s="2" t="s">
        <v>15</v>
      </c>
      <c r="G655" s="2" t="s">
        <v>1907</v>
      </c>
      <c r="H655" s="2" t="s">
        <v>1140</v>
      </c>
      <c r="I655" s="2" t="str">
        <f>IFERROR(__xludf.DUMMYFUNCTION("GOOGLETRANSLATE(C655,""fr"",""en"")"),"Too little insurance such as Eurofil was to wear when until 2015 we wanted to make an insurance comparison and therefore we had consulting Eurofil to switch all the car contracts that we pocédé at the bank popular Alps ...")</f>
        <v>Too little insurance such as Eurofil was to wear when until 2015 we wanted to make an insurance comparison and therefore we had consulting Eurofil to switch all the car contracts that we pocédé at the bank popular Alps ...</v>
      </c>
    </row>
    <row r="656" ht="15.75" customHeight="1">
      <c r="B656" s="2" t="s">
        <v>1908</v>
      </c>
      <c r="C656" s="2" t="s">
        <v>1909</v>
      </c>
      <c r="D656" s="2" t="s">
        <v>1559</v>
      </c>
      <c r="E656" s="2" t="s">
        <v>14</v>
      </c>
      <c r="F656" s="2" t="s">
        <v>15</v>
      </c>
      <c r="G656" s="2" t="s">
        <v>1910</v>
      </c>
      <c r="H656" s="2" t="s">
        <v>1140</v>
      </c>
      <c r="I656" s="2" t="str">
        <f>IFERROR(__xludf.DUMMYFUNCTION("GOOGLETRANSLATE(C656,""fr"",""en"")"),"For years I was in Euforil, I was satisfied. Yesterday I receive a registered letter that I am no longer insured. They give me no reason. I have to look for insurance before the end of August and we are 2/07! I never had an accident at my wrong. I am disg"&amp;"usted. Flee this insurance. They have no respect for their customers.")</f>
        <v>For years I was in Euforil, I was satisfied. Yesterday I receive a registered letter that I am no longer insured. They give me no reason. I have to look for insurance before the end of August and we are 2/07! I never had an accident at my wrong. I am disgusted. Flee this insurance. They have no respect for their customers.</v>
      </c>
    </row>
    <row r="657" ht="15.75" customHeight="1">
      <c r="B657" s="2" t="s">
        <v>1911</v>
      </c>
      <c r="C657" s="2" t="s">
        <v>1912</v>
      </c>
      <c r="D657" s="2" t="s">
        <v>1559</v>
      </c>
      <c r="E657" s="2" t="s">
        <v>14</v>
      </c>
      <c r="F657" s="2" t="s">
        <v>15</v>
      </c>
      <c r="G657" s="2" t="s">
        <v>1913</v>
      </c>
      <c r="H657" s="2" t="s">
        <v>305</v>
      </c>
      <c r="I657" s="2" t="str">
        <f>IFERROR(__xludf.DUMMYFUNCTION("GOOGLETRANSLATE(C657,""fr"",""en"")"),"WARNING! I subscribe online by noting all the necessary information, I note my current bonus and I see that they record a slightly lower ""recalculated"" bonus. I do not ask myself more questions ... They send the termination to my insurer, collects my se"&amp;"ttlement then phone me to check the data and realize that the bonus indicated by me is that of the current year and therefore ... they can't make sure !! But they have terminated my insurance and can do nothing anymore. Just scandalous and incompetent ...")</f>
        <v>WARNING! I subscribe online by noting all the necessary information, I note my current bonus and I see that they record a slightly lower "recalculated" bonus. I do not ask myself more questions ... They send the termination to my insurer, collects my settlement then phone me to check the data and realize that the bonus indicated by me is that of the current year and therefore ... they can't make sure !! But they have terminated my insurance and can do nothing anymore. Just scandalous and incompetent ...</v>
      </c>
    </row>
    <row r="658" ht="15.75" customHeight="1">
      <c r="B658" s="2" t="s">
        <v>1914</v>
      </c>
      <c r="C658" s="2" t="s">
        <v>1915</v>
      </c>
      <c r="D658" s="2" t="s">
        <v>1559</v>
      </c>
      <c r="E658" s="2" t="s">
        <v>14</v>
      </c>
      <c r="F658" s="2" t="s">
        <v>15</v>
      </c>
      <c r="G658" s="2" t="s">
        <v>1916</v>
      </c>
      <c r="H658" s="2" t="s">
        <v>305</v>
      </c>
      <c r="I658" s="2" t="str">
        <f>IFERROR(__xludf.DUMMYFUNCTION("GOOGLETRANSLATE(C658,""fr"",""en"")"),"Following a request for a car insurance contract for a collector car, I was sent to me a quote that seemed very interesting to me. So I provided my bank details to finalize the operation and have been debited with a first amount of € 50 which, awaiting th"&amp;"e finalization of the contract, allowed me to circulate with a provisional certificate of one month. After providing the requested parts, namely a scan of the gray card and the situation bulletin of my former insurance, it was meant that Eurofil could not"&amp;" assure me on these conditions. Beyond lost time, I paid for a month of insurance € 50, non -negotiable, which relates to one year of contributions is equivalent to € 600. Far too expensive for me!")</f>
        <v>Following a request for a car insurance contract for a collector car, I was sent to me a quote that seemed very interesting to me. So I provided my bank details to finalize the operation and have been debited with a first amount of € 50 which, awaiting the finalization of the contract, allowed me to circulate with a provisional certificate of one month. After providing the requested parts, namely a scan of the gray card and the situation bulletin of my former insurance, it was meant that Eurofil could not assure me on these conditions. Beyond lost time, I paid for a month of insurance € 50, non -negotiable, which relates to one year of contributions is equivalent to € 600. Far too expensive for me!</v>
      </c>
    </row>
    <row r="659" ht="15.75" customHeight="1">
      <c r="B659" s="2" t="s">
        <v>1917</v>
      </c>
      <c r="C659" s="2" t="s">
        <v>1918</v>
      </c>
      <c r="D659" s="2" t="s">
        <v>1559</v>
      </c>
      <c r="E659" s="2" t="s">
        <v>14</v>
      </c>
      <c r="F659" s="2" t="s">
        <v>15</v>
      </c>
      <c r="G659" s="2" t="s">
        <v>1919</v>
      </c>
      <c r="H659" s="2" t="s">
        <v>305</v>
      </c>
      <c r="I659" s="2" t="str">
        <f>IFERROR(__xludf.DUMMYFUNCTION("GOOGLETRANSLATE(C659,""fr"",""en"")"),"10 years of self -insured at Eurofil. Zero damage, homes and 2 vehicles. Insurance extension for driving accompanied by our daughter over 1 year. I call them today to ask if they assure the young permits because it has obtained it. I am replied that they "&amp;"do not provide young drivers and that they will immediately terminate my car insurance from the vehicle concerned. We are on May 15, 2017, I will be without insurance on May 26, 2017, they immediately resound. I find myself without insurance overnight for"&amp;" simple telephone information. Holder of the permit since 1984, without accidents or damage, 12 points. Here is the great customer service!")</f>
        <v>10 years of self -insured at Eurofil. Zero damage, homes and 2 vehicles. Insurance extension for driving accompanied by our daughter over 1 year. I call them today to ask if they assure the young permits because it has obtained it. I am replied that they do not provide young drivers and that they will immediately terminate my car insurance from the vehicle concerned. We are on May 15, 2017, I will be without insurance on May 26, 2017, they immediately resound. I find myself without insurance overnight for simple telephone information. Holder of the permit since 1984, without accidents or damage, 12 points. Here is the great customer service!</v>
      </c>
    </row>
    <row r="660" ht="15.75" customHeight="1">
      <c r="B660" s="2" t="s">
        <v>1920</v>
      </c>
      <c r="C660" s="2" t="s">
        <v>1921</v>
      </c>
      <c r="D660" s="2" t="s">
        <v>1559</v>
      </c>
      <c r="E660" s="2" t="s">
        <v>14</v>
      </c>
      <c r="F660" s="2" t="s">
        <v>15</v>
      </c>
      <c r="G660" s="2" t="s">
        <v>1922</v>
      </c>
      <c r="H660" s="2" t="s">
        <v>651</v>
      </c>
      <c r="I660" s="2" t="str">
        <f>IFERROR(__xludf.DUMMYFUNCTION("GOOGLETRANSLATE(C660,""fr"",""en"")"),"I was insured with Direct Insurance and during a change of vehicle, I wanted to make a price comparison, which led me to subscribe to Eurofil insurance, a big errorrrrrrr.
Customer service is very unpleasant (however I had several online advisers), I hav"&amp;"e the impression that communication should not last more than a minute ...
I asked for a exchanger, I receive an annual invoice instead, when I call, I am answered ""you go astray"", I answer that no, I am sure I have asked for a schedule, I have elsewhe"&amp;"re From the monthly amount ... I am answered, in a very unpleasant way that I must not understand the meaning of the word Fourvoyer and that it is a French term (without a joke, I am a French teacher ...). Customer service does not want to hear anything, "&amp;"there is absolutely no customer satisfaction process, I strongly regret my choice !!!!!!")</f>
        <v>I was insured with Direct Insurance and during a change of vehicle, I wanted to make a price comparison, which led me to subscribe to Eurofil insurance, a big errorrrrrrr.
Customer service is very unpleasant (however I had several online advisers), I have the impression that communication should not last more than a minute ...
I asked for a exchanger, I receive an annual invoice instead, when I call, I am answered "you go astray", I answer that no, I am sure I have asked for a schedule, I have elsewhere From the monthly amount ... I am answered, in a very unpleasant way that I must not understand the meaning of the word Fourvoyer and that it is a French term (without a joke, I am a French teacher ...). Customer service does not want to hear anything, there is absolutely no customer satisfaction process, I strongly regret my choice !!!!!!</v>
      </c>
    </row>
    <row r="661" ht="15.75" customHeight="1">
      <c r="B661" s="2" t="s">
        <v>1923</v>
      </c>
      <c r="C661" s="2" t="s">
        <v>1924</v>
      </c>
      <c r="D661" s="2" t="s">
        <v>1559</v>
      </c>
      <c r="E661" s="2" t="s">
        <v>14</v>
      </c>
      <c r="F661" s="2" t="s">
        <v>15</v>
      </c>
      <c r="G661" s="2" t="s">
        <v>1925</v>
      </c>
      <c r="H661" s="2" t="s">
        <v>651</v>
      </c>
      <c r="I661" s="2" t="str">
        <f>IFERROR(__xludf.DUMMYFUNCTION("GOOGLETRANSLATE(C661,""fr"",""en"")"),"I was insured in Eurofil for my vehicle and my home for 12 years1/2. At the start of March 2017, I received a letter of termination of my car contract only, (curiously the housing contract was not concerned), for no reason declared. (no liable loss)
I un"&amp;"derstood that the only reason was my age but no one in Eurofil wanted to admit it to me. Yes, Eurofil has a discriminatory policy, she does ""anti-old"" racism.
I returned to my former insurer, the GMF, which welcomed me with pleasure. Result I will pay "&amp;"50 € less for my vehicle and the home (I made the decision to denounce the home contract) ... For a better warranty (at the GMF, there is no mileage limit annual)
So do not trust the advertisements. Eurofil is not the cheapest !! ... and moreover if you "&amp;"are over 70 years old, you will soon be terminated.")</f>
        <v>I was insured in Eurofil for my vehicle and my home for 12 years1/2. At the start of March 2017, I received a letter of termination of my car contract only, (curiously the housing contract was not concerned), for no reason declared. (no liable loss)
I understood that the only reason was my age but no one in Eurofil wanted to admit it to me. Yes, Eurofil has a discriminatory policy, she does "anti-old" racism.
I returned to my former insurer, the GMF, which welcomed me with pleasure. Result I will pay 50 € less for my vehicle and the home (I made the decision to denounce the home contract) ... For a better warranty (at the GMF, there is no mileage limit annual)
So do not trust the advertisements. Eurofil is not the cheapest !! ... and moreover if you are over 70 years old, you will soon be terminated.</v>
      </c>
    </row>
    <row r="662" ht="15.75" customHeight="1">
      <c r="B662" s="2" t="s">
        <v>1926</v>
      </c>
      <c r="C662" s="2" t="s">
        <v>1927</v>
      </c>
      <c r="D662" s="2" t="s">
        <v>1559</v>
      </c>
      <c r="E662" s="2" t="s">
        <v>14</v>
      </c>
      <c r="F662" s="2" t="s">
        <v>15</v>
      </c>
      <c r="G662" s="2" t="s">
        <v>1928</v>
      </c>
      <c r="H662" s="2" t="s">
        <v>309</v>
      </c>
      <c r="I662" s="2" t="str">
        <f>IFERROR(__xludf.DUMMYFUNCTION("GOOGLETRANSLATE(C662,""fr"",""en"")"),"Three years of contract never had a problem. Not assurance inexpensive at the end of January after the holidays. Minimal increase every year.
Really nothing to complain about and I recommend it
")</f>
        <v>Three years of contract never had a problem. Not assurance inexpensive at the end of January after the holidays. Minimal increase every year.
Really nothing to complain about and I recommend it
</v>
      </c>
    </row>
    <row r="663" ht="15.75" customHeight="1">
      <c r="B663" s="2" t="s">
        <v>1929</v>
      </c>
      <c r="C663" s="2" t="s">
        <v>1930</v>
      </c>
      <c r="D663" s="2" t="s">
        <v>1559</v>
      </c>
      <c r="E663" s="2" t="s">
        <v>14</v>
      </c>
      <c r="F663" s="2" t="s">
        <v>15</v>
      </c>
      <c r="G663" s="2" t="s">
        <v>1931</v>
      </c>
      <c r="H663" s="2" t="s">
        <v>313</v>
      </c>
      <c r="I663" s="2" t="str">
        <f>IFERROR(__xludf.DUMMYFUNCTION("GOOGLETRANSLATE(C663,""fr"",""en"")"),"to flee quickly quickly !!!!!!!!!!!!!!!! They are unpleasant and I assured 1 new car, I had the registration of the car they told me that my card had already been sent for 3 days: anything !!!!")</f>
        <v>to flee quickly quickly !!!!!!!!!!!!!!!! They are unpleasant and I assured 1 new car, I had the registration of the car they told me that my card had already been sent for 3 days: anything !!!!</v>
      </c>
    </row>
    <row r="664" ht="15.75" customHeight="1">
      <c r="B664" s="2" t="s">
        <v>1932</v>
      </c>
      <c r="C664" s="2" t="s">
        <v>1933</v>
      </c>
      <c r="D664" s="2" t="s">
        <v>1559</v>
      </c>
      <c r="E664" s="2" t="s">
        <v>14</v>
      </c>
      <c r="F664" s="2" t="s">
        <v>15</v>
      </c>
      <c r="G664" s="2" t="s">
        <v>1934</v>
      </c>
      <c r="H664" s="2" t="s">
        <v>313</v>
      </c>
      <c r="I664" s="2" t="str">
        <f>IFERROR(__xludf.DUMMYFUNCTION("GOOGLETRANSLATE(C664,""fr"",""en"")"),"Management of the execrable file since despite all the information given to resolve my insurer's decision to my unjust greed and despite my various reminders (letters, telephone calls ...). I ended my contract, because of the several anomalies noted !!! A"&amp;"nd moreover as an informational day in suffering.")</f>
        <v>Management of the execrable file since despite all the information given to resolve my insurer's decision to my unjust greed and despite my various reminders (letters, telephone calls ...). I ended my contract, because of the several anomalies noted !!! And moreover as an informational day in suffering.</v>
      </c>
    </row>
    <row r="665" ht="15.75" customHeight="1">
      <c r="B665" s="2" t="s">
        <v>1935</v>
      </c>
      <c r="C665" s="2" t="s">
        <v>1936</v>
      </c>
      <c r="D665" s="2" t="s">
        <v>1559</v>
      </c>
      <c r="E665" s="2" t="s">
        <v>14</v>
      </c>
      <c r="F665" s="2" t="s">
        <v>15</v>
      </c>
      <c r="G665" s="2" t="s">
        <v>1937</v>
      </c>
      <c r="H665" s="2" t="s">
        <v>313</v>
      </c>
      <c r="I665" s="2" t="str">
        <f>IFERROR(__xludf.DUMMYFUNCTION("GOOGLETRANSLATE(C665,""fr"",""en"")"),"At the end of December, I make a quote on Eurofil. The question precisely is ""have you been assured for more than 24 months?"" Being insured since 2009, I answer yes. I am called the 18th after having provided all the supporting documents to tell me that"&amp;" my contract is interrupted because I am certainly assured since 2009 but not as a main driver so for them they do not even want to make sure as a young driver. After that Eurofil refuses to reimburse me my deposit of 165th after only 18 days of insurance"&amp;".
And I saw that it was not the first time ... I expect at least from them a reimbursement in proportion to my contract. I was reminded the same day (January 18), telling me that a new contract was offered to me and today on January 24, I hear myself by "&amp;"customer service that in reality no I will even receive No new contract with a bonus of 5% and not 15%.
")</f>
        <v>At the end of December, I make a quote on Eurofil. The question precisely is "have you been assured for more than 24 months?" Being insured since 2009, I answer yes. I am called the 18th after having provided all the supporting documents to tell me that my contract is interrupted because I am certainly assured since 2009 but not as a main driver so for them they do not even want to make sure as a young driver. After that Eurofil refuses to reimburse me my deposit of 165th after only 18 days of insurance.
And I saw that it was not the first time ... I expect at least from them a reimbursement in proportion to my contract. I was reminded the same day (January 18), telling me that a new contract was offered to me and today on January 24, I hear myself by customer service that in reality no I will even receive No new contract with a bonus of 5% and not 15%.
</v>
      </c>
    </row>
    <row r="666" ht="15.75" customHeight="1">
      <c r="B666" s="2" t="s">
        <v>1938</v>
      </c>
      <c r="C666" s="2" t="s">
        <v>1939</v>
      </c>
      <c r="D666" s="2" t="s">
        <v>1559</v>
      </c>
      <c r="E666" s="2" t="s">
        <v>14</v>
      </c>
      <c r="F666" s="2" t="s">
        <v>15</v>
      </c>
      <c r="G666" s="2" t="s">
        <v>671</v>
      </c>
      <c r="H666" s="2" t="s">
        <v>317</v>
      </c>
      <c r="I666" s="2" t="str">
        <f>IFERROR(__xludf.DUMMYFUNCTION("GOOGLETRANSLATE(C666,""fr"",""en"")"),"No one, does not provide an insurer it's serious! My 50% bonus profile for more than twenty years, assures them for an Alemande brand sports vehicle (p ..... diagram) and today do not want to ensure a Fiat 500x .... too much flights on this type of vehicl"&amp;"e. ... these are funny")</f>
        <v>No one, does not provide an insurer it's serious! My 50% bonus profile for more than twenty years, assures them for an Alemande brand sports vehicle (p ..... diagram) and today do not want to ensure a Fiat 500x .... too much flights on this type of vehicle. ... these are funny</v>
      </c>
    </row>
    <row r="667" ht="15.75" customHeight="1">
      <c r="B667" s="2" t="s">
        <v>1940</v>
      </c>
      <c r="C667" s="2" t="s">
        <v>1941</v>
      </c>
      <c r="D667" s="2" t="s">
        <v>1559</v>
      </c>
      <c r="E667" s="2" t="s">
        <v>14</v>
      </c>
      <c r="F667" s="2" t="s">
        <v>15</v>
      </c>
      <c r="G667" s="2" t="s">
        <v>1942</v>
      </c>
      <c r="H667" s="2" t="s">
        <v>317</v>
      </c>
      <c r="I667" s="2" t="str">
        <f>IFERROR(__xludf.DUMMYFUNCTION("GOOGLETRANSLATE(C667,""fr"",""en"")"),"This insurance does not defend yourself as soon as there is a dispute and applies the penalty even if you are right. Exponential increase in Ass d ann ee in the year. Vite to change ... Zero ............ I do not advise this insurance. Ditto GMF and Direc"&amp;"t Ass Null .......................")</f>
        <v>This insurance does not defend yourself as soon as there is a dispute and applies the penalty even if you are right. Exponential increase in Ass d ann ee in the year. Vite to change ... Zero ............ I do not advise this insurance. Ditto GMF and Direct Ass Null .......................</v>
      </c>
    </row>
    <row r="668" ht="15.75" customHeight="1">
      <c r="B668" s="2" t="s">
        <v>1943</v>
      </c>
      <c r="C668" s="2" t="s">
        <v>1944</v>
      </c>
      <c r="D668" s="2" t="s">
        <v>1559</v>
      </c>
      <c r="E668" s="2" t="s">
        <v>14</v>
      </c>
      <c r="F668" s="2" t="s">
        <v>15</v>
      </c>
      <c r="G668" s="2" t="s">
        <v>1945</v>
      </c>
      <c r="H668" s="2" t="s">
        <v>1192</v>
      </c>
      <c r="I668" s="2" t="str">
        <f>IFERROR(__xludf.DUMMYFUNCTION("GOOGLETRANSLATE(C668,""fr"",""en"")"),"I have been ensured since the acquisition of my Volvo vehicle at Eurofil, in August 2012; In September 2016, I receive a letter of termination with the same formulas (as read on other messages) ""an examination of your file, the inadequacy of the risk wit"&amp;"h regard to the company's acceptance policy does not allow its renewal For the coming period. "" ??? !!!
I think I am a nightmare, I ask for an explanation from a hostess very in a hurry to hang up ... She ends up telling me ""I send you an information s"&amp;"tatement"" and there surprise! : The company takes into account non -responsible ""claims"" !!!! Super insurance: we are penalized even when insurance does not reimburse anything since not responsible !!!!
We wonder why we are terminated and there we tel"&amp;"l you that the even non -responsible claims are counted? !!!!
In short, following all this and the commercial policy of this insurance, I find myself excluded without reason and in addition I cannot reassure myself elsewhere because they had the nasty id"&amp;"ea of ​​noting on the information statement the mention ""termination From the company ""because of this murderous formula I find no other company!
I'm waiting for news from the Eurofil company")</f>
        <v>I have been ensured since the acquisition of my Volvo vehicle at Eurofil, in August 2012; In September 2016, I receive a letter of termination with the same formulas (as read on other messages) "an examination of your file, the inadequacy of the risk with regard to the company's acceptance policy does not allow its renewal For the coming period. " ??? !!!
I think I am a nightmare, I ask for an explanation from a hostess very in a hurry to hang up ... She ends up telling me "I send you an information statement" and there surprise! : The company takes into account non -responsible "claims" !!!! Super insurance: we are penalized even when insurance does not reimburse anything since not responsible !!!!
We wonder why we are terminated and there we tell you that the even non -responsible claims are counted? !!!!
In short, following all this and the commercial policy of this insurance, I find myself excluded without reason and in addition I cannot reassure myself elsewhere because they had the nasty idea of ​​noting on the information statement the mention "termination From the company "because of this murderous formula I find no other company!
I'm waiting for news from the Eurofil company</v>
      </c>
    </row>
    <row r="669" ht="15.75" customHeight="1">
      <c r="B669" s="2" t="s">
        <v>1946</v>
      </c>
      <c r="C669" s="2" t="s">
        <v>1947</v>
      </c>
      <c r="D669" s="2" t="s">
        <v>1948</v>
      </c>
      <c r="E669" s="2" t="s">
        <v>14</v>
      </c>
      <c r="F669" s="2" t="s">
        <v>15</v>
      </c>
      <c r="G669" s="2" t="s">
        <v>1949</v>
      </c>
      <c r="H669" s="2" t="s">
        <v>1202</v>
      </c>
      <c r="I669" s="2" t="str">
        <f>IFERROR(__xludf.DUMMYFUNCTION("GOOGLETRANSLATE(C669,""fr"",""en"")"),"My car no longer operating, I wanted to terminate my contract, I am released ""no you cannot be engaged for 1 year"" while no, moreover I am told ""even if your vehicle is no longer in To ride you are the owner and are therefore obliged to ensure ""in sho"&amp;"rt, I do not recommend it strongly, especially since prices are not advantageous, and they add unnecessary options that they said compulsory when ultimately they are not Not, I found myself paying 15 euros per month in addition for nothing.")</f>
        <v>My car no longer operating, I wanted to terminate my contract, I am released "no you cannot be engaged for 1 year" while no, moreover I am told "even if your vehicle is no longer in To ride you are the owner and are therefore obliged to ensure "in short, I do not recommend it strongly, especially since prices are not advantageous, and they add unnecessary options that they said compulsory when ultimately they are not Not, I found myself paying 15 euros per month in addition for nothing.</v>
      </c>
    </row>
    <row r="670" ht="15.75" customHeight="1">
      <c r="B670" s="2" t="s">
        <v>1950</v>
      </c>
      <c r="C670" s="2" t="s">
        <v>1951</v>
      </c>
      <c r="D670" s="2" t="s">
        <v>1948</v>
      </c>
      <c r="E670" s="2" t="s">
        <v>14</v>
      </c>
      <c r="F670" s="2" t="s">
        <v>15</v>
      </c>
      <c r="G670" s="2" t="s">
        <v>1952</v>
      </c>
      <c r="H670" s="2" t="s">
        <v>1202</v>
      </c>
      <c r="I670" s="2" t="str">
        <f>IFERROR(__xludf.DUMMYFUNCTION("GOOGLETRANSLATE(C670,""fr"",""en"")"),"Flee this insurance. 50 years with them for a home contract. 1st water damage. We ask for a quote from the craftsman that we recommended by Macif. Quote € 1,400 including tax. We must recall Imh Macif because the quote is too expensive and the craftsman m"&amp;"ust detail each post and supply position. Example Plaster Removal on the Ceiling Detail of 250 € ... It is clear that this IMH company is paid to reduce the invoices at all costs. Too bad for L in Macif because they have just lost 3 ass cars, 1 Ass Moto a"&amp;"nd 1 Ass Home (Housing more than 400 €)")</f>
        <v>Flee this insurance. 50 years with them for a home contract. 1st water damage. We ask for a quote from the craftsman that we recommended by Macif. Quote € 1,400 including tax. We must recall Imh Macif because the quote is too expensive and the craftsman must detail each post and supply position. Example Plaster Removal on the Ceiling Detail of 250 € ... It is clear that this IMH company is paid to reduce the invoices at all costs. Too bad for L in Macif because they have just lost 3 ass cars, 1 Ass Moto and 1 Ass Home (Housing more than 400 €)</v>
      </c>
    </row>
    <row r="671" ht="15.75" customHeight="1">
      <c r="B671" s="2" t="s">
        <v>1953</v>
      </c>
      <c r="C671" s="2" t="s">
        <v>1954</v>
      </c>
      <c r="D671" s="2" t="s">
        <v>1948</v>
      </c>
      <c r="E671" s="2" t="s">
        <v>14</v>
      </c>
      <c r="F671" s="2" t="s">
        <v>15</v>
      </c>
      <c r="G671" s="2" t="s">
        <v>1955</v>
      </c>
      <c r="H671" s="2" t="s">
        <v>1202</v>
      </c>
      <c r="I671" s="2" t="str">
        <f>IFERROR(__xludf.DUMMYFUNCTION("GOOGLETRANSLATE(C671,""fr"",""en"")"),"I took the option of 0 km optional with a third -party contract + the loan vehicle option and yesterday I had an accident The assistance service was extremely fast I had the towing vehicle and the taxi to return And today I will go and collect my taxi loa"&amp;"n vehicle. All this at the expense of insurance.
I recommend 100% this insurance which is very effective with an assistance service which brings together very polished and effective people")</f>
        <v>I took the option of 0 km optional with a third -party contract + the loan vehicle option and yesterday I had an accident The assistance service was extremely fast I had the towing vehicle and the taxi to return And today I will go and collect my taxi loan vehicle. All this at the expense of insurance.
I recommend 100% this insurance which is very effective with an assistance service which brings together very polished and effective people</v>
      </c>
    </row>
    <row r="672" ht="15.75" customHeight="1">
      <c r="B672" s="2" t="s">
        <v>1956</v>
      </c>
      <c r="C672" s="2" t="s">
        <v>1957</v>
      </c>
      <c r="D672" s="2" t="s">
        <v>1948</v>
      </c>
      <c r="E672" s="2" t="s">
        <v>14</v>
      </c>
      <c r="F672" s="2" t="s">
        <v>15</v>
      </c>
      <c r="G672" s="2" t="s">
        <v>1958</v>
      </c>
      <c r="H672" s="2" t="s">
        <v>325</v>
      </c>
      <c r="I672" s="2" t="str">
        <f>IFERROR(__xludf.DUMMYFUNCTION("GOOGLETRANSLATE(C672,""fr"",""en"")"),"No active listening, I had an accident, so the person did it on purpose, I explained the situation to them he didn't want to know anything. Very bad insurance!")</f>
        <v>No active listening, I had an accident, so the person did it on purpose, I explained the situation to them he didn't want to know anything. Very bad insurance!</v>
      </c>
    </row>
    <row r="673" ht="15.75" customHeight="1">
      <c r="B673" s="2" t="s">
        <v>1959</v>
      </c>
      <c r="C673" s="2" t="s">
        <v>1960</v>
      </c>
      <c r="D673" s="2" t="s">
        <v>1948</v>
      </c>
      <c r="E673" s="2" t="s">
        <v>14</v>
      </c>
      <c r="F673" s="2" t="s">
        <v>15</v>
      </c>
      <c r="G673" s="2" t="s">
        <v>1961</v>
      </c>
      <c r="H673" s="2" t="s">
        <v>325</v>
      </c>
      <c r="I673" s="2" t="str">
        <f>IFERROR(__xludf.DUMMYFUNCTION("GOOGLETRANSLATE(C673,""fr"",""en"")"),"For 42 years, insured Macif, Housing, Auto and Pro, ...
Overall, the interventions are done well.
However, good advice is missing as for the insurance adapted to the needs and in RC for 2 months that I am waiting for the regulation of my file for a disa"&amp;"ster which I have been the victim.
L
")</f>
        <v>For 42 years, insured Macif, Housing, Auto and Pro, ...
Overall, the interventions are done well.
However, good advice is missing as for the insurance adapted to the needs and in RC for 2 months that I am waiting for the regulation of my file for a disaster which I have been the victim.
L
</v>
      </c>
    </row>
    <row r="674" ht="15.75" customHeight="1">
      <c r="B674" s="2" t="s">
        <v>1962</v>
      </c>
      <c r="C674" s="2" t="s">
        <v>1963</v>
      </c>
      <c r="D674" s="2" t="s">
        <v>1948</v>
      </c>
      <c r="E674" s="2" t="s">
        <v>14</v>
      </c>
      <c r="F674" s="2" t="s">
        <v>15</v>
      </c>
      <c r="G674" s="2" t="s">
        <v>1964</v>
      </c>
      <c r="H674" s="2" t="s">
        <v>325</v>
      </c>
      <c r="I674" s="2" t="str">
        <f>IFERROR(__xludf.DUMMYFUNCTION("GOOGLETRANSLATE(C674,""fr"",""en"")"),"Non -serious insurance despite a legal service. Malfaçon and the Macif tells me to go a third time to the same garage following a non -responsible accident")</f>
        <v>Non -serious insurance despite a legal service. Malfaçon and the Macif tells me to go a third time to the same garage following a non -responsible accident</v>
      </c>
    </row>
    <row r="675" ht="15.75" customHeight="1">
      <c r="B675" s="2" t="s">
        <v>1965</v>
      </c>
      <c r="C675" s="2" t="s">
        <v>1966</v>
      </c>
      <c r="D675" s="2" t="s">
        <v>1948</v>
      </c>
      <c r="E675" s="2" t="s">
        <v>14</v>
      </c>
      <c r="F675" s="2" t="s">
        <v>15</v>
      </c>
      <c r="G675" s="2" t="s">
        <v>1967</v>
      </c>
      <c r="H675" s="2" t="s">
        <v>364</v>
      </c>
      <c r="I675" s="2" t="str">
        <f>IFERROR(__xludf.DUMMYFUNCTION("GOOGLETRANSLATE(C675,""fr"",""en"")"),"Following the theft of my caravan on March 10, 2021 this put more than three months before being compensated with the sending of documents to be completed every 10 -12 days. Continuously information to provide by stages to lengthen the Delai !! then that "&amp;"the expert had done his job very well and gave me the amount of the expertise after a week and also warned me of the deficiency of one month in the event of a flight. 2021 My gardener projected a pebble in the window of my bay window which broke. I sent m"&amp;"y carpenter's quote to the Macif on July 17. And they tell me that they did not receive it. The quote. Nouvel sends so and there they tell me that the quote is too high?")</f>
        <v>Following the theft of my caravan on March 10, 2021 this put more than three months before being compensated with the sending of documents to be completed every 10 -12 days. Continuously information to provide by stages to lengthen the Delai !! then that the expert had done his job very well and gave me the amount of the expertise after a week and also warned me of the deficiency of one month in the event of a flight. 2021 My gardener projected a pebble in the window of my bay window which broke. I sent my carpenter's quote to the Macif on July 17. And they tell me that they did not receive it. The quote. Nouvel sends so and there they tell me that the quote is too high?</v>
      </c>
    </row>
    <row r="676" ht="15.75" customHeight="1">
      <c r="B676" s="2" t="s">
        <v>1968</v>
      </c>
      <c r="C676" s="2" t="s">
        <v>1969</v>
      </c>
      <c r="D676" s="2" t="s">
        <v>1948</v>
      </c>
      <c r="E676" s="2" t="s">
        <v>14</v>
      </c>
      <c r="F676" s="2" t="s">
        <v>15</v>
      </c>
      <c r="G676" s="2" t="s">
        <v>325</v>
      </c>
      <c r="H676" s="2" t="s">
        <v>333</v>
      </c>
      <c r="I676" s="2" t="str">
        <f>IFERROR(__xludf.DUMMYFUNCTION("GOOGLETRANSLATE(C676,""fr"",""en"")"),"Following damage on my parking vehicle in my absence, I filed a complaint to the gendarmerie and warned my insurance. Procedures carried out on time. My car was appraised in a garage likely to repair it. The expert challenged my declaration. The Macif ref"&amp;"erring to it, refuses to repair my vehicle. The misunderstanding is total what is the definition of the ""all risks"" at the Macif")</f>
        <v>Following damage on my parking vehicle in my absence, I filed a complaint to the gendarmerie and warned my insurance. Procedures carried out on time. My car was appraised in a garage likely to repair it. The expert challenged my declaration. The Macif referring to it, refuses to repair my vehicle. The misunderstanding is total what is the definition of the "all risks" at the Macif</v>
      </c>
    </row>
    <row r="677" ht="15.75" customHeight="1">
      <c r="B677" s="2" t="s">
        <v>1970</v>
      </c>
      <c r="C677" s="2" t="s">
        <v>1971</v>
      </c>
      <c r="D677" s="2" t="s">
        <v>1948</v>
      </c>
      <c r="E677" s="2" t="s">
        <v>14</v>
      </c>
      <c r="F677" s="2" t="s">
        <v>15</v>
      </c>
      <c r="G677" s="2" t="s">
        <v>1972</v>
      </c>
      <c r="H677" s="2" t="s">
        <v>49</v>
      </c>
      <c r="I677" s="2" t="str">
        <f>IFERROR(__xludf.DUMMYFUNCTION("GOOGLETRANSLATE(C677,""fr"",""en"")"),"Following a small damage on gutter (pulling) after a very strong rain the company does not give a sign of life it does not confirm and does not infirm it it remains silent. The claim took place in 2020 and no written response. Since the loss and passage o"&amp;"f the expert.
What to think about more serious health problems for example.
")</f>
        <v>Following a small damage on gutter (pulling) after a very strong rain the company does not give a sign of life it does not confirm and does not infirm it it remains silent. The claim took place in 2020 and no written response. Since the loss and passage of the expert.
What to think about more serious health problems for example.
</v>
      </c>
    </row>
    <row r="678" ht="15.75" customHeight="1">
      <c r="B678" s="2" t="s">
        <v>1973</v>
      </c>
      <c r="C678" s="2" t="s">
        <v>1974</v>
      </c>
      <c r="D678" s="2" t="s">
        <v>1948</v>
      </c>
      <c r="E678" s="2" t="s">
        <v>14</v>
      </c>
      <c r="F678" s="2" t="s">
        <v>15</v>
      </c>
      <c r="G678" s="2" t="s">
        <v>1975</v>
      </c>
      <c r="H678" s="2" t="s">
        <v>693</v>
      </c>
      <c r="I678" s="2" t="str">
        <f>IFERROR(__xludf.DUMMYFUNCTION("GOOGLETRANSLATE(C678,""fr"",""en"")"),"I strongly advise against they are not clear not to say honest. 2 problems that I had with them: he put me on a penalty for an accident that I never had. In addition, do not believe it when they tell you about 0 km at 1000 km in the event of a breakdown C"&amp;" is false. Beyond 50 km from you they put the vehicle in a garage that you may not choose within 15 km around the breakdown and drop you home via a taxi. It changes everything for someone who does not want to have their car repaired by any or who has a gu"&amp;"aranteed car. Here are 2 examples to tell you that they are not clear")</f>
        <v>I strongly advise against they are not clear not to say honest. 2 problems that I had with them: he put me on a penalty for an accident that I never had. In addition, do not believe it when they tell you about 0 km at 1000 km in the event of a breakdown C is false. Beyond 50 km from you they put the vehicle in a garage that you may not choose within 15 km around the breakdown and drop you home via a taxi. It changes everything for someone who does not want to have their car repaired by any or who has a guaranteed car. Here are 2 examples to tell you that they are not clear</v>
      </c>
    </row>
    <row r="679" ht="15.75" customHeight="1">
      <c r="B679" s="2" t="s">
        <v>1976</v>
      </c>
      <c r="C679" s="2" t="s">
        <v>1977</v>
      </c>
      <c r="D679" s="2" t="s">
        <v>1948</v>
      </c>
      <c r="E679" s="2" t="s">
        <v>14</v>
      </c>
      <c r="F679" s="2" t="s">
        <v>15</v>
      </c>
      <c r="G679" s="2" t="s">
        <v>708</v>
      </c>
      <c r="H679" s="2" t="s">
        <v>333</v>
      </c>
      <c r="I679" s="2" t="str">
        <f>IFERROR(__xludf.DUMMYFUNCTION("GOOGLETRANSLATE(C679,""fr"",""en"")"),"Shame on her. To avoid absolutely !!!!! Deplorable and to flee. I stop because the list is long. Request termination of a contract for 2 months and lets drag. Quote amounts (signed) and different invoices. Change of contract without explanation and inform"&amp;"ation before. And the worst: for a week, I have learned that all our contracts have been resilled (auto and house) and we drive without being assured while all our invoices are paid from 2019 -2020 and 2021 (bank statements doing times): I receive A lette"&amp;"r of formal notice by AR on 05/21/21 (La Poste is proof), but the title and the duty contributions of the letter are dated 05/14/19 (2 years apart). When I question them, no one knows anything, they don't even understand the amount claimed of € 1434.18. A"&amp;"fter my personal research, the amount claimed corresponds to the 2019 FACT, however paid in due course. Today, I still circulate without insurance, it's serious. If accident ????
Level of competence and intelligence, zero !!! But there it is too serious,"&amp;" tomorrow, I file a complaint to the gendarmerie after my visit to the agency (to see their degree of professional competence). And don't ask me to write to the management relationship. I have lost enough time, you cause problems, you repair. We wonder if"&amp;" we are dealing with children of 12 years in front of us.")</f>
        <v>Shame on her. To avoid absolutely !!!!! Deplorable and to flee. I stop because the list is long. Request termination of a contract for 2 months and lets drag. Quote amounts (signed) and different invoices. Change of contract without explanation and information before. And the worst: for a week, I have learned that all our contracts have been resilled (auto and house) and we drive without being assured while all our invoices are paid from 2019 -2020 and 2021 (bank statements doing times): I receive A letter of formal notice by AR on 05/21/21 (La Poste is proof), but the title and the duty contributions of the letter are dated 05/14/19 (2 years apart). When I question them, no one knows anything, they don't even understand the amount claimed of € 1434.18. After my personal research, the amount claimed corresponds to the 2019 FACT, however paid in due course. Today, I still circulate without insurance, it's serious. If accident ????
Level of competence and intelligence, zero !!! But there it is too serious, tomorrow, I file a complaint to the gendarmerie after my visit to the agency (to see their degree of professional competence). And don't ask me to write to the management relationship. I have lost enough time, you cause problems, you repair. We wonder if we are dealing with children of 12 years in front of us.</v>
      </c>
    </row>
    <row r="680" ht="15.75" customHeight="1">
      <c r="B680" s="2" t="s">
        <v>1978</v>
      </c>
      <c r="C680" s="2" t="s">
        <v>1979</v>
      </c>
      <c r="D680" s="2" t="s">
        <v>1948</v>
      </c>
      <c r="E680" s="2" t="s">
        <v>14</v>
      </c>
      <c r="F680" s="2" t="s">
        <v>15</v>
      </c>
      <c r="G680" s="2" t="s">
        <v>1235</v>
      </c>
      <c r="H680" s="2" t="s">
        <v>340</v>
      </c>
      <c r="I680" s="2" t="str">
        <f>IFERROR(__xludf.DUMMYFUNCTION("GOOGLETRANSLATE(C680,""fr"",""en"")"),"The Macif to flee! I am in the process of changing my vehicle I will surely not stay with them. I have already terminated my home insurance their incompetence shown me that we could not count on them and I will soon terminate my mutual.
I am assured at t"&amp;"he Macif for my vehicle since 2017 I have never claimed anything, no claim, never an accident ... In November 2020 I was stolen my car a few days after my vehicle is found by the police. send me a tow truck to take him to the garage no garage of available"&amp;" the convenience store warns me who takes him to the deposit finally they find one in Paris they call me to tell me that my car is in a garage in the 15th Eme.
A week later without news from them I receive a garage call to restart them ...
The Macif M s"&amp;"ends an email “Following the visit of the expert there was no break -in so no refund! They tell me to go get my car before the guard costs apply!
The garage informs me that the guard costs are applied on the first day of the deposit and it asks me for 70"&amp;"0 euros of guarding or having it repaired at home for 3000 euros (just the front so that I can ride with it). I was to the wall ! I have never been informed of these guarding costs the Macif responds to me that it is displayed at the entrance to the garag"&amp;"e but I was never in this garage since they took it directly from the pound !!! .
But why leave the car for a week if they knew that I had to pay 100 euros per day ???
So 3000 euros for the lighthouse and the bumper before, their expert decides that the"&amp;"re was no break-in and in addition 700 euros of guarding. I am assured of all risks if this car had been broken in the street or vandalized I would have been reimbursed but not in case of flight !!!!! no logic
The person I had by email and on the phone w"&amp;"as on the verge of politeness she haussed the tone I felt like they are begging!
They are assumed to be attended in the event of a disaster, you are not only left to yourself and they sink even more
I have never had an accident, I never asked for compen"&amp;"sation from anyone and I was treated by the Macif as a thief as if I had broken my vehicle and simulated my flight while I am insured for vandalism! What is the point ?
I was traumatized by the flight of my car and they sunk me. I repaired the bumper and"&amp;" the lighthouse for 3000 euros I could not repair the back it was 3000 more. assurance")</f>
        <v>The Macif to flee! I am in the process of changing my vehicle I will surely not stay with them. I have already terminated my home insurance their incompetence shown me that we could not count on them and I will soon terminate my mutual.
I am assured at the Macif for my vehicle since 2017 I have never claimed anything, no claim, never an accident ... In November 2020 I was stolen my car a few days after my vehicle is found by the police. send me a tow truck to take him to the garage no garage of available the convenience store warns me who takes him to the deposit finally they find one in Paris they call me to tell me that my car is in a garage in the 15th Eme.
A week later without news from them I receive a garage call to restart them ...
The Macif M sends an email “Following the visit of the expert there was no break -in so no refund! They tell me to go get my car before the guard costs apply!
The garage informs me that the guard costs are applied on the first day of the deposit and it asks me for 700 euros of guarding or having it repaired at home for 3000 euros (just the front so that I can ride with it). I was to the wall ! I have never been informed of these guarding costs the Macif responds to me that it is displayed at the entrance to the garage but I was never in this garage since they took it directly from the pound !!! .
But why leave the car for a week if they knew that I had to pay 100 euros per day ???
So 3000 euros for the lighthouse and the bumper before, their expert decides that there was no break-in and in addition 700 euros of guarding. I am assured of all risks if this car had been broken in the street or vandalized I would have been reimbursed but not in case of flight !!!!! no logic
The person I had by email and on the phone was on the verge of politeness she haussed the tone I felt like they are begging!
They are assumed to be attended in the event of a disaster, you are not only left to yourself and they sink even more
I have never had an accident, I never asked for compensation from anyone and I was treated by the Macif as a thief as if I had broken my vehicle and simulated my flight while I am insured for vandalism! What is the point ?
I was traumatized by the flight of my car and they sunk me. I repaired the bumper and the lighthouse for 3000 euros I could not repair the back it was 3000 more. assurance</v>
      </c>
    </row>
    <row r="681" ht="15.75" customHeight="1">
      <c r="B681" s="2" t="s">
        <v>1980</v>
      </c>
      <c r="C681" s="2" t="s">
        <v>1981</v>
      </c>
      <c r="D681" s="2" t="s">
        <v>1948</v>
      </c>
      <c r="E681" s="2" t="s">
        <v>14</v>
      </c>
      <c r="F681" s="2" t="s">
        <v>15</v>
      </c>
      <c r="G681" s="2" t="s">
        <v>1982</v>
      </c>
      <c r="H681" s="2" t="s">
        <v>340</v>
      </c>
      <c r="I681" s="2" t="str">
        <f>IFERROR(__xludf.DUMMYFUNCTION("GOOGLETRANSLATE(C681,""fr"",""en"")"),"The biggest error in my life, suddenly I took all my contracts and I left elsewhere
Following a dispute with my mechanic, I realized that I had not taken the right legal protection for me, I returned where I was fine")</f>
        <v>The biggest error in my life, suddenly I took all my contracts and I left elsewhere
Following a dispute with my mechanic, I realized that I had not taken the right legal protection for me, I returned where I was fine</v>
      </c>
    </row>
    <row r="682" ht="15.75" customHeight="1">
      <c r="B682" s="2" t="s">
        <v>1983</v>
      </c>
      <c r="C682" s="2" t="s">
        <v>1984</v>
      </c>
      <c r="D682" s="2" t="s">
        <v>1948</v>
      </c>
      <c r="E682" s="2" t="s">
        <v>14</v>
      </c>
      <c r="F682" s="2" t="s">
        <v>15</v>
      </c>
      <c r="G682" s="2" t="s">
        <v>1985</v>
      </c>
      <c r="H682" s="2" t="s">
        <v>340</v>
      </c>
      <c r="I682" s="2" t="str">
        <f>IFERROR(__xludf.DUMMYFUNCTION("GOOGLETRANSLATE(C682,""fr"",""en"")"),"My pregnant wife 7 months had a non -responsible accident a person struck by the rear. After the accident we spent the morning in the emergency room to be reassured. We deposit the vehicle at the garage for the expert. And 15 days after the expert's visit"&amp;" he announces to us that he has doubts about the accident and insurance refuses to repair the vehicle to us knowing that we are insured. I find it unacceptable on the part of the Macif knowing that I have all my contracts at EU (5 contracts) I do not even"&amp;" imagine if I have a damage to the house or more engrave of the body. Now I have to make a counter expertise at my expense. I contacted several consumer associations to help me in my efforts. Apparently recurring problem with the Macif. In summary with th"&amp;"e Macif as long as you pay and you have no problem everything is fine but in the event of a problem, no one can do !!!!!!!!!!!")</f>
        <v>My pregnant wife 7 months had a non -responsible accident a person struck by the rear. After the accident we spent the morning in the emergency room to be reassured. We deposit the vehicle at the garage for the expert. And 15 days after the expert's visit he announces to us that he has doubts about the accident and insurance refuses to repair the vehicle to us knowing that we are insured. I find it unacceptable on the part of the Macif knowing that I have all my contracts at EU (5 contracts) I do not even imagine if I have a damage to the house or more engrave of the body. Now I have to make a counter expertise at my expense. I contacted several consumer associations to help me in my efforts. Apparently recurring problem with the Macif. In summary with the Macif as long as you pay and you have no problem everything is fine but in the event of a problem, no one can do !!!!!!!!!!!</v>
      </c>
    </row>
    <row r="683" ht="15.75" customHeight="1">
      <c r="B683" s="2" t="s">
        <v>1986</v>
      </c>
      <c r="C683" s="2" t="s">
        <v>1987</v>
      </c>
      <c r="D683" s="2" t="s">
        <v>1948</v>
      </c>
      <c r="E683" s="2" t="s">
        <v>14</v>
      </c>
      <c r="F683" s="2" t="s">
        <v>15</v>
      </c>
      <c r="G683" s="2" t="s">
        <v>1988</v>
      </c>
      <c r="H683" s="2" t="s">
        <v>340</v>
      </c>
      <c r="I683" s="2" t="str">
        <f>IFERROR(__xludf.DUMMYFUNCTION("GOOGLETRANSLATE(C683,""fr"",""en"")"),"I am disappointed with the Macif Ausi, my parents have since 1977 assured the Macif and I have price the same insurance as soon as the permit is obtained. My parents took nomadic insurance and during the flight to the laptop, reimbursement Nada.
In addit"&amp;"ion I am disappointed with their bank service, each time you have to raise the ceiling of the Visa card you have to pay.
I think I leave their insurance and bank 'account depot, booklet and life insurance)")</f>
        <v>I am disappointed with the Macif Ausi, my parents have since 1977 assured the Macif and I have price the same insurance as soon as the permit is obtained. My parents took nomadic insurance and during the flight to the laptop, reimbursement Nada.
In addition I am disappointed with their bank service, each time you have to raise the ceiling of the Visa card you have to pay.
I think I leave their insurance and bank 'account depot, booklet and life insurance)</v>
      </c>
    </row>
    <row r="684" ht="15.75" customHeight="1">
      <c r="B684" s="2" t="s">
        <v>1989</v>
      </c>
      <c r="C684" s="2" t="s">
        <v>1990</v>
      </c>
      <c r="D684" s="2" t="s">
        <v>1948</v>
      </c>
      <c r="E684" s="2" t="s">
        <v>14</v>
      </c>
      <c r="F684" s="2" t="s">
        <v>15</v>
      </c>
      <c r="G684" s="2" t="s">
        <v>1991</v>
      </c>
      <c r="H684" s="2" t="s">
        <v>350</v>
      </c>
      <c r="I684" s="2" t="str">
        <f>IFERROR(__xludf.DUMMYFUNCTION("GOOGLETRANSLATE(C684,""fr"",""en"")"),"Very bad insurance very disappointed does not agree between the interlocutor gives different versions take people for idiots 1 month that I am walked by leaving different excuses never I recommend it to everyone this insurance and we do not reimburse then"&amp;" that there are 2 weeks I was told in any case cardboard insurance")</f>
        <v>Very bad insurance very disappointed does not agree between the interlocutor gives different versions take people for idiots 1 month that I am walked by leaving different excuses never I recommend it to everyone this insurance and we do not reimburse then that there are 2 weeks I was told in any case cardboard insurance</v>
      </c>
    </row>
    <row r="685" ht="15.75" customHeight="1">
      <c r="B685" s="2" t="s">
        <v>1992</v>
      </c>
      <c r="C685" s="2" t="s">
        <v>1993</v>
      </c>
      <c r="D685" s="2" t="s">
        <v>1948</v>
      </c>
      <c r="E685" s="2" t="s">
        <v>14</v>
      </c>
      <c r="F685" s="2" t="s">
        <v>15</v>
      </c>
      <c r="G685" s="2" t="s">
        <v>1584</v>
      </c>
      <c r="H685" s="2" t="s">
        <v>350</v>
      </c>
      <c r="I685" s="2" t="str">
        <f>IFERROR(__xludf.DUMMYFUNCTION("GOOGLETRANSLATE(C685,""fr"",""en"")"),"RAS relational level
Study level of the file, this precipitate during a contract of a contract, it does not deepen seriously. You are good.")</f>
        <v>RAS relational level
Study level of the file, this precipitate during a contract of a contract, it does not deepen seriously. You are good.</v>
      </c>
    </row>
    <row r="686" ht="15.75" customHeight="1">
      <c r="B686" s="2" t="s">
        <v>1994</v>
      </c>
      <c r="C686" s="2" t="s">
        <v>1995</v>
      </c>
      <c r="D686" s="2" t="s">
        <v>1948</v>
      </c>
      <c r="E686" s="2" t="s">
        <v>14</v>
      </c>
      <c r="F686" s="2" t="s">
        <v>15</v>
      </c>
      <c r="G686" s="2" t="s">
        <v>1996</v>
      </c>
      <c r="H686" s="2" t="s">
        <v>360</v>
      </c>
      <c r="I686" s="2" t="str">
        <f>IFERROR(__xludf.DUMMYFUNCTION("GOOGLETRANSLATE(C686,""fr"",""en"")"),"The Macif does not hesitate to send copies of letters (by email and not by post ...) on the other hand it never responds to my letters!
I have a vehicle that has not been in my possession since 02/27/2020 following a disaster but I continue to receive "&amp;"invoices as well as reminders by email !!
Even after several agency meetings it is still not set, I seriously plan to file a complaint. Once you have paid and money is at home, even if you are in your right, recovering it is another story ...")</f>
        <v>The Macif does not hesitate to send copies of letters (by email and not by post ...) on the other hand it never responds to my letters!
I have a vehicle that has not been in my possession since 02/27/2020 following a disaster but I continue to receive invoices as well as reminders by email !!
Even after several agency meetings it is still not set, I seriously plan to file a complaint. Once you have paid and money is at home, even if you are in your right, recovering it is another story ...</v>
      </c>
    </row>
    <row r="687" ht="15.75" customHeight="1">
      <c r="B687" s="2" t="s">
        <v>1997</v>
      </c>
      <c r="C687" s="2" t="s">
        <v>1998</v>
      </c>
      <c r="D687" s="2" t="s">
        <v>1948</v>
      </c>
      <c r="E687" s="2" t="s">
        <v>14</v>
      </c>
      <c r="F687" s="2" t="s">
        <v>15</v>
      </c>
      <c r="G687" s="2" t="s">
        <v>1999</v>
      </c>
      <c r="H687" s="2" t="s">
        <v>360</v>
      </c>
      <c r="I687" s="2" t="str">
        <f>IFERROR(__xludf.DUMMYFUNCTION("GOOGLETRANSLATE(C687,""fr"",""en"")"),"I contacted the Macif to review the amount of the premium, not very competitive, particularly due to the confinements. I rolled even less than usual (6,000 km per year). Driver with bonus 50% for over 20 years. Consulting Macitel immediately aggressive wi"&amp;"thout reason, despite my efforts to remain courteous, bad arguments to justify making no gesture, denigrating competitors, customers who post negative opinions, etc., and even insulting, like ""you do not understand"". Result, bye bye Macif.")</f>
        <v>I contacted the Macif to review the amount of the premium, not very competitive, particularly due to the confinements. I rolled even less than usual (6,000 km per year). Driver with bonus 50% for over 20 years. Consulting Macitel immediately aggressive without reason, despite my efforts to remain courteous, bad arguments to justify making no gesture, denigrating competitors, customers who post negative opinions, etc., and even insulting, like "you do not understand". Result, bye bye Macif.</v>
      </c>
    </row>
    <row r="688" ht="15.75" customHeight="1">
      <c r="B688" s="2" t="s">
        <v>2000</v>
      </c>
      <c r="C688" s="2" t="s">
        <v>2001</v>
      </c>
      <c r="D688" s="2" t="s">
        <v>1948</v>
      </c>
      <c r="E688" s="2" t="s">
        <v>14</v>
      </c>
      <c r="F688" s="2" t="s">
        <v>15</v>
      </c>
      <c r="G688" s="2" t="s">
        <v>2002</v>
      </c>
      <c r="H688" s="2" t="s">
        <v>360</v>
      </c>
      <c r="I688" s="2" t="str">
        <f>IFERROR(__xludf.DUMMYFUNCTION("GOOGLETRANSLATE(C688,""fr"",""en"")"),"Hello, I will leave this insurance because it refuses to make me a new vehicle because some vehicles I had, I sell them within two months. Unbelievable  .")</f>
        <v>Hello, I will leave this insurance because it refuses to make me a new vehicle because some vehicles I had, I sell them within two months. Unbelievable  .</v>
      </c>
    </row>
    <row r="689" ht="15.75" customHeight="1">
      <c r="B689" s="2" t="s">
        <v>2003</v>
      </c>
      <c r="C689" s="2" t="s">
        <v>2004</v>
      </c>
      <c r="D689" s="2" t="s">
        <v>1948</v>
      </c>
      <c r="E689" s="2" t="s">
        <v>14</v>
      </c>
      <c r="F689" s="2" t="s">
        <v>15</v>
      </c>
      <c r="G689" s="2" t="s">
        <v>2005</v>
      </c>
      <c r="H689" s="2" t="s">
        <v>364</v>
      </c>
      <c r="I689" s="2" t="str">
        <f>IFERROR(__xludf.DUMMYFUNCTION("GOOGLETRANSLATE(C689,""fr"",""en"")"),"To flee, I made a contract modification everything goes well and at the same time I ask my advisor to terminate a contract of another insurer nothing complicated in appearance except that he not marks the right number of members So I relaunch it, I had th"&amp;"e right to a thousand excuses and this trunk again and of course the anniversary date is exceeded. On the phone impossible to have it and contact me not. I have sent a registered complaint and for a month no answers.
I am very disappointed with a lack of"&amp;" confidence and respect. Hontente !!")</f>
        <v>To flee, I made a contract modification everything goes well and at the same time I ask my advisor to terminate a contract of another insurer nothing complicated in appearance except that he not marks the right number of members So I relaunch it, I had the right to a thousand excuses and this trunk again and of course the anniversary date is exceeded. On the phone impossible to have it and contact me not. I have sent a registered complaint and for a month no answers.
I am very disappointed with a lack of confidence and respect. Hontente !!</v>
      </c>
    </row>
    <row r="690" ht="15.75" customHeight="1">
      <c r="B690" s="2" t="s">
        <v>2006</v>
      </c>
      <c r="C690" s="2" t="s">
        <v>2007</v>
      </c>
      <c r="D690" s="2" t="s">
        <v>1948</v>
      </c>
      <c r="E690" s="2" t="s">
        <v>14</v>
      </c>
      <c r="F690" s="2" t="s">
        <v>15</v>
      </c>
      <c r="G690" s="2" t="s">
        <v>742</v>
      </c>
      <c r="H690" s="2" t="s">
        <v>364</v>
      </c>
      <c r="I690" s="2" t="str">
        <f>IFERROR(__xludf.DUMMYFUNCTION("GOOGLETRANSLATE(C690,""fr"",""en"")"),"Insured at the Macif since 2009 for my home and my vehicle, everything went very well. I could even say that I was very satisfied with my insurer and recommend it. With a bonus of 50% for at least 10 years and without any claim, I added my young driver in"&amp;" 2018 to my contract. By bad luck and circumstances competition we had 3 years 3 years old for both of them, no luck and managers. However, even after these 3 claims, one of which is that of my son, I remain 38% bonus. The Macif has decided not to renew m"&amp;"y contract beyond the deadline because of these claims; It seems to me that an insurance is paid to cover precisely when there is an accident and when there is an accident, you are terminated. I find it breathtaking, my arms fall to me! For this reason an"&amp;"d especially because I had an (a little naive) opinion that the Macif was more ethical insurance than the others, I can confirm that it does not have anything and I will no longer recommend it. Today I cannot make sure with 38% bonuses with my occasional "&amp;"driver's son, for 380 euros per month or more than 4,000 euros per year, due to this perfectly abusive termination!")</f>
        <v>Insured at the Macif since 2009 for my home and my vehicle, everything went very well. I could even say that I was very satisfied with my insurer and recommend it. With a bonus of 50% for at least 10 years and without any claim, I added my young driver in 2018 to my contract. By bad luck and circumstances competition we had 3 years 3 years old for both of them, no luck and managers. However, even after these 3 claims, one of which is that of my son, I remain 38% bonus. The Macif has decided not to renew my contract beyond the deadline because of these claims; It seems to me that an insurance is paid to cover precisely when there is an accident and when there is an accident, you are terminated. I find it breathtaking, my arms fall to me! For this reason and especially because I had an (a little naive) opinion that the Macif was more ethical insurance than the others, I can confirm that it does not have anything and I will no longer recommend it. Today I cannot make sure with 38% bonuses with my occasional driver's son, for 380 euros per month or more than 4,000 euros per year, due to this perfectly abusive termination!</v>
      </c>
    </row>
    <row r="691" ht="15.75" customHeight="1">
      <c r="B691" s="2" t="s">
        <v>2008</v>
      </c>
      <c r="C691" s="2" t="s">
        <v>2009</v>
      </c>
      <c r="D691" s="2" t="s">
        <v>1948</v>
      </c>
      <c r="E691" s="2" t="s">
        <v>14</v>
      </c>
      <c r="F691" s="2" t="s">
        <v>15</v>
      </c>
      <c r="G691" s="2" t="s">
        <v>2010</v>
      </c>
      <c r="H691" s="2" t="s">
        <v>364</v>
      </c>
      <c r="I691" s="2" t="str">
        <f>IFERROR(__xludf.DUMMYFUNCTION("GOOGLETRANSLATE(C691,""fr"",""en"")"),"Shame in the management of the accident file and in the policy: the victim is declared guilty with penalty and increased contributions pending legal decision.
And not the reverse.
Shame on the employee who dares to answer: ""Do not worry, you will be re"&amp;"imbursed according to the decision""")</f>
        <v>Shame in the management of the accident file and in the policy: the victim is declared guilty with penalty and increased contributions pending legal decision.
And not the reverse.
Shame on the employee who dares to answer: "Do not worry, you will be reimbursed according to the decision"</v>
      </c>
    </row>
    <row r="692" ht="15.75" customHeight="1">
      <c r="B692" s="2" t="s">
        <v>2011</v>
      </c>
      <c r="C692" s="2" t="s">
        <v>2012</v>
      </c>
      <c r="D692" s="2" t="s">
        <v>1948</v>
      </c>
      <c r="E692" s="2" t="s">
        <v>14</v>
      </c>
      <c r="F692" s="2" t="s">
        <v>15</v>
      </c>
      <c r="G692" s="2" t="s">
        <v>364</v>
      </c>
      <c r="H692" s="2" t="s">
        <v>364</v>
      </c>
      <c r="I692" s="2" t="str">
        <f>IFERROR(__xludf.DUMMYFUNCTION("GOOGLETRANSLATE(C692,""fr"",""en"")"),"Very disappointed this insurance, he promises you reimbursement ???
My daughter's auto insurance after a disaster The car has not been rolling for a year, which I have paid,
And the Molsheim 67,000 agency,
My promise reimbursement.
To date, do not rei"&amp;"mburse anything.
Watch out for this insurance ...
Cheap")</f>
        <v>Very disappointed this insurance, he promises you reimbursement ???
My daughter's auto insurance after a disaster The car has not been rolling for a year, which I have paid,
And the Molsheim 67,000 agency,
My promise reimbursement.
To date, do not reimburse anything.
Watch out for this insurance ...
Cheap</v>
      </c>
    </row>
    <row r="693" ht="15.75" customHeight="1">
      <c r="B693" s="2" t="s">
        <v>2013</v>
      </c>
      <c r="C693" s="2" t="s">
        <v>2014</v>
      </c>
      <c r="D693" s="2" t="s">
        <v>1948</v>
      </c>
      <c r="E693" s="2" t="s">
        <v>14</v>
      </c>
      <c r="F693" s="2" t="s">
        <v>15</v>
      </c>
      <c r="G693" s="2" t="s">
        <v>364</v>
      </c>
      <c r="H693" s="2" t="s">
        <v>364</v>
      </c>
      <c r="I693" s="2" t="str">
        <f>IFERROR(__xludf.DUMMYFUNCTION("GOOGLETRANSLATE(C693,""fr"",""en"")"),"The prices are unaffordable. I was in the Macif for 42 years. At first, it was very good but today the Macif is deteriorating at all levels and that is why I leave them. I paid 242 € for a Peugeot 306 6CV from 2001 and I am offered 268 € for a clio 4CV of"&amp;" the year 2001 !!! I hit (at 35 km/h) a sidewalk in very dark and rainy weather and I avoided a driver that dubbed me in a roundabout. The Macif did not reimburse me. For my home, I paid 450 € while now I pay 237 € for the same guarantees.
 After the Bel"&amp;"la storm, my barrier was destroyed. La Macif reimbursed me 228 € at a cost of € 645 !!! . I advise to flee this insurance company.")</f>
        <v>The prices are unaffordable. I was in the Macif for 42 years. At first, it was very good but today the Macif is deteriorating at all levels and that is why I leave them. I paid 242 € for a Peugeot 306 6CV from 2001 and I am offered 268 € for a clio 4CV of the year 2001 !!! I hit (at 35 km/h) a sidewalk in very dark and rainy weather and I avoided a driver that dubbed me in a roundabout. The Macif did not reimburse me. For my home, I paid 450 € while now I pay 237 € for the same guarantees.
 After the Bella storm, my barrier was destroyed. La Macif reimbursed me 228 € at a cost of € 645 !!! . I advise to flee this insurance company.</v>
      </c>
    </row>
    <row r="694" ht="15.75" customHeight="1">
      <c r="B694" s="2" t="s">
        <v>2015</v>
      </c>
      <c r="C694" s="2" t="s">
        <v>2016</v>
      </c>
      <c r="D694" s="2" t="s">
        <v>1948</v>
      </c>
      <c r="E694" s="2" t="s">
        <v>14</v>
      </c>
      <c r="F694" s="2" t="s">
        <v>15</v>
      </c>
      <c r="G694" s="2" t="s">
        <v>2017</v>
      </c>
      <c r="H694" s="2" t="s">
        <v>371</v>
      </c>
      <c r="I694" s="2" t="str">
        <f>IFERROR(__xludf.DUMMYFUNCTION("GOOGLETRANSLATE(C694,""fr"",""en"")"),"If you need insurance, do not take the Macif because if you have a car problem (ex: puncture) you can still wait for express troubleshooting.
Thank you for making me wait 30 min on the phone to tell me to wait 1 hour the tow truck.
Really to take the mo"&amp;"ney they are mega strong but to help there are no people anymore.")</f>
        <v>If you need insurance, do not take the Macif because if you have a car problem (ex: puncture) you can still wait for express troubleshooting.
Thank you for making me wait 30 min on the phone to tell me to wait 1 hour the tow truck.
Really to take the money they are mega strong but to help there are no people anymore.</v>
      </c>
    </row>
    <row r="695" ht="15.75" customHeight="1">
      <c r="B695" s="2" t="s">
        <v>2018</v>
      </c>
      <c r="C695" s="2" t="s">
        <v>2019</v>
      </c>
      <c r="D695" s="2" t="s">
        <v>1948</v>
      </c>
      <c r="E695" s="2" t="s">
        <v>14</v>
      </c>
      <c r="F695" s="2" t="s">
        <v>15</v>
      </c>
      <c r="G695" s="2" t="s">
        <v>382</v>
      </c>
      <c r="H695" s="2" t="s">
        <v>371</v>
      </c>
      <c r="I695" s="2" t="str">
        <f>IFERROR(__xludf.DUMMYFUNCTION("GOOGLETRANSLATE(C695,""fr"",""en"")"),"After an appointment as an appointment with my advisor, this one has failed to meet my expectations. He had to call me the same evening to give me an answer after consulting his hierarchy but after a week no answer ....")</f>
        <v>After an appointment as an appointment with my advisor, this one has failed to meet my expectations. He had to call me the same evening to give me an answer after consulting his hierarchy but after a week no answer ....</v>
      </c>
    </row>
    <row r="696" ht="15.75" customHeight="1">
      <c r="B696" s="2" t="s">
        <v>2020</v>
      </c>
      <c r="C696" s="2" t="s">
        <v>2021</v>
      </c>
      <c r="D696" s="2" t="s">
        <v>1948</v>
      </c>
      <c r="E696" s="2" t="s">
        <v>14</v>
      </c>
      <c r="F696" s="2" t="s">
        <v>15</v>
      </c>
      <c r="G696" s="2" t="s">
        <v>745</v>
      </c>
      <c r="H696" s="2" t="s">
        <v>371</v>
      </c>
      <c r="I696" s="2" t="str">
        <f>IFERROR(__xludf.DUMMYFUNCTION("GOOGLETRANSLATE(C696,""fr"",""en"")"),"Insurance quite expensive for a mutual despite a very long loyalty. Reimbursement of a claim never satisfactory and paying payroll. It is no longer a mutual but a money machine.
I will change this year.")</f>
        <v>Insurance quite expensive for a mutual despite a very long loyalty. Reimbursement of a claim never satisfactory and paying payroll. It is no longer a mutual but a money machine.
I will change this year.</v>
      </c>
    </row>
    <row r="697" ht="15.75" customHeight="1">
      <c r="B697" s="2" t="s">
        <v>2022</v>
      </c>
      <c r="C697" s="2" t="s">
        <v>2023</v>
      </c>
      <c r="D697" s="2" t="s">
        <v>1948</v>
      </c>
      <c r="E697" s="2" t="s">
        <v>14</v>
      </c>
      <c r="F697" s="2" t="s">
        <v>15</v>
      </c>
      <c r="G697" s="2" t="s">
        <v>745</v>
      </c>
      <c r="H697" s="2" t="s">
        <v>371</v>
      </c>
      <c r="I697" s="2" t="str">
        <f>IFERROR(__xludf.DUMMYFUNCTION("GOOGLETRANSLATE(C697,""fr"",""en"")"),"Overall, the cost of my insurance has increased significantly in recent years, I therefore look for a cheaper insurance company. It is a shame that we do not take sufficient account of the insured who never have claims and who do not cost the insurance co"&amp;"mpany.")</f>
        <v>Overall, the cost of my insurance has increased significantly in recent years, I therefore look for a cheaper insurance company. It is a shame that we do not take sufficient account of the insured who never have claims and who do not cost the insurance company.</v>
      </c>
    </row>
    <row r="698" ht="15.75" customHeight="1">
      <c r="B698" s="2" t="s">
        <v>2024</v>
      </c>
      <c r="C698" s="2" t="s">
        <v>2025</v>
      </c>
      <c r="D698" s="2" t="s">
        <v>1948</v>
      </c>
      <c r="E698" s="2" t="s">
        <v>14</v>
      </c>
      <c r="F698" s="2" t="s">
        <v>15</v>
      </c>
      <c r="G698" s="2" t="s">
        <v>385</v>
      </c>
      <c r="H698" s="2" t="s">
        <v>371</v>
      </c>
      <c r="I698" s="2" t="str">
        <f>IFERROR(__xludf.DUMMYFUNCTION("GOOGLETRANSLATE(C698,""fr"",""en"")"),"I do not recommend,
No commercial gesture despite the number of years I am there, 3 vehicles insured, 2 months of confinement, pathetic simply")</f>
        <v>I do not recommend,
No commercial gesture despite the number of years I am there, 3 vehicles insured, 2 months of confinement, pathetic simply</v>
      </c>
    </row>
    <row r="699" ht="15.75" customHeight="1">
      <c r="B699" s="2" t="s">
        <v>2026</v>
      </c>
      <c r="C699" s="2" t="s">
        <v>2027</v>
      </c>
      <c r="D699" s="2" t="s">
        <v>1948</v>
      </c>
      <c r="E699" s="2" t="s">
        <v>14</v>
      </c>
      <c r="F699" s="2" t="s">
        <v>15</v>
      </c>
      <c r="G699" s="2" t="s">
        <v>2028</v>
      </c>
      <c r="H699" s="2" t="s">
        <v>371</v>
      </c>
      <c r="I699" s="2" t="str">
        <f>IFERROR(__xludf.DUMMYFUNCTION("GOOGLETRANSLATE(C699,""fr"",""en"")"),"No consideration 32 years of 50% bonus contributions and no luck 2 claims the same year and in return termination of my contract. A SHAME!!")</f>
        <v>No consideration 32 years of 50% bonus contributions and no luck 2 claims the same year and in return termination of my contract. A SHAME!!</v>
      </c>
    </row>
    <row r="700" ht="15.75" customHeight="1">
      <c r="B700" s="2" t="s">
        <v>2029</v>
      </c>
      <c r="C700" s="2" t="s">
        <v>2030</v>
      </c>
      <c r="D700" s="2" t="s">
        <v>1948</v>
      </c>
      <c r="E700" s="2" t="s">
        <v>14</v>
      </c>
      <c r="F700" s="2" t="s">
        <v>15</v>
      </c>
      <c r="G700" s="2" t="s">
        <v>388</v>
      </c>
      <c r="H700" s="2" t="s">
        <v>17</v>
      </c>
      <c r="I700" s="2" t="str">
        <f>IFERROR(__xludf.DUMMYFUNCTION("GOOGLETRANSLATE(C700,""fr"",""en"")"),"Insured since 1997 without a super bonus accident for more than 12 years, I have paid my contributions, respectful, for 1 year I am retired, 2 weeks ago I received a termination of this Macif motif ""Alteration of our commercial relationship"" inhuman and"&amp;" inadmissible. Never accident is the world upside down. Doctor D.TESPHANE")</f>
        <v>Insured since 1997 without a super bonus accident for more than 12 years, I have paid my contributions, respectful, for 1 year I am retired, 2 weeks ago I received a termination of this Macif motif "Alteration of our commercial relationship" inhuman and inadmissible. Never accident is the world upside down. Doctor D.TESPHANE</v>
      </c>
    </row>
    <row r="701" ht="15.75" customHeight="1">
      <c r="B701" s="2" t="s">
        <v>2031</v>
      </c>
      <c r="C701" s="2" t="s">
        <v>2032</v>
      </c>
      <c r="D701" s="2" t="s">
        <v>1948</v>
      </c>
      <c r="E701" s="2" t="s">
        <v>14</v>
      </c>
      <c r="F701" s="2" t="s">
        <v>15</v>
      </c>
      <c r="G701" s="2" t="s">
        <v>2033</v>
      </c>
      <c r="H701" s="2" t="s">
        <v>17</v>
      </c>
      <c r="I701" s="2" t="str">
        <f>IFERROR(__xludf.DUMMYFUNCTION("GOOGLETRANSLATE(C701,""fr"",""en"")"),"Insurers to flee !! They are in bad faith and will invent excuses to tidy up! We had an accident this summer on the highway. It was raining very hard, we were riding slowly but going on a big puddle we did aquaplaning and lost control of the car. Followin"&amp;"g this accident, the Macif has struck us down under false pretexts invented. In their radiation letter they claimed that we already had several claims, which is false was the first we had. And on the other hand, in the circumstances of the accident, they "&amp;"claimed that we come out of a parking lot. When we pointed out to them their mistakes, they modified the circumstances of the accident while maintaining their radiation and as for the multitude of disaster, they simply told us that it was a typical letter"&amp;". You will understand, these are people who only think about money. We pay insurance every month to be covered in the event of a problem, I think they did not understand the insurance principle. The Macif is just a money machine.")</f>
        <v>Insurers to flee !! They are in bad faith and will invent excuses to tidy up! We had an accident this summer on the highway. It was raining very hard, we were riding slowly but going on a big puddle we did aquaplaning and lost control of the car. Following this accident, the Macif has struck us down under false pretexts invented. In their radiation letter they claimed that we already had several claims, which is false was the first we had. And on the other hand, in the circumstances of the accident, they claimed that we come out of a parking lot. When we pointed out to them their mistakes, they modified the circumstances of the accident while maintaining their radiation and as for the multitude of disaster, they simply told us that it was a typical letter. You will understand, these are people who only think about money. We pay insurance every month to be covered in the event of a problem, I think they did not understand the insurance principle. The Macif is just a money machine.</v>
      </c>
    </row>
    <row r="702" ht="15.75" customHeight="1">
      <c r="B702" s="2" t="s">
        <v>2034</v>
      </c>
      <c r="C702" s="2" t="s">
        <v>2035</v>
      </c>
      <c r="D702" s="2" t="s">
        <v>1948</v>
      </c>
      <c r="E702" s="2" t="s">
        <v>14</v>
      </c>
      <c r="F702" s="2" t="s">
        <v>15</v>
      </c>
      <c r="G702" s="2" t="s">
        <v>2036</v>
      </c>
      <c r="H702" s="2" t="s">
        <v>17</v>
      </c>
      <c r="I702" s="2" t="str">
        <f>IFERROR(__xludf.DUMMYFUNCTION("GOOGLETRANSLATE(C702,""fr"",""en"")"),"Very disappointed with the Macif I do not recommend, I wish not to continue with them, however client for 17 years in car insurance, home.")</f>
        <v>Very disappointed with the Macif I do not recommend, I wish not to continue with them, however client for 17 years in car insurance, home.</v>
      </c>
    </row>
    <row r="703" ht="15.75" customHeight="1">
      <c r="B703" s="2" t="s">
        <v>2037</v>
      </c>
      <c r="C703" s="2" t="s">
        <v>2038</v>
      </c>
      <c r="D703" s="2" t="s">
        <v>1948</v>
      </c>
      <c r="E703" s="2" t="s">
        <v>14</v>
      </c>
      <c r="F703" s="2" t="s">
        <v>15</v>
      </c>
      <c r="G703" s="2" t="s">
        <v>2039</v>
      </c>
      <c r="H703" s="2" t="s">
        <v>17</v>
      </c>
      <c r="I703" s="2" t="str">
        <f>IFERROR(__xludf.DUMMYFUNCTION("GOOGLETRANSLATE(C703,""fr"",""en"")"),"After more than 40 years member of this insurance we are told that on March 31, 2021 our contracts will be terminated ... 2018 hanging vehicle 50/50 % in 2019 following a storm tearing off a part of the beautiful neighbor I had Doing the work of the exper"&amp;"t and sending photos and quotes but after more than 3 months of waiting for this one, I had to contact this insurance because greater damage could therefore occur fees and rebelote for the expert that is also produced for the vehicle
Leave this insurance"&amp;" and see more interesting on comparative sites")</f>
        <v>After more than 40 years member of this insurance we are told that on March 31, 2021 our contracts will be terminated ... 2018 hanging vehicle 50/50 % in 2019 following a storm tearing off a part of the beautiful neighbor I had Doing the work of the expert and sending photos and quotes but after more than 3 months of waiting for this one, I had to contact this insurance because greater damage could therefore occur fees and rebelote for the expert that is also produced for the vehicle
Leave this insurance and see more interesting on comparative sites</v>
      </c>
    </row>
    <row r="704" ht="15.75" customHeight="1">
      <c r="B704" s="2" t="s">
        <v>2040</v>
      </c>
      <c r="C704" s="2" t="s">
        <v>2041</v>
      </c>
      <c r="D704" s="2" t="s">
        <v>1948</v>
      </c>
      <c r="E704" s="2" t="s">
        <v>14</v>
      </c>
      <c r="F704" s="2" t="s">
        <v>15</v>
      </c>
      <c r="G704" s="2" t="s">
        <v>757</v>
      </c>
      <c r="H704" s="2" t="s">
        <v>17</v>
      </c>
      <c r="I704" s="2" t="str">
        <f>IFERROR(__xludf.DUMMYFUNCTION("GOOGLETRANSLATE(C704,""fr"",""en"")"),"A shame ... For 3 years assured at the Macif I need them for a case of broken glasses in college (my daughter's bezel in 3rd). 3h00 on the phone without any results. Each time not the right service ... when it does not cut .... incompetence at all levels."&amp;" Not go, and for those who are still there, good luck")</f>
        <v>A shame ... For 3 years assured at the Macif I need them for a case of broken glasses in college (my daughter's bezel in 3rd). 3h00 on the phone without any results. Each time not the right service ... when it does not cut .... incompetence at all levels. Not go, and for those who are still there, good luck</v>
      </c>
    </row>
    <row r="705" ht="15.75" customHeight="1">
      <c r="B705" s="2" t="s">
        <v>2042</v>
      </c>
      <c r="C705" s="2" t="s">
        <v>2043</v>
      </c>
      <c r="D705" s="2" t="s">
        <v>1948</v>
      </c>
      <c r="E705" s="2" t="s">
        <v>14</v>
      </c>
      <c r="F705" s="2" t="s">
        <v>15</v>
      </c>
      <c r="G705" s="2" t="s">
        <v>1600</v>
      </c>
      <c r="H705" s="2" t="s">
        <v>21</v>
      </c>
      <c r="I705" s="2" t="str">
        <f>IFERROR(__xludf.DUMMYFUNCTION("GOOGLETRANSLATE(C705,""fr"",""en"")"),"Insurance that goes well as long as there is no problem, no individualized follow -up, a company which applies generalized legislation which unfortunately does not take into account the case by case, customer service (advisers) which saves furniture and w"&amp;"hich tries to do its possible in a managerial policy that aims only profitability and profit. One wonders who Macif seeks to insure between herself and its customers
Very disappointing especially after 15 years as a member, I am about to leave them witho"&amp;"ut regret")</f>
        <v>Insurance that goes well as long as there is no problem, no individualized follow -up, a company which applies generalized legislation which unfortunately does not take into account the case by case, customer service (advisers) which saves furniture and which tries to do its possible in a managerial policy that aims only profitability and profit. One wonders who Macif seeks to insure between herself and its customers
Very disappointing especially after 15 years as a member, I am about to leave them without regret</v>
      </c>
    </row>
    <row r="706" ht="15.75" customHeight="1">
      <c r="B706" s="2" t="s">
        <v>2044</v>
      </c>
      <c r="C706" s="2" t="s">
        <v>2045</v>
      </c>
      <c r="D706" s="2" t="s">
        <v>1948</v>
      </c>
      <c r="E706" s="2" t="s">
        <v>14</v>
      </c>
      <c r="F706" s="2" t="s">
        <v>15</v>
      </c>
      <c r="G706" s="2" t="s">
        <v>2046</v>
      </c>
      <c r="H706" s="2" t="s">
        <v>21</v>
      </c>
      <c r="I706" s="2" t="str">
        <f>IFERROR(__xludf.DUMMYFUNCTION("GOOGLETRANSLATE(C706,""fr"",""en"")"),"Hello,
I learned about your mail for the 2nd time! I confirm that my tires are 1 millimeter above the witness at the front and the witness at the rear therefore to be replaced and not dangerous.
I remind you that in thirty years of license and millions "&amp;"of kilometer, I have never declared the slightest claim.
After riding on the truck tire in the middle of the night on the left track of the A20 motorway, I declared a disaster whose history I do you:
- Expertise in the BMW 530D Luxury in a Peugeot garag"&amp;"e ?????? On 10/10/20 by Lang and associates: expertise botched by your expert who has not determined where the noise came under the car, simply decided not to repair it! Without forgetting, however, to note the condition of the tires which are to be repla"&amp;"ced at the back, but in no case dangerous.
- Following our call to ask you if however you did not take us for fools! You must have diligent a second expert on Tuesday 01/17/20 which noted the noise in the back without being able to determine the cause. N"&amp;"evertheless he had the intelligence to put it at BMW! which solves the problem without any difficulty.
- Back to Peugeot on Thursday 3/12/20 for bodywork.
- I was able to recover my vehicle on Wednesday 09/12/20 or 1 month after the first expertise! I r"&amp;"emind you that it is my professional vehicle, so I could not honor my appointments for 1 month!
Thank you for terminating my contract for the one and only reason that my rear tires were to be replaced, but rest assured I went faster than you because I as"&amp;"ked for the termination of all my Macif contracts because of your incompeance! !!
I also ask you to send me an information record during the day.
A copy of this email will be sent to my lawyer and deposited on all customer reviews, Ainci that on the for"&amp;"um I am a joint…. I hear a maximum of insured of your methods.
A good hearing ……
")</f>
        <v>Hello,
I learned about your mail for the 2nd time! I confirm that my tires are 1 millimeter above the witness at the front and the witness at the rear therefore to be replaced and not dangerous.
I remind you that in thirty years of license and millions of kilometer, I have never declared the slightest claim.
After riding on the truck tire in the middle of the night on the left track of the A20 motorway, I declared a disaster whose history I do you:
- Expertise in the BMW 530D Luxury in a Peugeot garage ?????? On 10/10/20 by Lang and associates: expertise botched by your expert who has not determined where the noise came under the car, simply decided not to repair it! Without forgetting, however, to note the condition of the tires which are to be replaced at the back, but in no case dangerous.
- Following our call to ask you if however you did not take us for fools! You must have diligent a second expert on Tuesday 01/17/20 which noted the noise in the back without being able to determine the cause. Nevertheless he had the intelligence to put it at BMW! which solves the problem without any difficulty.
- Back to Peugeot on Thursday 3/12/20 for bodywork.
- I was able to recover my vehicle on Wednesday 09/12/20 or 1 month after the first expertise! I remind you that it is my professional vehicle, so I could not honor my appointments for 1 month!
Thank you for terminating my contract for the one and only reason that my rear tires were to be replaced, but rest assured I went faster than you because I asked for the termination of all my Macif contracts because of your incompeance! !!
I also ask you to send me an information record during the day.
A copy of this email will be sent to my lawyer and deposited on all customer reviews, Ainci that on the forum I am a joint…. I hear a maximum of insured of your methods.
A good hearing ……
</v>
      </c>
    </row>
    <row r="707" ht="15.75" customHeight="1">
      <c r="B707" s="2" t="s">
        <v>2047</v>
      </c>
      <c r="C707" s="2" t="s">
        <v>2048</v>
      </c>
      <c r="D707" s="2" t="s">
        <v>1948</v>
      </c>
      <c r="E707" s="2" t="s">
        <v>14</v>
      </c>
      <c r="F707" s="2" t="s">
        <v>15</v>
      </c>
      <c r="G707" s="2" t="s">
        <v>408</v>
      </c>
      <c r="H707" s="2" t="s">
        <v>21</v>
      </c>
      <c r="I707" s="2" t="str">
        <f>IFERROR(__xludf.DUMMYFUNCTION("GOOGLETRANSLATE(C707,""fr"",""en"")"),"I never had a claim, so I can't judge them on this point.
What I can say is that they have a bliser tendency to say everything and its opposite to the phone: reimbursement on a side by telling myself that I will be able to adjust the balance next time "&amp;"but downplay then in recovery, while I Their recalling their telephonic commitment, which they did not have trace in my history ...
Especially since given the situation, the times are hard and I told them that I could adjust them in several times, and "&amp;"as an answer, I am swinging a covering company ... nice the Macif!")</f>
        <v>I never had a claim, so I can't judge them on this point.
What I can say is that they have a bliser tendency to say everything and its opposite to the phone: reimbursement on a side by telling myself that I will be able to adjust the balance next time but downplay then in recovery, while I Their recalling their telephonic commitment, which they did not have trace in my history ...
Especially since given the situation, the times are hard and I told them that I could adjust them in several times, and as an answer, I am swinging a covering company ... nice the Macif!</v>
      </c>
    </row>
    <row r="708" ht="15.75" customHeight="1">
      <c r="B708" s="2" t="s">
        <v>2049</v>
      </c>
      <c r="C708" s="2" t="s">
        <v>2050</v>
      </c>
      <c r="D708" s="2" t="s">
        <v>1948</v>
      </c>
      <c r="E708" s="2" t="s">
        <v>14</v>
      </c>
      <c r="F708" s="2" t="s">
        <v>15</v>
      </c>
      <c r="G708" s="2" t="s">
        <v>408</v>
      </c>
      <c r="H708" s="2" t="s">
        <v>21</v>
      </c>
      <c r="I708" s="2" t="str">
        <f>IFERROR(__xludf.DUMMYFUNCTION("GOOGLETRANSLATE(C708,""fr"",""en"")"),"Non -negotiable price because ""it is insurance that belongs to its customers and which offers Meileurs Price"" while I pay € 46 per month for a 2011 car and with which I drive almost not and that with their competitor. € 22 per month.
And do not have th"&amp;"e misfortune to tell them that a contract interests you because that is the contract is signed without signature, Rib, no paper (but I already had other contracts so the RIB they had it). And of course, they sent me paid third -party cards so forced to se"&amp;"nd them back or go there to be able to terminate the contract. It becomes anything. There was a time when the Macif was good. Today, to flee!")</f>
        <v>Non -negotiable price because "it is insurance that belongs to its customers and which offers Meileurs Price" while I pay € 46 per month for a 2011 car and with which I drive almost not and that with their competitor. € 22 per month.
And do not have the misfortune to tell them that a contract interests you because that is the contract is signed without signature, Rib, no paper (but I already had other contracts so the RIB they had it). And of course, they sent me paid third -party cards so forced to send them back or go there to be able to terminate the contract. It becomes anything. There was a time when the Macif was good. Today, to flee!</v>
      </c>
    </row>
    <row r="709" ht="15.75" customHeight="1">
      <c r="B709" s="2" t="s">
        <v>2051</v>
      </c>
      <c r="C709" s="2" t="s">
        <v>2052</v>
      </c>
      <c r="D709" s="2" t="s">
        <v>1948</v>
      </c>
      <c r="E709" s="2" t="s">
        <v>14</v>
      </c>
      <c r="F709" s="2" t="s">
        <v>15</v>
      </c>
      <c r="G709" s="2" t="s">
        <v>1283</v>
      </c>
      <c r="H709" s="2" t="s">
        <v>21</v>
      </c>
      <c r="I709" s="2" t="str">
        <f>IFERROR(__xludf.DUMMYFUNCTION("GOOGLETRANSLATE(C709,""fr"",""en"")"),"Very poor compensation following an automotive disaster.
My son had an accident with one of our vehicles, and it was declared economically irreparable. This vehicle was in perfect condition before the accident (1 year and four months with 21,000 km). Ins"&amp;"urance paid us 1250 euros less than the market value (deductible of € 250 included). Suffice to say that it was impossible to replace this vehicle with the same occasion !!! Macif member for more than thirty years, I clearly plan to change the cremerie, a"&amp;"nd I strongly advise you to do the same.")</f>
        <v>Very poor compensation following an automotive disaster.
My son had an accident with one of our vehicles, and it was declared economically irreparable. This vehicle was in perfect condition before the accident (1 year and four months with 21,000 km). Insurance paid us 1250 euros less than the market value (deductible of € 250 included). Suffice to say that it was impossible to replace this vehicle with the same occasion !!! Macif member for more than thirty years, I clearly plan to change the cremerie, and I strongly advise you to do the same.</v>
      </c>
    </row>
    <row r="710" ht="15.75" customHeight="1">
      <c r="B710" s="2" t="s">
        <v>2053</v>
      </c>
      <c r="C710" s="2" t="s">
        <v>2054</v>
      </c>
      <c r="D710" s="2" t="s">
        <v>1948</v>
      </c>
      <c r="E710" s="2" t="s">
        <v>14</v>
      </c>
      <c r="F710" s="2" t="s">
        <v>15</v>
      </c>
      <c r="G710" s="2" t="s">
        <v>27</v>
      </c>
      <c r="H710" s="2" t="s">
        <v>21</v>
      </c>
      <c r="I710" s="2" t="str">
        <f>IFERROR(__xludf.DUMMYFUNCTION("GOOGLETRANSLATE(C710,""fr"",""en"")"),"I am no longer at the Macif because I sold my vehicle and this is where things get complicated. We ask you to pay your subscription and you are verbally displayed that you will be deducted on a future contract the sum of Too perceived. I do not agree and "&amp;"for good reason, I sent a certificate of sale of the vehicle and after they are no longer there. I do not enter the consequences of this case because I am disappointed? At the reception to claim a situation statement and for good reason .... I am in the s"&amp;"econd driver on the vehicle of my concubine and this for more than 20 years. Bien on the Macif too. And there I am answered. .... that it is my concubine who must request the statement.")</f>
        <v>I am no longer at the Macif because I sold my vehicle and this is where things get complicated. We ask you to pay your subscription and you are verbally displayed that you will be deducted on a future contract the sum of Too perceived. I do not agree and for good reason, I sent a certificate of sale of the vehicle and after they are no longer there. I do not enter the consequences of this case because I am disappointed? At the reception to claim a situation statement and for good reason .... I am in the second driver on the vehicle of my concubine and this for more than 20 years. Bien on the Macif too. And there I am answered. .... that it is my concubine who must request the statement.</v>
      </c>
    </row>
    <row r="711" ht="15.75" customHeight="1">
      <c r="B711" s="2" t="s">
        <v>2055</v>
      </c>
      <c r="C711" s="2" t="s">
        <v>2056</v>
      </c>
      <c r="D711" s="2" t="s">
        <v>1948</v>
      </c>
      <c r="E711" s="2" t="s">
        <v>14</v>
      </c>
      <c r="F711" s="2" t="s">
        <v>15</v>
      </c>
      <c r="G711" s="2" t="s">
        <v>2057</v>
      </c>
      <c r="H711" s="2" t="s">
        <v>31</v>
      </c>
      <c r="I711" s="2" t="str">
        <f>IFERROR(__xludf.DUMMYFUNCTION("GOOGLETRANSLATE(C711,""fr"",""en"")"),"I wish to share my dissatisfaction, basically if you need anything called the Macif and its advisers, no answer to the questions (despite a request for help: I ​​can do nothing about you the answer) Thank you to the legal service ...., several errors and "&amp;"bad advice I sent recommended to their request for nothing, since it was up to the Macif to do the necessary but the advisers attached to the phone we all kicked in touch, to that is Never of their fault or they can do nothing for us, mail to be redone be"&amp;"cause badly written or badly turned
Frankly I think go elsewhere despite the 25 -year frescoes insured at home, there are good people but frankly the bad advisers make them shade
")</f>
        <v>I wish to share my dissatisfaction, basically if you need anything called the Macif and its advisers, no answer to the questions (despite a request for help: I ​​can do nothing about you the answer) Thank you to the legal service ...., several errors and bad advice I sent recommended to their request for nothing, since it was up to the Macif to do the necessary but the advisers attached to the phone we all kicked in touch, to that is Never of their fault or they can do nothing for us, mail to be redone because badly written or badly turned
Frankly I think go elsewhere despite the 25 -year frescoes insured at home, there are good people but frankly the bad advisers make them shade
</v>
      </c>
    </row>
    <row r="712" ht="15.75" customHeight="1">
      <c r="B712" s="2" t="s">
        <v>2058</v>
      </c>
      <c r="C712" s="2" t="s">
        <v>2059</v>
      </c>
      <c r="D712" s="2" t="s">
        <v>1948</v>
      </c>
      <c r="E712" s="2" t="s">
        <v>14</v>
      </c>
      <c r="F712" s="2" t="s">
        <v>15</v>
      </c>
      <c r="G712" s="2" t="s">
        <v>2057</v>
      </c>
      <c r="H712" s="2" t="s">
        <v>31</v>
      </c>
      <c r="I712" s="2" t="str">
        <f>IFERROR(__xludf.DUMMYFUNCTION("GOOGLETRANSLATE(C712,""fr"",""en"")")," Faithful member of this mutual insurance company for over 30 years. I note a progressive degradation of services. An excessively long telephone waiting time ... and reimbursements of very complicated or even non -existent claims. We even wonder why we re"&amp;"gulate insurance contributions to be so poorly considered. damage and regrettable")</f>
        <v> Faithful member of this mutual insurance company for over 30 years. I note a progressive degradation of services. An excessively long telephone waiting time ... and reimbursements of very complicated or even non -existent claims. We even wonder why we regulate insurance contributions to be so poorly considered. damage and regrettable</v>
      </c>
    </row>
    <row r="713" ht="15.75" customHeight="1">
      <c r="B713" s="2" t="s">
        <v>2060</v>
      </c>
      <c r="C713" s="2" t="s">
        <v>2061</v>
      </c>
      <c r="D713" s="2" t="s">
        <v>1948</v>
      </c>
      <c r="E713" s="2" t="s">
        <v>14</v>
      </c>
      <c r="F713" s="2" t="s">
        <v>15</v>
      </c>
      <c r="G713" s="2" t="s">
        <v>2062</v>
      </c>
      <c r="H713" s="2" t="s">
        <v>31</v>
      </c>
      <c r="I713" s="2" t="str">
        <f>IFERROR(__xludf.DUMMYFUNCTION("GOOGLETRANSLATE(C713,""fr"",""en"")"),"Following a sinister (vehicle flight) The first surprise is to note that the flight is taken into account only if visible break -in (like fractured or broken neman, etc.) today there are means to open and start a car Without break -in, you should live wit"&amp;"h your time and update experts !! So sinister 6 months ago, practically nonexistent communication, unrecognized sinister, appointment of 4 experts and a bailiff (there is more expensive than the price of the car), I forgot I have been a member without cla"&amp;"im for 30 years. The Macif has changed well by abandoning the mutualist spirit (except in the pub, the last is magnificent). No respect to ensure it, if you want consideration and listening, go elsewhere")</f>
        <v>Following a sinister (vehicle flight) The first surprise is to note that the flight is taken into account only if visible break -in (like fractured or broken neman, etc.) today there are means to open and start a car Without break -in, you should live with your time and update experts !! So sinister 6 months ago, practically nonexistent communication, unrecognized sinister, appointment of 4 experts and a bailiff (there is more expensive than the price of the car), I forgot I have been a member without claim for 30 years. The Macif has changed well by abandoning the mutualist spirit (except in the pub, the last is magnificent). No respect to ensure it, if you want consideration and listening, go elsewhere</v>
      </c>
    </row>
    <row r="714" ht="15.75" customHeight="1">
      <c r="B714" s="2" t="s">
        <v>2063</v>
      </c>
      <c r="C714" s="2" t="s">
        <v>2064</v>
      </c>
      <c r="D714" s="2" t="s">
        <v>1948</v>
      </c>
      <c r="E714" s="2" t="s">
        <v>14</v>
      </c>
      <c r="F714" s="2" t="s">
        <v>15</v>
      </c>
      <c r="G714" s="2" t="s">
        <v>419</v>
      </c>
      <c r="H714" s="2" t="s">
        <v>31</v>
      </c>
      <c r="I714" s="2" t="str">
        <f>IFERROR(__xludf.DUMMYFUNCTION("GOOGLETRANSLATE(C714,""fr"",""en"")"),"Price interesting a few years ago today the concurrence is strong I see the prices for April with regard to the covid 19 No effort on your part while certain conconent make either reimbursement or reduction of contributions to one did not more customers s"&amp;"ee campsites because this year see 4 to 5 months without leaving the garage Find the error
Francis Courgeon")</f>
        <v>Price interesting a few years ago today the concurrence is strong I see the prices for April with regard to the covid 19 No effort on your part while certain conconent make either reimbursement or reduction of contributions to one did not more customers see campsites because this year see 4 to 5 months without leaving the garage Find the error
Francis Courgeon</v>
      </c>
    </row>
    <row r="715" ht="15.75" customHeight="1">
      <c r="B715" s="2" t="s">
        <v>2065</v>
      </c>
      <c r="C715" s="2" t="s">
        <v>2066</v>
      </c>
      <c r="D715" s="2" t="s">
        <v>1948</v>
      </c>
      <c r="E715" s="2" t="s">
        <v>14</v>
      </c>
      <c r="F715" s="2" t="s">
        <v>15</v>
      </c>
      <c r="G715" s="2" t="s">
        <v>794</v>
      </c>
      <c r="H715" s="2" t="s">
        <v>31</v>
      </c>
      <c r="I715" s="2" t="str">
        <f>IFERROR(__xludf.DUMMYFUNCTION("GOOGLETRANSLATE(C715,""fr"",""en"")"),"Excellent customer service, efficient and welcoming, reasonable waiting time. The management interface is simple to use. Another important point is Macif flexibility compared to specific cases as it was mine with European foreign insurance that was taken "&amp;"into account for the calculation of the bonus/penalty that was completely logical given my past experience and the lack of claims. The only downside is the price for vehicles above the average range, the difference can be very large, in my case almost 30t"&amp;"h per month.")</f>
        <v>Excellent customer service, efficient and welcoming, reasonable waiting time. The management interface is simple to use. Another important point is Macif flexibility compared to specific cases as it was mine with European foreign insurance that was taken into account for the calculation of the bonus/penalty that was completely logical given my past experience and the lack of claims. The only downside is the price for vehicles above the average range, the difference can be very large, in my case almost 30th per month.</v>
      </c>
    </row>
    <row r="716" ht="15.75" customHeight="1">
      <c r="B716" s="2" t="s">
        <v>2067</v>
      </c>
      <c r="C716" s="2" t="s">
        <v>2068</v>
      </c>
      <c r="D716" s="2" t="s">
        <v>1948</v>
      </c>
      <c r="E716" s="2" t="s">
        <v>14</v>
      </c>
      <c r="F716" s="2" t="s">
        <v>15</v>
      </c>
      <c r="G716" s="2" t="s">
        <v>2069</v>
      </c>
      <c r="H716" s="2" t="s">
        <v>31</v>
      </c>
      <c r="I716" s="2" t="str">
        <f>IFERROR(__xludf.DUMMYFUNCTION("GOOGLETRANSLATE(C716,""fr"",""en"")"),"Very disappointed with insurance because do not want my used vehicle to fire me. Because I am not proof of payment to provide. Shame")</f>
        <v>Very disappointed with insurance because do not want my used vehicle to fire me. Because I am not proof of payment to provide. Shame</v>
      </c>
    </row>
    <row r="717" ht="15.75" customHeight="1">
      <c r="B717" s="2" t="s">
        <v>2070</v>
      </c>
      <c r="C717" s="2" t="s">
        <v>2071</v>
      </c>
      <c r="D717" s="2" t="s">
        <v>1948</v>
      </c>
      <c r="E717" s="2" t="s">
        <v>14</v>
      </c>
      <c r="F717" s="2" t="s">
        <v>15</v>
      </c>
      <c r="G717" s="2" t="s">
        <v>1290</v>
      </c>
      <c r="H717" s="2" t="s">
        <v>49</v>
      </c>
      <c r="I717" s="2" t="str">
        <f>IFERROR(__xludf.DUMMYFUNCTION("GOOGLETRANSLATE(C717,""fr"",""en"")"),"Not at all responsive,
Higher price of at least 20% on Direct Insurance,
Partners (expert) unreliable and fluctuating repairs.
Like any good insurer, would be ready to offer you an umbrella in the heat wave.
In short, if we need nothing, they are ther"&amp;"e.
Clearly, not at all reassuring, nor present.")</f>
        <v>Not at all responsive,
Higher price of at least 20% on Direct Insurance,
Partners (expert) unreliable and fluctuating repairs.
Like any good insurer, would be ready to offer you an umbrella in the heat wave.
In short, if we need nothing, they are there.
Clearly, not at all reassuring, nor present.</v>
      </c>
    </row>
    <row r="718" ht="15.75" customHeight="1">
      <c r="B718" s="2" t="s">
        <v>2072</v>
      </c>
      <c r="C718" s="2" t="s">
        <v>2073</v>
      </c>
      <c r="D718" s="2" t="s">
        <v>1948</v>
      </c>
      <c r="E718" s="2" t="s">
        <v>14</v>
      </c>
      <c r="F718" s="2" t="s">
        <v>15</v>
      </c>
      <c r="G718" s="2" t="s">
        <v>1290</v>
      </c>
      <c r="H718" s="2" t="s">
        <v>49</v>
      </c>
      <c r="I718" s="2" t="str">
        <f>IFERROR(__xludf.DUMMYFUNCTION("GOOGLETRANSLATE(C718,""fr"",""en"")"),"Excellent insurance that meets my expectations. The prices are sometimes a little high, but it remains within correct limits. I just hope that the prices will not increase because I would not grasp the reasons. As far as I'm concerned, it is above all the"&amp;" outside which is well guaranteed. So I am satisfied. Refunds are satisfactory. The interventions are satisfactory. Telephone reports are good.")</f>
        <v>Excellent insurance that meets my expectations. The prices are sometimes a little high, but it remains within correct limits. I just hope that the prices will not increase because I would not grasp the reasons. As far as I'm concerned, it is above all the outside which is well guaranteed. So I am satisfied. Refunds are satisfactory. The interventions are satisfactory. Telephone reports are good.</v>
      </c>
    </row>
    <row r="719" ht="15.75" customHeight="1">
      <c r="B719" s="2" t="s">
        <v>2074</v>
      </c>
      <c r="C719" s="2" t="s">
        <v>2075</v>
      </c>
      <c r="D719" s="2" t="s">
        <v>1948</v>
      </c>
      <c r="E719" s="2" t="s">
        <v>14</v>
      </c>
      <c r="F719" s="2" t="s">
        <v>15</v>
      </c>
      <c r="G719" s="2" t="s">
        <v>52</v>
      </c>
      <c r="H719" s="2" t="s">
        <v>49</v>
      </c>
      <c r="I719" s="2" t="str">
        <f>IFERROR(__xludf.DUMMYFUNCTION("GOOGLETRANSLATE(C719,""fr"",""en"")"),"Regarding a debt of my son I went to the Macif agency I was told that we had to see with the social seat what I did we told me we remind you of the day I always wait several Days after I called them again yes yes we remind you of the day but never had a p"&amp;"hone call from them it is more than 6 months and the debt is at the bailiff I have been insured for a very long time but I will go to see elsewhere")</f>
        <v>Regarding a debt of my son I went to the Macif agency I was told that we had to see with the social seat what I did we told me we remind you of the day I always wait several Days after I called them again yes yes we remind you of the day but never had a phone call from them it is more than 6 months and the debt is at the bailiff I have been insured for a very long time but I will go to see elsewhere</v>
      </c>
    </row>
    <row r="720" ht="15.75" customHeight="1">
      <c r="B720" s="2" t="s">
        <v>2076</v>
      </c>
      <c r="C720" s="2" t="s">
        <v>2077</v>
      </c>
      <c r="D720" s="2" t="s">
        <v>1948</v>
      </c>
      <c r="E720" s="2" t="s">
        <v>14</v>
      </c>
      <c r="F720" s="2" t="s">
        <v>15</v>
      </c>
      <c r="G720" s="2" t="s">
        <v>2078</v>
      </c>
      <c r="H720" s="2" t="s">
        <v>49</v>
      </c>
      <c r="I720" s="2" t="str">
        <f>IFERROR(__xludf.DUMMYFUNCTION("GOOGLETRANSLATE(C720,""fr"",""en"")"),"Well it will be quite fast, I have an appointment at 10 a.m.
I present myself at 9:55 am I am told that Mrs. Fanny will arrive.
10:27 am still no one ??? So I had a gentleman to tell him that I could not wait any longer and that the appointment was at 1"&amp;"0am !! I left we had to remember today and I still wait !!!!")</f>
        <v>Well it will be quite fast, I have an appointment at 10 a.m.
I present myself at 9:55 am I am told that Mrs. Fanny will arrive.
10:27 am still no one ??? So I had a gentleman to tell him that I could not wait any longer and that the appointment was at 10am !! I left we had to remember today and I still wait !!!!</v>
      </c>
    </row>
    <row r="721" ht="15.75" customHeight="1">
      <c r="B721" s="2" t="s">
        <v>2079</v>
      </c>
      <c r="C721" s="2" t="s">
        <v>2080</v>
      </c>
      <c r="D721" s="2" t="s">
        <v>1948</v>
      </c>
      <c r="E721" s="2" t="s">
        <v>14</v>
      </c>
      <c r="F721" s="2" t="s">
        <v>15</v>
      </c>
      <c r="G721" s="2" t="s">
        <v>422</v>
      </c>
      <c r="H721" s="2" t="s">
        <v>49</v>
      </c>
      <c r="I721" s="2" t="str">
        <f>IFERROR(__xludf.DUMMYFUNCTION("GOOGLETRANSLATE(C721,""fr"",""en"")"),"Among the cheapest on the market, but drawing contracts with franchises difficult to compare, and no monitoring of the customer, treated as a ""member"" and not as a customer.")</f>
        <v>Among the cheapest on the market, but drawing contracts with franchises difficult to compare, and no monitoring of the customer, treated as a "member" and not as a customer.</v>
      </c>
    </row>
    <row r="722" ht="15.75" customHeight="1">
      <c r="B722" s="2" t="s">
        <v>2081</v>
      </c>
      <c r="C722" s="2" t="s">
        <v>2082</v>
      </c>
      <c r="D722" s="2" t="s">
        <v>1948</v>
      </c>
      <c r="E722" s="2" t="s">
        <v>14</v>
      </c>
      <c r="F722" s="2" t="s">
        <v>15</v>
      </c>
      <c r="G722" s="2" t="s">
        <v>805</v>
      </c>
      <c r="H722" s="2" t="s">
        <v>49</v>
      </c>
      <c r="I722" s="2" t="str">
        <f>IFERROR(__xludf.DUMMYFUNCTION("GOOGLETRANSLATE(C722,""fr"",""en"")"),"Disrespectful advisers. Doubling expertise (even when you are not wrong and the damage is minimal). I understand better why this insurance is among the best in terms of turnover. But as soon as you need them, do not count. In their eyes we are all insuran"&amp;"ce fraudsters.
I am so disgusted by this insurance that I decided to repair my car from my pocket and change my insurance. It was more than 15 years since I was at the Macif. But obviously when you pay for 15 years without needing to use insurance, you a"&amp;"re a great customer (pigeon)")</f>
        <v>Disrespectful advisers. Doubling expertise (even when you are not wrong and the damage is minimal). I understand better why this insurance is among the best in terms of turnover. But as soon as you need them, do not count. In their eyes we are all insurance fraudsters.
I am so disgusted by this insurance that I decided to repair my car from my pocket and change my insurance. It was more than 15 years since I was at the Macif. But obviously when you pay for 15 years without needing to use insurance, you are a great customer (pigeon)</v>
      </c>
    </row>
    <row r="723" ht="15.75" customHeight="1">
      <c r="B723" s="2" t="s">
        <v>2083</v>
      </c>
      <c r="C723" s="2" t="s">
        <v>2084</v>
      </c>
      <c r="D723" s="2" t="s">
        <v>1948</v>
      </c>
      <c r="E723" s="2" t="s">
        <v>14</v>
      </c>
      <c r="F723" s="2" t="s">
        <v>15</v>
      </c>
      <c r="G723" s="2" t="s">
        <v>1623</v>
      </c>
      <c r="H723" s="2" t="s">
        <v>49</v>
      </c>
      <c r="I723" s="2" t="str">
        <f>IFERROR(__xludf.DUMMYFUNCTION("GOOGLETRANSLATE(C723,""fr"",""en"")"),"You should never have problems with them and I can say that they are people of bad times !!
I have been insured with them for over 30 years, I left 3 years, but what bullshit when I came back!
Do not come here, there is much better elsewhere, I will lea"&amp;"ve because I am tired of the incompetent etc .....")</f>
        <v>You should never have problems with them and I can say that they are people of bad times !!
I have been insured with them for over 30 years, I left 3 years, but what bullshit when I came back!
Do not come here, there is much better elsewhere, I will leave because I am tired of the incompetent etc .....</v>
      </c>
    </row>
    <row r="724" ht="15.75" customHeight="1">
      <c r="B724" s="2" t="s">
        <v>2085</v>
      </c>
      <c r="C724" s="2" t="s">
        <v>2086</v>
      </c>
      <c r="D724" s="2" t="s">
        <v>1948</v>
      </c>
      <c r="E724" s="2" t="s">
        <v>14</v>
      </c>
      <c r="F724" s="2" t="s">
        <v>15</v>
      </c>
      <c r="G724" s="2" t="s">
        <v>2087</v>
      </c>
      <c r="H724" s="2" t="s">
        <v>49</v>
      </c>
      <c r="I724" s="2" t="str">
        <f>IFERROR(__xludf.DUMMYFUNCTION("GOOGLETRANSLATE(C724,""fr"",""en"")"),"Flee to Banir a truck returned to me and he tells me that I am at fault because I come from an insertion route out that I was already placed in front of the truck when he struck me from the back")</f>
        <v>Flee to Banir a truck returned to me and he tells me that I am at fault because I come from an insertion route out that I was already placed in front of the truck when he struck me from the back</v>
      </c>
    </row>
    <row r="725" ht="15.75" customHeight="1">
      <c r="B725" s="2" t="s">
        <v>2088</v>
      </c>
      <c r="C725" s="2" t="s">
        <v>2089</v>
      </c>
      <c r="D725" s="2" t="s">
        <v>1948</v>
      </c>
      <c r="E725" s="2" t="s">
        <v>14</v>
      </c>
      <c r="F725" s="2" t="s">
        <v>15</v>
      </c>
      <c r="G725" s="2" t="s">
        <v>49</v>
      </c>
      <c r="H725" s="2" t="s">
        <v>49</v>
      </c>
      <c r="I725" s="2" t="str">
        <f>IFERROR(__xludf.DUMMYFUNCTION("GOOGLETRANSLATE(C725,""fr"",""en"")"),"Vehicle blocked in an approved garage for 4 days, following a degradation, nothing advances, I am blocked in a city that is not mine. On 0800774774 I am told that they cannot act on the garage approved by you and that because of the covid, the garages hav"&amp;"e been late !!!!!! Unacceptable")</f>
        <v>Vehicle blocked in an approved garage for 4 days, following a degradation, nothing advances, I am blocked in a city that is not mine. On 0800774774 I am told that they cannot act on the garage approved by you and that because of the covid, the garages have been late !!!!!! Unacceptable</v>
      </c>
    </row>
    <row r="726" ht="15.75" customHeight="1">
      <c r="B726" s="2" t="s">
        <v>2090</v>
      </c>
      <c r="C726" s="2" t="s">
        <v>2091</v>
      </c>
      <c r="D726" s="2" t="s">
        <v>1948</v>
      </c>
      <c r="E726" s="2" t="s">
        <v>14</v>
      </c>
      <c r="F726" s="2" t="s">
        <v>15</v>
      </c>
      <c r="G726" s="2" t="s">
        <v>1626</v>
      </c>
      <c r="H726" s="2" t="s">
        <v>56</v>
      </c>
      <c r="I726" s="2" t="str">
        <f>IFERROR(__xludf.DUMMYFUNCTION("GOOGLETRANSLATE(C726,""fr"",""en"")"),"Following the disaster of my father, the Macif was incompetent, many poor workmanships were made on my father's vehicle in a garage approved by the Macif after two years, certain poor workmanships are still present! And despite many trips and repairs In a"&amp;"nother shameful garage! After many unanswered calls it is wearing! myself and my father are thinking of changing insurer. I strongly advise against the Macif.")</f>
        <v>Following the disaster of my father, the Macif was incompetent, many poor workmanships were made on my father's vehicle in a garage approved by the Macif after two years, certain poor workmanships are still present! And despite many trips and repairs In another shameful garage! After many unanswered calls it is wearing! myself and my father are thinking of changing insurer. I strongly advise against the Macif.</v>
      </c>
    </row>
    <row r="727" ht="15.75" customHeight="1">
      <c r="B727" s="2" t="s">
        <v>2092</v>
      </c>
      <c r="C727" s="2" t="s">
        <v>2093</v>
      </c>
      <c r="D727" s="2" t="s">
        <v>1948</v>
      </c>
      <c r="E727" s="2" t="s">
        <v>14</v>
      </c>
      <c r="F727" s="2" t="s">
        <v>15</v>
      </c>
      <c r="G727" s="2" t="s">
        <v>2094</v>
      </c>
      <c r="H727" s="2" t="s">
        <v>56</v>
      </c>
      <c r="I727" s="2" t="str">
        <f>IFERROR(__xludf.DUMMYFUNCTION("GOOGLETRANSLATE(C727,""fr"",""en"")"),"I have been assured Macif for almost 20 years. The advisers are quickly available and ask you the right questions. Fortunately I had few claims but these were regulated normally after the company's passage. Annual bonuses depending on the guarantees and t"&amp;"he bonus are at a good level.")</f>
        <v>I have been assured Macif for almost 20 years. The advisers are quickly available and ask you the right questions. Fortunately I had few claims but these were regulated normally after the company's passage. Annual bonuses depending on the guarantees and the bonus are at a good level.</v>
      </c>
    </row>
    <row r="728" ht="15.75" customHeight="1">
      <c r="B728" s="2" t="s">
        <v>2095</v>
      </c>
      <c r="C728" s="2" t="s">
        <v>2096</v>
      </c>
      <c r="D728" s="2" t="s">
        <v>1948</v>
      </c>
      <c r="E728" s="2" t="s">
        <v>14</v>
      </c>
      <c r="F728" s="2" t="s">
        <v>15</v>
      </c>
      <c r="G728" s="2" t="s">
        <v>2097</v>
      </c>
      <c r="H728" s="2" t="s">
        <v>56</v>
      </c>
      <c r="I728" s="2" t="str">
        <f>IFERROR(__xludf.DUMMYFUNCTION("GOOGLETRANSLATE(C728,""fr"",""en"")"),"At 50, no self -disaster. I cannot ensure 2 or more cars in my name.
In addition, it is impossible to ensure a car of more than 100hp for my son who has more than 4 years of license without claims.")</f>
        <v>At 50, no self -disaster. I cannot ensure 2 or more cars in my name.
In addition, it is impossible to ensure a car of more than 100hp for my son who has more than 4 years of license without claims.</v>
      </c>
    </row>
    <row r="729" ht="15.75" customHeight="1">
      <c r="B729" s="2" t="s">
        <v>2098</v>
      </c>
      <c r="C729" s="2" t="s">
        <v>2099</v>
      </c>
      <c r="D729" s="2" t="s">
        <v>1948</v>
      </c>
      <c r="E729" s="2" t="s">
        <v>14</v>
      </c>
      <c r="F729" s="2" t="s">
        <v>15</v>
      </c>
      <c r="G729" s="2" t="s">
        <v>2100</v>
      </c>
      <c r="H729" s="2" t="s">
        <v>56</v>
      </c>
      <c r="I729" s="2" t="str">
        <f>IFERROR(__xludf.DUMMYFUNCTION("GOOGLETRANSLATE(C729,""fr"",""en"")"),"I have been at the Macif for over 10 years. I first had a self -loss (not responsible). I was a young driver, I was 19 years old. They took advantage of my ignorance and my youth to have the procedure dragged until the prescription ... Then I had a sinist"&amp;"er housing (not responsible). They refused to pay the damage saying that it was the owner's insurance to pay. Again, very disappointed. I made a request to terminate my contract following the sale of it. The request was made on July 22, 2020. We are on Se"&amp;"ptember 15 and I continue to be taken from my subscription every month. I relaunched them at least three times and I directly called customer service who told me that he could do nothing. I am extremely unhappy with the Macif. They have just won a lifelon"&amp;"g customer. They make low prices, I think the lowest on the market but when I see that none of my claims has been taken care of, I paid almost 15 and insurance for nothing. Which actually makes you very expensive!")</f>
        <v>I have been at the Macif for over 10 years. I first had a self -loss (not responsible). I was a young driver, I was 19 years old. They took advantage of my ignorance and my youth to have the procedure dragged until the prescription ... Then I had a sinister housing (not responsible). They refused to pay the damage saying that it was the owner's insurance to pay. Again, very disappointed. I made a request to terminate my contract following the sale of it. The request was made on July 22, 2020. We are on September 15 and I continue to be taken from my subscription every month. I relaunched them at least three times and I directly called customer service who told me that he could do nothing. I am extremely unhappy with the Macif. They have just won a lifelong customer. They make low prices, I think the lowest on the market but when I see that none of my claims has been taken care of, I paid almost 15 and insurance for nothing. Which actually makes you very expensive!</v>
      </c>
    </row>
    <row r="730" ht="15.75" customHeight="1">
      <c r="B730" s="2" t="s">
        <v>2101</v>
      </c>
      <c r="C730" s="2" t="s">
        <v>2102</v>
      </c>
      <c r="D730" s="2" t="s">
        <v>1948</v>
      </c>
      <c r="E730" s="2" t="s">
        <v>14</v>
      </c>
      <c r="F730" s="2" t="s">
        <v>15</v>
      </c>
      <c r="G730" s="2" t="s">
        <v>2103</v>
      </c>
      <c r="H730" s="2" t="s">
        <v>56</v>
      </c>
      <c r="I730" s="2" t="str">
        <f>IFERROR(__xludf.DUMMYFUNCTION("GOOGLETRANSLATE(C730,""fr"",""en"")"),"Insured for many years, I have undergone an act of vandalism on my car vehicle with police observation. Since the 1st quarter of 2019, no advance in my file. I am in any risk and still no compensation for a year and a half.
Another insurer informed me th"&amp;"at after 2 years there would be a prescription, and that is obviously what the Macif aims at with its total lack of diligence.
Only one conclusion: they take the money and never reimburse.")</f>
        <v>Insured for many years, I have undergone an act of vandalism on my car vehicle with police observation. Since the 1st quarter of 2019, no advance in my file. I am in any risk and still no compensation for a year and a half.
Another insurer informed me that after 2 years there would be a prescription, and that is obviously what the Macif aims at with its total lack of diligence.
Only one conclusion: they take the money and never reimburse.</v>
      </c>
    </row>
    <row r="731" ht="15.75" customHeight="1">
      <c r="B731" s="2" t="s">
        <v>2104</v>
      </c>
      <c r="C731" s="2" t="s">
        <v>2105</v>
      </c>
      <c r="D731" s="2" t="s">
        <v>1948</v>
      </c>
      <c r="E731" s="2" t="s">
        <v>14</v>
      </c>
      <c r="F731" s="2" t="s">
        <v>15</v>
      </c>
      <c r="G731" s="2" t="s">
        <v>1631</v>
      </c>
      <c r="H731" s="2" t="s">
        <v>56</v>
      </c>
      <c r="I731" s="2" t="str">
        <f>IFERROR(__xludf.DUMMYFUNCTION("GOOGLETRANSLATE(C731,""fr"",""en"")"),"Insured Macif for several years without any accident, I had a motorcycle accident last June with a guy who drives with a van and without insurance that cut off the road and guess the Macif seeks who is responsible !!! A joke the worst as I had neither wit"&amp;"nesses and no on -board webcam he put me 50/50 a shame know that if you get for this insurer he lets you fall to the first opportunity and will do everything to pay you nothing As for me, I change shop illegal ...")</f>
        <v>Insured Macif for several years without any accident, I had a motorcycle accident last June with a guy who drives with a van and without insurance that cut off the road and guess the Macif seeks who is responsible !!! A joke the worst as I had neither witnesses and no on -board webcam he put me 50/50 a shame know that if you get for this insurer he lets you fall to the first opportunity and will do everything to pay you nothing As for me, I change shop illegal ...</v>
      </c>
    </row>
    <row r="732" ht="15.75" customHeight="1">
      <c r="B732" s="2" t="s">
        <v>2106</v>
      </c>
      <c r="C732" s="2" t="s">
        <v>2107</v>
      </c>
      <c r="D732" s="2" t="s">
        <v>1948</v>
      </c>
      <c r="E732" s="2" t="s">
        <v>14</v>
      </c>
      <c r="F732" s="2" t="s">
        <v>15</v>
      </c>
      <c r="G732" s="2" t="s">
        <v>2108</v>
      </c>
      <c r="H732" s="2" t="s">
        <v>72</v>
      </c>
      <c r="I732" s="2" t="str">
        <f>IFERROR(__xludf.DUMMYFUNCTION("GOOGLETRANSLATE(C732,""fr"",""en"")"),"Hello. I am by union conviction in favor of mutuality for the risk coverage of people.
I am therefore an old Macif mutualist (my union organization being in the founding members)
I must see that the services rendered by the local agency on which I depen"&amp;"d are no longer what they were in the past ... Employees no longer take initiatives to support members who can have special problems. These are headquarters' file managers deal with specific contactless problems with the member who is only just a customer"&amp;" ... This is a reason for local agencies to disappear and that the relationship is ensured by a Robot on the internet is distressing.")</f>
        <v>Hello. I am by union conviction in favor of mutuality for the risk coverage of people.
I am therefore an old Macif mutualist (my union organization being in the founding members)
I must see that the services rendered by the local agency on which I depend are no longer what they were in the past ... Employees no longer take initiatives to support members who can have special problems. These are headquarters' file managers deal with specific contactless problems with the member who is only just a customer ... This is a reason for local agencies to disappear and that the relationship is ensured by a Robot on the internet is distressing.</v>
      </c>
    </row>
    <row r="733" ht="15.75" customHeight="1">
      <c r="B733" s="2" t="s">
        <v>2109</v>
      </c>
      <c r="C733" s="2" t="s">
        <v>2110</v>
      </c>
      <c r="D733" s="2" t="s">
        <v>1948</v>
      </c>
      <c r="E733" s="2" t="s">
        <v>14</v>
      </c>
      <c r="F733" s="2" t="s">
        <v>15</v>
      </c>
      <c r="G733" s="2" t="s">
        <v>81</v>
      </c>
      <c r="H733" s="2" t="s">
        <v>72</v>
      </c>
      <c r="I733" s="2" t="str">
        <f>IFERROR(__xludf.DUMMYFUNCTION("GOOGLETRANSLATE(C733,""fr"",""en"")"),"Following a long illness and unable to drive for more than 12 months (my car never left my garage throughout this period, I asked the Macif to kindly make a commercial gesture on the amount of my subscription to Insurance given my personal and especially "&amp;"financial situation (loss of 40% salary). Likewise, I wanted to terminate the pension insurance accident that I subscribed ... Niet! ... Everything has been to me refuse.
In addition, it was not granted to me (nor proposed) the reimbursement or exemption"&amp;" from the insurance premium following containment, as most insurances are committed to doing publicly. While I know that the Macif is one of them ... disappointed that they do not have the concern of their members. A story of money only, too bad!
My opin"&amp;"ion is clear.
I am assured Macif for accommodation, car and pension accident ... Annual bonus of 615, € 48. I am prospecting to make sure elsewhere. And am surprised by the much more advantageous rates that are offered to me ... from single to double.
L"&amp;"ogic !")</f>
        <v>Following a long illness and unable to drive for more than 12 months (my car never left my garage throughout this period, I asked the Macif to kindly make a commercial gesture on the amount of my subscription to Insurance given my personal and especially financial situation (loss of 40% salary). Likewise, I wanted to terminate the pension insurance accident that I subscribed ... Niet! ... Everything has been to me refuse.
In addition, it was not granted to me (nor proposed) the reimbursement or exemption from the insurance premium following containment, as most insurances are committed to doing publicly. While I know that the Macif is one of them ... disappointed that they do not have the concern of their members. A story of money only, too bad!
My opinion is clear.
I am assured Macif for accommodation, car and pension accident ... Annual bonus of 615, € 48. I am prospecting to make sure elsewhere. And am surprised by the much more advantageous rates that are offered to me ... from single to double.
Logic !</v>
      </c>
    </row>
    <row r="734" ht="15.75" customHeight="1">
      <c r="B734" s="2" t="s">
        <v>2111</v>
      </c>
      <c r="C734" s="2" t="s">
        <v>2112</v>
      </c>
      <c r="D734" s="2" t="s">
        <v>1948</v>
      </c>
      <c r="E734" s="2" t="s">
        <v>14</v>
      </c>
      <c r="F734" s="2" t="s">
        <v>15</v>
      </c>
      <c r="G734" s="2" t="s">
        <v>87</v>
      </c>
      <c r="H734" s="2" t="s">
        <v>72</v>
      </c>
      <c r="I734" s="2" t="str">
        <f>IFERROR(__xludf.DUMMYFUNCTION("GOOGLETRANSLATE(C734,""fr"",""en"")"),"Hello,
I will also share my experience. When I see some opinions I am really surprised.
In my case never had any problems. The advisers I had on the phone, really friendly and understanding.
There is just one ""but"". Recently I wanted to provide a n"&amp;"ew car to replace the current one. A more powerful car. I go from 5hp to 11hp. I make my request, ok no worries.
An advisor calls me to have more information, etc. Everything is going well. Except that my request goes into exemption, because I have less "&amp;"than 5 years of license. What I can understand. I ask him if it is possible that it was done quickly (I needed to have a certificate 15 days later). He says no problem, ""I put her in urgent request"". So, for my part, it's good, I just have to wait.
I'm"&amp;" waiting for a week, I am not a bonding. I manage to be patient.
But over the second week, I'm starting to worry. I need the certificate for the end of the week. I'm waiting for two days, but still no news. I call it directly because I want to be patient"&amp;", but there are limits.
And it is mainly to learn that I cannot be insured. On the phone no problem either and the very nice advisor. I have no complaints for customer service on the phone.
Not being able to insure the car, because too powerful I want t"&amp;"o accept it, but what I did not appreciate is not having had a return. If I had not decided to call, I think I would not have had a return and goodbye the car because the certificate is too important. So I left elsewhere. And no problem to ensure the car,"&amp;" which supris.
In short, if you want to ensure a car, don't be too patient like me.
")</f>
        <v>Hello,
I will also share my experience. When I see some opinions I am really surprised.
In my case never had any problems. The advisers I had on the phone, really friendly and understanding.
There is just one "but". Recently I wanted to provide a new car to replace the current one. A more powerful car. I go from 5hp to 11hp. I make my request, ok no worries.
An advisor calls me to have more information, etc. Everything is going well. Except that my request goes into exemption, because I have less than 5 years of license. What I can understand. I ask him if it is possible that it was done quickly (I needed to have a certificate 15 days later). He says no problem, "I put her in urgent request". So, for my part, it's good, I just have to wait.
I'm waiting for a week, I am not a bonding. I manage to be patient.
But over the second week, I'm starting to worry. I need the certificate for the end of the week. I'm waiting for two days, but still no news. I call it directly because I want to be patient, but there are limits.
And it is mainly to learn that I cannot be insured. On the phone no problem either and the very nice advisor. I have no complaints for customer service on the phone.
Not being able to insure the car, because too powerful I want to accept it, but what I did not appreciate is not having had a return. If I had not decided to call, I think I would not have had a return and goodbye the car because the certificate is too important. So I left elsewhere. And no problem to ensure the car, which supris.
In short, if you want to ensure a car, don't be too patient like me.
</v>
      </c>
    </row>
    <row r="735" ht="15.75" customHeight="1">
      <c r="B735" s="2" t="s">
        <v>2113</v>
      </c>
      <c r="C735" s="2" t="s">
        <v>2114</v>
      </c>
      <c r="D735" s="2" t="s">
        <v>1948</v>
      </c>
      <c r="E735" s="2" t="s">
        <v>14</v>
      </c>
      <c r="F735" s="2" t="s">
        <v>15</v>
      </c>
      <c r="G735" s="2" t="s">
        <v>87</v>
      </c>
      <c r="H735" s="2" t="s">
        <v>72</v>
      </c>
      <c r="I735" s="2" t="str">
        <f>IFERROR(__xludf.DUMMYFUNCTION("GOOGLETRANSLATE(C735,""fr"",""en"")"),"I put note 1 because we cannot go below. If I had been able I would even have gone into the negative !!
Following a road accident caused by another motorist, which dates back more than 1 year, no way to have the person in charge of the file on the phone "&amp;"... I have a different advisor on the phone every day, Who tells me that the person I try to reach is already online, or on vacation, or go Pissing !!
After having read the gendarmerie minutes which incriminates the other person, the Macif still decided "&amp;"that we were 100% in twists, and kindly reimbursed this brave man who returned to us is ruined our car. They preferred to reimburse this guy, with a big brand new sedan of barely 5000km, rather than our appraisal in not even € 2,000 ...
Even the advisers"&amp;" I have on the phone tell me that for them too it is the brothel, that they are not listened to, and that basically we tell them ""if you're not happy you break"".
It's really a shame")</f>
        <v>I put note 1 because we cannot go below. If I had been able I would even have gone into the negative !!
Following a road accident caused by another motorist, which dates back more than 1 year, no way to have the person in charge of the file on the phone ... I have a different advisor on the phone every day, Who tells me that the person I try to reach is already online, or on vacation, or go Pissing !!
After having read the gendarmerie minutes which incriminates the other person, the Macif still decided that we were 100% in twists, and kindly reimbursed this brave man who returned to us is ruined our car. They preferred to reimburse this guy, with a big brand new sedan of barely 5000km, rather than our appraisal in not even € 2,000 ...
Even the advisers I have on the phone tell me that for them too it is the brothel, that they are not listened to, and that basically we tell them "if you're not happy you break".
It's really a shame</v>
      </c>
    </row>
    <row r="736" ht="15.75" customHeight="1">
      <c r="B736" s="2" t="s">
        <v>2115</v>
      </c>
      <c r="C736" s="2" t="s">
        <v>2116</v>
      </c>
      <c r="D736" s="2" t="s">
        <v>1948</v>
      </c>
      <c r="E736" s="2" t="s">
        <v>14</v>
      </c>
      <c r="F736" s="2" t="s">
        <v>15</v>
      </c>
      <c r="G736" s="2" t="s">
        <v>2117</v>
      </c>
      <c r="H736" s="2" t="s">
        <v>72</v>
      </c>
      <c r="I736" s="2" t="str">
        <f>IFERROR(__xludf.DUMMYFUNCTION("GOOGLETRANSLATE(C736,""fr"",""en"")"),"I have been at the Macif for 10 years, I have never had a problem, well on August 8, 2020 my vehicle took fire almost by rolling there are witnesses fortunately the expert is already going and advise them in the top. We will see what it will give I will k"&amp;"eep you posted I hope not to have the misadventures of some.
I guarantee you that I am not a Macif running mate but a member given the number of bad comments.")</f>
        <v>I have been at the Macif for 10 years, I have never had a problem, well on August 8, 2020 my vehicle took fire almost by rolling there are witnesses fortunately the expert is already going and advise them in the top. We will see what it will give I will keep you posted I hope not to have the misadventures of some.
I guarantee you that I am not a Macif running mate but a member given the number of bad comments.</v>
      </c>
    </row>
    <row r="737" ht="15.75" customHeight="1">
      <c r="B737" s="2" t="s">
        <v>2118</v>
      </c>
      <c r="C737" s="2" t="s">
        <v>2119</v>
      </c>
      <c r="D737" s="2" t="s">
        <v>1948</v>
      </c>
      <c r="E737" s="2" t="s">
        <v>14</v>
      </c>
      <c r="F737" s="2" t="s">
        <v>15</v>
      </c>
      <c r="G737" s="2" t="s">
        <v>440</v>
      </c>
      <c r="H737" s="2" t="s">
        <v>72</v>
      </c>
      <c r="I737" s="2" t="str">
        <f>IFERROR(__xludf.DUMMYFUNCTION("GOOGLETRANSLATE(C737,""fr"",""en"")"),"I just registered for this insurance. A little by financial obligation, it must be admitted that they are quite competitive. However, I can already see that the service is deplorable !! We agree with a telephone appointment but do not recall, when you wan"&amp;"t to reach them it is extremely long and tiring !!
Everything I have to say for the moment ... Jettends to see the rest ...")</f>
        <v>I just registered for this insurance. A little by financial obligation, it must be admitted that they are quite competitive. However, I can already see that the service is deplorable !! We agree with a telephone appointment but do not recall, when you want to reach them it is extremely long and tiring !!
Everything I have to say for the moment ... Jettends to see the rest ...</v>
      </c>
    </row>
    <row r="738" ht="15.75" customHeight="1">
      <c r="B738" s="2" t="s">
        <v>2120</v>
      </c>
      <c r="C738" s="2" t="s">
        <v>2121</v>
      </c>
      <c r="D738" s="2" t="s">
        <v>1948</v>
      </c>
      <c r="E738" s="2" t="s">
        <v>14</v>
      </c>
      <c r="F738" s="2" t="s">
        <v>15</v>
      </c>
      <c r="G738" s="2" t="s">
        <v>829</v>
      </c>
      <c r="H738" s="2" t="s">
        <v>99</v>
      </c>
      <c r="I738" s="2" t="str">
        <f>IFERROR(__xludf.DUMMYFUNCTION("GOOGLETRANSLATE(C738,""fr"",""en"")"),"+20 years ""member"" with all risk auto contract 2 cars+housing. To flee ! 1st problem and the insurer plays on words so as not to compensate. The communication system is locked so no communication. There is a loss file manager for which you do not have t"&amp;"he number and therefore that you cannot call to explain. Obliged to go through central call which transmits to the manager. If you go to an agency, it's just a facade. Very welcome, good listening, understanding of the problem and advice share to finally "&amp;"tell you ""I make an account that I send to the manager"" so this is useless. Macif engagement for a partial refund (only the break of ice) to tell you at the end that not since the file was created in 1 claims and that it is refused we cannot take care o"&amp;"f what we were committed. In short, I repeat it to flee and that's what I am doing ....")</f>
        <v>+20 years "member" with all risk auto contract 2 cars+housing. To flee ! 1st problem and the insurer plays on words so as not to compensate. The communication system is locked so no communication. There is a loss file manager for which you do not have the number and therefore that you cannot call to explain. Obliged to go through central call which transmits to the manager. If you go to an agency, it's just a facade. Very welcome, good listening, understanding of the problem and advice share to finally tell you "I make an account that I send to the manager" so this is useless. Macif engagement for a partial refund (only the break of ice) to tell you at the end that not since the file was created in 1 claims and that it is refused we cannot take care of what we were committed. In short, I repeat it to flee and that's what I am doing ....</v>
      </c>
    </row>
    <row r="739" ht="15.75" customHeight="1">
      <c r="B739" s="2" t="s">
        <v>2122</v>
      </c>
      <c r="C739" s="2" t="s">
        <v>2123</v>
      </c>
      <c r="D739" s="2" t="s">
        <v>1948</v>
      </c>
      <c r="E739" s="2" t="s">
        <v>14</v>
      </c>
      <c r="F739" s="2" t="s">
        <v>15</v>
      </c>
      <c r="G739" s="2" t="s">
        <v>2124</v>
      </c>
      <c r="H739" s="2" t="s">
        <v>99</v>
      </c>
      <c r="I739" s="2" t="str">
        <f>IFERROR(__xludf.DUMMYFUNCTION("GOOGLETRANSLATE(C739,""fr"",""en"")"),"Having had an accident 600 km from my home (rolling vehicle just material) The observation was therefore made on site, sent to the Macif by email, and once returned to my home (1 week later) I had a Date for vehicle expertise.
Loan vehicle during repair "&amp;"deadlines and a check for € 20 rendered for 'compensation for immobilized vehicle' I was even very surprised to have this kind of gesture.
In terms of prices are expensive (very expensive) and the bonus only takes into account at the beginning of the yea"&amp;"r, so for 3 years young license, and until January 2021 I will pay my TJR contribution in young license while I have 0.85 bonuses and my contributions up to 2021 to 0.90 + necessarily the young driver's price.")</f>
        <v>Having had an accident 600 km from my home (rolling vehicle just material) The observation was therefore made on site, sent to the Macif by email, and once returned to my home (1 week later) I had a Date for vehicle expertise.
Loan vehicle during repair deadlines and a check for € 20 rendered for 'compensation for immobilized vehicle' I was even very surprised to have this kind of gesture.
In terms of prices are expensive (very expensive) and the bonus only takes into account at the beginning of the year, so for 3 years young license, and until January 2021 I will pay my TJR contribution in young license while I have 0.85 bonuses and my contributions up to 2021 to 0.90 + necessarily the young driver's price.</v>
      </c>
    </row>
    <row r="740" ht="15.75" customHeight="1">
      <c r="B740" s="2" t="s">
        <v>2125</v>
      </c>
      <c r="C740" s="2" t="s">
        <v>2126</v>
      </c>
      <c r="D740" s="2" t="s">
        <v>1948</v>
      </c>
      <c r="E740" s="2" t="s">
        <v>14</v>
      </c>
      <c r="F740" s="2" t="s">
        <v>15</v>
      </c>
      <c r="G740" s="2" t="s">
        <v>2127</v>
      </c>
      <c r="H740" s="2" t="s">
        <v>99</v>
      </c>
      <c r="I740" s="2" t="str">
        <f>IFERROR(__xludf.DUMMYFUNCTION("GOOGLETRANSLATE(C740,""fr"",""en"")"),"This day, 07/24/2020, telephone contact with a lady not at all kind, bordering on arrogance ... I have been waiting for a refund for several months following a Macif error and I am still At the starting point ... I am not at all satisfied with certain lit"&amp;"tle competent interlocutors and which one has the impression of disturbing when that comes out of their skills ...")</f>
        <v>This day, 07/24/2020, telephone contact with a lady not at all kind, bordering on arrogance ... I have been waiting for a refund for several months following a Macif error and I am still At the starting point ... I am not at all satisfied with certain little competent interlocutors and which one has the impression of disturbing when that comes out of their skills ...</v>
      </c>
    </row>
    <row r="741" ht="15.75" customHeight="1">
      <c r="B741" s="2" t="s">
        <v>2128</v>
      </c>
      <c r="C741" s="2" t="s">
        <v>2129</v>
      </c>
      <c r="D741" s="2" t="s">
        <v>1948</v>
      </c>
      <c r="E741" s="2" t="s">
        <v>14</v>
      </c>
      <c r="F741" s="2" t="s">
        <v>15</v>
      </c>
      <c r="G741" s="2" t="s">
        <v>2130</v>
      </c>
      <c r="H741" s="2" t="s">
        <v>99</v>
      </c>
      <c r="I741" s="2" t="str">
        <f>IFERROR(__xludf.DUMMYFUNCTION("GOOGLETRANSLATE(C741,""fr"",""en"")"),"Auto assistance by phone to flee! Be careful.")</f>
        <v>Auto assistance by phone to flee! Be careful.</v>
      </c>
    </row>
    <row r="742" ht="15.75" customHeight="1">
      <c r="B742" s="2" t="s">
        <v>2131</v>
      </c>
      <c r="C742" s="2" t="s">
        <v>2132</v>
      </c>
      <c r="D742" s="2" t="s">
        <v>1948</v>
      </c>
      <c r="E742" s="2" t="s">
        <v>14</v>
      </c>
      <c r="F742" s="2" t="s">
        <v>15</v>
      </c>
      <c r="G742" s="2" t="s">
        <v>99</v>
      </c>
      <c r="H742" s="2" t="s">
        <v>99</v>
      </c>
      <c r="I742" s="2" t="str">
        <f>IFERROR(__xludf.DUMMYFUNCTION("GOOGLETRANSLATE(C742,""fr"",""en"")"),"The company pays deadlines for a month over a new year when I had asked for a month before terminating refusal on their part
No latest commercial gesture with 10 years of seniority.
their calculation details are not clear")</f>
        <v>The company pays deadlines for a month over a new year when I had asked for a month before terminating refusal on their part
No latest commercial gesture with 10 years of seniority.
their calculation details are not clear</v>
      </c>
    </row>
    <row r="743" ht="15.75" customHeight="1">
      <c r="B743" s="2" t="s">
        <v>2133</v>
      </c>
      <c r="C743" s="2" t="s">
        <v>2134</v>
      </c>
      <c r="D743" s="2" t="s">
        <v>1948</v>
      </c>
      <c r="E743" s="2" t="s">
        <v>14</v>
      </c>
      <c r="F743" s="2" t="s">
        <v>15</v>
      </c>
      <c r="G743" s="2" t="s">
        <v>838</v>
      </c>
      <c r="H743" s="2" t="s">
        <v>112</v>
      </c>
      <c r="I743" s="2" t="str">
        <f>IFERROR(__xludf.DUMMYFUNCTION("GOOGLETRANSLATE(C743,""fr"",""en"")"),"Very disappointed and angry!
Auto insurance which is more a food for money than anything else!
6 years that I am a client with them, I never do anything.
I have a first claim that doesn't come from me! He told me clearly who will do nothing!
You p"&amp;"ay 60 €/month so that he does not even make a commercial gesture!
I strongly advise against.")</f>
        <v>Very disappointed and angry!
Auto insurance which is more a food for money than anything else!
6 years that I am a client with them, I never do anything.
I have a first claim that doesn't come from me! He told me clearly who will do nothing!
You pay 60 €/month so that he does not even make a commercial gesture!
I strongly advise against.</v>
      </c>
    </row>
    <row r="744" ht="15.75" customHeight="1">
      <c r="B744" s="2" t="s">
        <v>2135</v>
      </c>
      <c r="C744" s="2" t="s">
        <v>2136</v>
      </c>
      <c r="D744" s="2" t="s">
        <v>1948</v>
      </c>
      <c r="E744" s="2" t="s">
        <v>14</v>
      </c>
      <c r="F744" s="2" t="s">
        <v>15</v>
      </c>
      <c r="G744" s="2" t="s">
        <v>843</v>
      </c>
      <c r="H744" s="2" t="s">
        <v>112</v>
      </c>
      <c r="I744" s="2" t="str">
        <f>IFERROR(__xludf.DUMMYFUNCTION("GOOGLETRANSLATE(C744,""fr"",""en"")"),"Already insured for a vehicle I create a quote on the NDE La Macif site. Despite my online request to subscribe, I must call for this to be done. Mon interlocutor tries to sell me options that I do not need and goes so far as to say that it is compulsory.")</f>
        <v>Already insured for a vehicle I create a quote on the NDE La Macif site. Despite my online request to subscribe, I must call for this to be done. Mon interlocutor tries to sell me options that I do not need and goes so far as to say that it is compulsory.</v>
      </c>
    </row>
    <row r="745" ht="15.75" customHeight="1">
      <c r="B745" s="2" t="s">
        <v>2137</v>
      </c>
      <c r="C745" s="2" t="s">
        <v>2138</v>
      </c>
      <c r="D745" s="2" t="s">
        <v>1948</v>
      </c>
      <c r="E745" s="2" t="s">
        <v>14</v>
      </c>
      <c r="F745" s="2" t="s">
        <v>15</v>
      </c>
      <c r="G745" s="2" t="s">
        <v>2139</v>
      </c>
      <c r="H745" s="2" t="s">
        <v>112</v>
      </c>
      <c r="I745" s="2" t="str">
        <f>IFERROR(__xludf.DUMMYFUNCTION("GOOGLETRANSLATE(C745,""fr"",""en"")"),"Subscribed contract (new customer) in June 2019. In 1 year the subscription is already increasing (without any disaster obviously) and I learn that my bonus will not evolve until 2021. Thank you Macif, without any claim. I will change insurance now.")</f>
        <v>Subscribed contract (new customer) in June 2019. In 1 year the subscription is already increasing (without any disaster obviously) and I learn that my bonus will not evolve until 2021. Thank you Macif, without any claim. I will change insurance now.</v>
      </c>
    </row>
    <row r="746" ht="15.75" customHeight="1">
      <c r="B746" s="2" t="s">
        <v>2140</v>
      </c>
      <c r="C746" s="2" t="s">
        <v>2141</v>
      </c>
      <c r="D746" s="2" t="s">
        <v>1948</v>
      </c>
      <c r="E746" s="2" t="s">
        <v>14</v>
      </c>
      <c r="F746" s="2" t="s">
        <v>15</v>
      </c>
      <c r="G746" s="2" t="s">
        <v>1656</v>
      </c>
      <c r="H746" s="2" t="s">
        <v>119</v>
      </c>
      <c r="I746" s="2" t="str">
        <f>IFERROR(__xludf.DUMMYFUNCTION("GOOGLETRANSLATE(C746,""fr"",""en"")"),"Hello,
On my subscription, the Macif was mistaken on the level of driver protection warranty,
    Also deceived on my age and on the resumption of my bonus by getting up for a year. The opinion, the testimonies of the insureds join the difficulties wi"&amp;"th the figures at Macif and the vagueness in the presentation of the sums to be paid.
    After a few months an increase not on my date anniversary date, 15 € or about 5.25%! Normally insurance must talk about it but silence for the Macif.
    Already t"&amp;"hat there had really been ailments to open an account on the Macif website, which I reported a page which is not going but which has remained unchanged, since that has been combined in bad points.
    This is the 3rd approach so that my situation is made"&amp;" to me in my accuracy of my bonus because already 5%/ year it is long to acquire. 12 years to reach 50%.
    I waited for a long time on the phone by 2 expectations and the 2nd really did not end up and then ended with a line cut. Econded? Without a remi"&amp;"nder.
The testimonies on this city share their feelings that the companies have no soul, certain ghosts.
I have just sent this text to the management relationship with the title complaint, quality service.
")</f>
        <v>Hello,
On my subscription, the Macif was mistaken on the level of driver protection warranty,
    Also deceived on my age and on the resumption of my bonus by getting up for a year. The opinion, the testimonies of the insureds join the difficulties with the figures at Macif and the vagueness in the presentation of the sums to be paid.
    After a few months an increase not on my date anniversary date, 15 € or about 5.25%! Normally insurance must talk about it but silence for the Macif.
    Already that there had really been ailments to open an account on the Macif website, which I reported a page which is not going but which has remained unchanged, since that has been combined in bad points.
    This is the 3rd approach so that my situation is made to me in my accuracy of my bonus because already 5%/ year it is long to acquire. 12 years to reach 50%.
    I waited for a long time on the phone by 2 expectations and the 2nd really did not end up and then ended with a line cut. Econded? Without a reminder.
The testimonies on this city share their feelings that the companies have no soul, certain ghosts.
I have just sent this text to the management relationship with the title complaint, quality service.
</v>
      </c>
    </row>
    <row r="747" ht="15.75" customHeight="1">
      <c r="B747" s="2" t="s">
        <v>2142</v>
      </c>
      <c r="C747" s="2" t="s">
        <v>2143</v>
      </c>
      <c r="D747" s="2" t="s">
        <v>1948</v>
      </c>
      <c r="E747" s="2" t="s">
        <v>14</v>
      </c>
      <c r="F747" s="2" t="s">
        <v>15</v>
      </c>
      <c r="G747" s="2" t="s">
        <v>2144</v>
      </c>
      <c r="H747" s="2" t="s">
        <v>119</v>
      </c>
      <c r="I747" s="2" t="str">
        <f>IFERROR(__xludf.DUMMYFUNCTION("GOOGLETRANSLATE(C747,""fr"",""en"")"),"A team in our agency always listening to us, and are very cordial and professional")</f>
        <v>A team in our agency always listening to us, and are very cordial and professional</v>
      </c>
    </row>
    <row r="748" ht="15.75" customHeight="1">
      <c r="B748" s="2" t="s">
        <v>2145</v>
      </c>
      <c r="C748" s="2" t="s">
        <v>2146</v>
      </c>
      <c r="D748" s="2" t="s">
        <v>1948</v>
      </c>
      <c r="E748" s="2" t="s">
        <v>14</v>
      </c>
      <c r="F748" s="2" t="s">
        <v>15</v>
      </c>
      <c r="G748" s="2" t="s">
        <v>1331</v>
      </c>
      <c r="H748" s="2" t="s">
        <v>119</v>
      </c>
      <c r="I748" s="2" t="str">
        <f>IFERROR(__xludf.DUMMYFUNCTION("GOOGLETRANSLATE(C748,""fr"",""en"")"),"Subscribed contract (new customer) in October 2019. In April 2020 the subscription already increased (without any disaster of course) and I learn that my bonus will not evolve until April 2021 when it had evolved in September 2019 with my previous Insurer"&amp;" .... Thank you Macif, Double penalty, without any claim. I will change insurance from October ...")</f>
        <v>Subscribed contract (new customer) in October 2019. In April 2020 the subscription already increased (without any disaster of course) and I learn that my bonus will not evolve until April 2021 when it had evolved in September 2019 with my previous Insurer .... Thank you Macif, Double penalty, without any claim. I will change insurance from October ...</v>
      </c>
    </row>
    <row r="749" ht="15.75" customHeight="1">
      <c r="B749" s="2" t="s">
        <v>2147</v>
      </c>
      <c r="C749" s="2" t="s">
        <v>2148</v>
      </c>
      <c r="D749" s="2" t="s">
        <v>1948</v>
      </c>
      <c r="E749" s="2" t="s">
        <v>14</v>
      </c>
      <c r="F749" s="2" t="s">
        <v>15</v>
      </c>
      <c r="G749" s="2" t="s">
        <v>2149</v>
      </c>
      <c r="H749" s="2" t="s">
        <v>119</v>
      </c>
      <c r="I749" s="2" t="str">
        <f>IFERROR(__xludf.DUMMYFUNCTION("GOOGLETRANSLATE(C749,""fr"",""en"")"),"Waiting for my green thumbnail since April 20, 2020, Macif customer service remains deaf to my request, worse, some advisers are virulent and infantilizing towards me without treating my request.
And yet, a simple click and my I receive my sticker by ema"&amp;"il but customer service prefers to incriminate the post office, which does the excellent work because my mail I receive it regularly.
Super disappointed with this insurance which was advised to me by a member of my family.
Lack of professionalism and la"&amp;"ck of respect for the members, a customer service that never recalls and which hides behind a health crisis which does not prevent them from performing their spots since they are teletrailing !!!
BAD EXPERIENCE!!!!
")</f>
        <v>Waiting for my green thumbnail since April 20, 2020, Macif customer service remains deaf to my request, worse, some advisers are virulent and infantilizing towards me without treating my request.
And yet, a simple click and my I receive my sticker by email but customer service prefers to incriminate the post office, which does the excellent work because my mail I receive it regularly.
Super disappointed with this insurance which was advised to me by a member of my family.
Lack of professionalism and lack of respect for the members, a customer service that never recalls and which hides behind a health crisis which does not prevent them from performing their spots since they are teletrailing !!!
BAD EXPERIENCE!!!!
</v>
      </c>
    </row>
    <row r="750" ht="15.75" customHeight="1">
      <c r="B750" s="2" t="s">
        <v>2150</v>
      </c>
      <c r="C750" s="2" t="s">
        <v>2151</v>
      </c>
      <c r="D750" s="2" t="s">
        <v>1948</v>
      </c>
      <c r="E750" s="2" t="s">
        <v>14</v>
      </c>
      <c r="F750" s="2" t="s">
        <v>15</v>
      </c>
      <c r="G750" s="2" t="s">
        <v>2152</v>
      </c>
      <c r="H750" s="2" t="s">
        <v>119</v>
      </c>
      <c r="I750" s="2" t="str">
        <f>IFERROR(__xludf.DUMMYFUNCTION("GOOGLETRANSLATE(C750,""fr"",""en"")"),"Following a traffic equipment accident in September 2019, I am still waiting for my vehicle expertise (8 months). I have contacted the Macif several times and still no news .... 8 months to continue paying full rate insurance for a vehicle out of use, 8 m"&amp;"onths or I manage alone. Insurance to really avoid. Cordially")</f>
        <v>Following a traffic equipment accident in September 2019, I am still waiting for my vehicle expertise (8 months). I have contacted the Macif several times and still no news .... 8 months to continue paying full rate insurance for a vehicle out of use, 8 months or I manage alone. Insurance to really avoid. Cordially</v>
      </c>
    </row>
    <row r="751" ht="15.75" customHeight="1">
      <c r="B751" s="2" t="s">
        <v>2153</v>
      </c>
      <c r="C751" s="2" t="s">
        <v>2154</v>
      </c>
      <c r="D751" s="2" t="s">
        <v>1948</v>
      </c>
      <c r="E751" s="2" t="s">
        <v>14</v>
      </c>
      <c r="F751" s="2" t="s">
        <v>15</v>
      </c>
      <c r="G751" s="2" t="s">
        <v>856</v>
      </c>
      <c r="H751" s="2" t="s">
        <v>123</v>
      </c>
      <c r="I751" s="2" t="str">
        <f>IFERROR(__xludf.DUMMYFUNCTION("GOOGLETRANSLATE(C751,""fr"",""en"")"),"I was scammed for years in terms of prices 660 euros instead 350 / year
Just shabby while normally each year there should be a reduction on the price and yet I have never been responsible for an accident.")</f>
        <v>I was scammed for years in terms of prices 660 euros instead 350 / year
Just shabby while normally each year there should be a reduction on the price and yet I have never been responsible for an accident.</v>
      </c>
    </row>
    <row r="752" ht="15.75" customHeight="1">
      <c r="B752" s="2" t="s">
        <v>2155</v>
      </c>
      <c r="C752" s="2" t="s">
        <v>2156</v>
      </c>
      <c r="D752" s="2" t="s">
        <v>1948</v>
      </c>
      <c r="E752" s="2" t="s">
        <v>14</v>
      </c>
      <c r="F752" s="2" t="s">
        <v>15</v>
      </c>
      <c r="G752" s="2" t="s">
        <v>2157</v>
      </c>
      <c r="H752" s="2" t="s">
        <v>142</v>
      </c>
      <c r="I752" s="2" t="str">
        <f>IFERROR(__xludf.DUMMYFUNCTION("GOOGLETRANSLATE(C752,""fr"",""en"")"),"Following a non -responsible disaster declared on February 22, I expect a Macif decision.
She asks me to contact the expert they themselves mandated on March 05.
It's not my job, I have been paying my contributions for many years and I have never had an"&amp;" accident.
Faced with their inability to react I will have to make a decision to give, having to replace this vehicle with recovery, before March 26.
")</f>
        <v>Following a non -responsible disaster declared on February 22, I expect a Macif decision.
She asks me to contact the expert they themselves mandated on March 05.
It's not my job, I have been paying my contributions for many years and I have never had an accident.
Faced with their inability to react I will have to make a decision to give, having to replace this vehicle with recovery, before March 26.
</v>
      </c>
    </row>
    <row r="753" ht="15.75" customHeight="1">
      <c r="B753" s="2" t="s">
        <v>2158</v>
      </c>
      <c r="C753" s="2" t="s">
        <v>2159</v>
      </c>
      <c r="D753" s="2" t="s">
        <v>1948</v>
      </c>
      <c r="E753" s="2" t="s">
        <v>14</v>
      </c>
      <c r="F753" s="2" t="s">
        <v>15</v>
      </c>
      <c r="G753" s="2" t="s">
        <v>2157</v>
      </c>
      <c r="H753" s="2" t="s">
        <v>142</v>
      </c>
      <c r="I753" s="2" t="str">
        <f>IFERROR(__xludf.DUMMYFUNCTION("GOOGLETRANSLATE(C753,""fr"",""en"")"),"Insured almost 30 years for a company, then personal auto insurance 3 years, following a windshield break, received letter of termination contract. Bravo the Macif !!!! always profit.")</f>
        <v>Insured almost 30 years for a company, then personal auto insurance 3 years, following a windshield break, received letter of termination contract. Bravo the Macif !!!! always profit.</v>
      </c>
    </row>
    <row r="754" ht="15.75" customHeight="1">
      <c r="B754" s="2" t="s">
        <v>2160</v>
      </c>
      <c r="C754" s="2" t="s">
        <v>2161</v>
      </c>
      <c r="D754" s="2" t="s">
        <v>1948</v>
      </c>
      <c r="E754" s="2" t="s">
        <v>14</v>
      </c>
      <c r="F754" s="2" t="s">
        <v>15</v>
      </c>
      <c r="G754" s="2" t="s">
        <v>2162</v>
      </c>
      <c r="H754" s="2" t="s">
        <v>142</v>
      </c>
      <c r="I754" s="2" t="str">
        <f>IFERROR(__xludf.DUMMYFUNCTION("GOOGLETRANSLATE(C754,""fr"",""en"")"),"Does not correspond to his commitment")</f>
        <v>Does not correspond to his commitment</v>
      </c>
    </row>
    <row r="755" ht="15.75" customHeight="1">
      <c r="B755" s="2" t="s">
        <v>2163</v>
      </c>
      <c r="C755" s="2" t="s">
        <v>2164</v>
      </c>
      <c r="D755" s="2" t="s">
        <v>1948</v>
      </c>
      <c r="E755" s="2" t="s">
        <v>14</v>
      </c>
      <c r="F755" s="2" t="s">
        <v>15</v>
      </c>
      <c r="G755" s="2" t="s">
        <v>2165</v>
      </c>
      <c r="H755" s="2" t="s">
        <v>149</v>
      </c>
      <c r="I755" s="2" t="str">
        <f>IFERROR(__xludf.DUMMYFUNCTION("GOOGLETRANSLATE(C755,""fr"",""en"")"),"Insurance of a very satisfactory motorhome.
With each breakdown, fast and efficient management. In addition to discounts are granted to affiliated professionals.")</f>
        <v>Insurance of a very satisfactory motorhome.
With each breakdown, fast and efficient management. In addition to discounts are granted to affiliated professionals.</v>
      </c>
    </row>
    <row r="756" ht="15.75" customHeight="1">
      <c r="B756" s="2" t="s">
        <v>2166</v>
      </c>
      <c r="C756" s="2" t="s">
        <v>2167</v>
      </c>
      <c r="D756" s="2" t="s">
        <v>1948</v>
      </c>
      <c r="E756" s="2" t="s">
        <v>14</v>
      </c>
      <c r="F756" s="2" t="s">
        <v>15</v>
      </c>
      <c r="G756" s="2" t="s">
        <v>1676</v>
      </c>
      <c r="H756" s="2" t="s">
        <v>149</v>
      </c>
      <c r="I756" s="2" t="str">
        <f>IFERROR(__xludf.DUMMYFUNCTION("GOOGLETRANSLATE(C756,""fr"",""en"")"),"I am a customer at the Macif from then 1970 Multi -Home and others Auto Home and I have never had any problems I recommend this company")</f>
        <v>I am a customer at the Macif from then 1970 Multi -Home and others Auto Home and I have never had any problems I recommend this company</v>
      </c>
    </row>
    <row r="757" ht="15.75" customHeight="1">
      <c r="B757" s="2" t="s">
        <v>2168</v>
      </c>
      <c r="C757" s="2" t="s">
        <v>2169</v>
      </c>
      <c r="D757" s="2" t="s">
        <v>1948</v>
      </c>
      <c r="E757" s="2" t="s">
        <v>14</v>
      </c>
      <c r="F757" s="2" t="s">
        <v>15</v>
      </c>
      <c r="G757" s="2" t="s">
        <v>2170</v>
      </c>
      <c r="H757" s="2" t="s">
        <v>149</v>
      </c>
      <c r="I757" s="2" t="str">
        <f>IFERROR(__xludf.DUMMYFUNCTION("GOOGLETRANSLATE(C757,""fr"",""en"")"),"I have never seen such contempt for his members from insurance. Quite naturally, before the silence of the Macif to manage my self -lightening file, I joined an extremely familiar counselor in her speech until I asked her if I did not disturb her and it w"&amp;"as there that she ..... hang up on the nose !!!! ??? ....
I had read it on this site of opinions and now I live it, incredible !!!! .... the Macif knows that it exists only by the financial contribution of its members or at least those who He remains bec"&amp;"ause as far as I am concerned I terminate all my contracts this week.
This insurance is a shame !!!! To avoid!")</f>
        <v>I have never seen such contempt for his members from insurance. Quite naturally, before the silence of the Macif to manage my self -lightening file, I joined an extremely familiar counselor in her speech until I asked her if I did not disturb her and it was there that she ..... hang up on the nose !!!! ??? ....
I had read it on this site of opinions and now I live it, incredible !!!! .... the Macif knows that it exists only by the financial contribution of its members or at least those who He remains because as far as I am concerned I terminate all my contracts this week.
This insurance is a shame !!!! To avoid!</v>
      </c>
    </row>
    <row r="758" ht="15.75" customHeight="1">
      <c r="B758" s="2" t="s">
        <v>2171</v>
      </c>
      <c r="C758" s="2" t="s">
        <v>2172</v>
      </c>
      <c r="D758" s="2" t="s">
        <v>1948</v>
      </c>
      <c r="E758" s="2" t="s">
        <v>14</v>
      </c>
      <c r="F758" s="2" t="s">
        <v>15</v>
      </c>
      <c r="G758" s="2" t="s">
        <v>158</v>
      </c>
      <c r="H758" s="2" t="s">
        <v>149</v>
      </c>
      <c r="I758" s="2" t="str">
        <f>IFERROR(__xludf.DUMMYFUNCTION("GOOGLETRANSLATE(C758,""fr"",""en"")"),"Do not go to this insurance I have been with them for 39 years I had in all and for all 2 responsible accidents and 4 pares breaking or 1 every ten years there have me like a malproprus when I have 50% of Bonus and no accident responsible for his last yea"&amp;"r for the simple reason that I had 2 breeze pares in 2018 and 1 in 2019 that they looked at the history of their customers V He prose to cover me without the break of ice outside question suddenly they will lose all my contracts and those of my son that I"&amp;" brought into them really lamentable")</f>
        <v>Do not go to this insurance I have been with them for 39 years I had in all and for all 2 responsible accidents and 4 pares breaking or 1 every ten years there have me like a malproprus when I have 50% of Bonus and no accident responsible for his last year for the simple reason that I had 2 breeze pares in 2018 and 1 in 2019 that they looked at the history of their customers V He prose to cover me without the break of ice outside question suddenly they will lose all my contracts and those of my son that I brought into them really lamentable</v>
      </c>
    </row>
    <row r="759" ht="15.75" customHeight="1">
      <c r="B759" s="2" t="s">
        <v>2173</v>
      </c>
      <c r="C759" s="2" t="s">
        <v>2174</v>
      </c>
      <c r="D759" s="2" t="s">
        <v>1948</v>
      </c>
      <c r="E759" s="2" t="s">
        <v>14</v>
      </c>
      <c r="F759" s="2" t="s">
        <v>15</v>
      </c>
      <c r="G759" s="2" t="s">
        <v>168</v>
      </c>
      <c r="H759" s="2" t="s">
        <v>165</v>
      </c>
      <c r="I759" s="2" t="str">
        <f>IFERROR(__xludf.DUMMYFUNCTION("GOOGLETRANSLATE(C759,""fr"",""en"")"),"Sinister or my responsibility is not engaged (I am returned to the red light). I am changing the bumper and my beep sensors without stopping. Categorical refusal to change the sensors, they want to pick them up. 3rd meeting, it does not even hold up to me"&amp;". They don't want to spend money they want to stick. They don't care that it is the 3rd CP that I put (so lost money), they have been walking for 3 months. When you make emails they answer next to it and nothing on the financial side. It would have cost m"&amp;"e cheaper to change my sensors at my expense. The Macif everything is fine until they have nothing to pay or do other than take the monthly payment, but after ... There is no one left. Insurance that I do not recommend to anyone. Very disappointed with th"&amp;"e quality of the service.")</f>
        <v>Sinister or my responsibility is not engaged (I am returned to the red light). I am changing the bumper and my beep sensors without stopping. Categorical refusal to change the sensors, they want to pick them up. 3rd meeting, it does not even hold up to me. They don't want to spend money they want to stick. They don't care that it is the 3rd CP that I put (so lost money), they have been walking for 3 months. When you make emails they answer next to it and nothing on the financial side. It would have cost me cheaper to change my sensors at my expense. The Macif everything is fine until they have nothing to pay or do other than take the monthly payment, but after ... There is no one left. Insurance that I do not recommend to anyone. Very disappointed with the quality of the service.</v>
      </c>
    </row>
    <row r="760" ht="15.75" customHeight="1">
      <c r="B760" s="2" t="s">
        <v>2175</v>
      </c>
      <c r="C760" s="2" t="s">
        <v>2176</v>
      </c>
      <c r="D760" s="2" t="s">
        <v>1948</v>
      </c>
      <c r="E760" s="2" t="s">
        <v>14</v>
      </c>
      <c r="F760" s="2" t="s">
        <v>15</v>
      </c>
      <c r="G760" s="2" t="s">
        <v>2177</v>
      </c>
      <c r="H760" s="2" t="s">
        <v>165</v>
      </c>
      <c r="I760" s="2" t="str">
        <f>IFERROR(__xludf.DUMMYFUNCTION("GOOGLETRANSLATE(C760,""fr"",""en"")"),"Hello yes numerous faces with the macif and all the time because of sinister and in addition non -responsible compensation at a discount and the mediocre remarks for removing and different versions at each calls which end with resiliations at chaques coup"&amp;" for alterations mdrrrrrrrrrrrrrrrrrrrrrrrrrrrrrrrrrrrrrrrrrrrrrrrrrrrrrrrrrrrrrrrrrrrrrrrr.")</f>
        <v>Hello yes numerous faces with the macif and all the time because of sinister and in addition non -responsible compensation at a discount and the mediocre remarks for removing and different versions at each calls which end with resiliations at chaques coup for alterations mdrrrrrrrrrrrrrrrrrrrrrrrrrrrrrrrrrrrrrrrrrrrrrrrrrrrrrrrrrrrrrrrrrrrrrrrr.</v>
      </c>
    </row>
    <row r="761" ht="15.75" customHeight="1">
      <c r="B761" s="2" t="s">
        <v>2178</v>
      </c>
      <c r="C761" s="2" t="s">
        <v>2179</v>
      </c>
      <c r="D761" s="2" t="s">
        <v>1948</v>
      </c>
      <c r="E761" s="2" t="s">
        <v>14</v>
      </c>
      <c r="F761" s="2" t="s">
        <v>15</v>
      </c>
      <c r="G761" s="2" t="s">
        <v>2180</v>
      </c>
      <c r="H761" s="2" t="s">
        <v>165</v>
      </c>
      <c r="I761" s="2" t="str">
        <f>IFERROR(__xludf.DUMMYFUNCTION("GOOGLETRANSLATE(C761,""fr"",""en"")"),"The Macif is based on the obligation we have to ensure our car; It offers attractive prices but the service is zero; My bonus is 100% margin for the Macif; An insurer is supposed to pool risks right? I can guarantee you that I will look for another insure"&amp;"r in 2020")</f>
        <v>The Macif is based on the obligation we have to ensure our car; It offers attractive prices but the service is zero; My bonus is 100% margin for the Macif; An insurer is supposed to pool risks right? I can guarantee you that I will look for another insurer in 2020</v>
      </c>
    </row>
    <row r="762" ht="15.75" customHeight="1">
      <c r="B762" s="2" t="s">
        <v>2181</v>
      </c>
      <c r="C762" s="2" t="s">
        <v>2182</v>
      </c>
      <c r="D762" s="2" t="s">
        <v>1948</v>
      </c>
      <c r="E762" s="2" t="s">
        <v>14</v>
      </c>
      <c r="F762" s="2" t="s">
        <v>15</v>
      </c>
      <c r="G762" s="2" t="s">
        <v>2183</v>
      </c>
      <c r="H762" s="2" t="s">
        <v>179</v>
      </c>
      <c r="I762" s="2" t="str">
        <f>IFERROR(__xludf.DUMMYFUNCTION("GOOGLETRANSLATE(C762,""fr"",""en"")"),"Very good insurance! The guarantees can be modulated according to needs. I needed to be helpless at home. Impeccable with the 0km option.
I therefore recommend this insurer with complete guarantees whether for housing or other")</f>
        <v>Very good insurance! The guarantees can be modulated according to needs. I needed to be helpless at home. Impeccable with the 0km option.
I therefore recommend this insurer with complete guarantees whether for housing or other</v>
      </c>
    </row>
    <row r="763" ht="15.75" customHeight="1">
      <c r="B763" s="2" t="s">
        <v>2184</v>
      </c>
      <c r="C763" s="2" t="s">
        <v>2185</v>
      </c>
      <c r="D763" s="2" t="s">
        <v>1948</v>
      </c>
      <c r="E763" s="2" t="s">
        <v>14</v>
      </c>
      <c r="F763" s="2" t="s">
        <v>15</v>
      </c>
      <c r="G763" s="2" t="s">
        <v>2186</v>
      </c>
      <c r="H763" s="2" t="s">
        <v>179</v>
      </c>
      <c r="I763" s="2" t="str">
        <f>IFERROR(__xludf.DUMMYFUNCTION("GOOGLETRANSLATE(C763,""fr"",""en"")"),"Insured Macif for more than 10 years with a disaster (breaking of the windshield). I am in all risks. I got fractured my car is stolen what was inside. And it is to my surprise that I learned that yes I am insured against the flight but from my vehicle no"&amp;"t of its content. It's an option. What I blame the Macif is not to have informed me when subscribing. It is easy to make the levy of the subscriptions but not to ensure follow -up and not to give the necessary information.")</f>
        <v>Insured Macif for more than 10 years with a disaster (breaking of the windshield). I am in all risks. I got fractured my car is stolen what was inside. And it is to my surprise that I learned that yes I am insured against the flight but from my vehicle not of its content. It's an option. What I blame the Macif is not to have informed me when subscribing. It is easy to make the levy of the subscriptions but not to ensure follow -up and not to give the necessary information.</v>
      </c>
    </row>
    <row r="764" ht="15.75" customHeight="1">
      <c r="B764" s="2" t="s">
        <v>2187</v>
      </c>
      <c r="C764" s="2" t="s">
        <v>2188</v>
      </c>
      <c r="D764" s="2" t="s">
        <v>1948</v>
      </c>
      <c r="E764" s="2" t="s">
        <v>14</v>
      </c>
      <c r="F764" s="2" t="s">
        <v>15</v>
      </c>
      <c r="G764" s="2" t="s">
        <v>2189</v>
      </c>
      <c r="H764" s="2" t="s">
        <v>179</v>
      </c>
      <c r="I764" s="2" t="str">
        <f>IFERROR(__xludf.DUMMYFUNCTION("GOOGLETRANSLATE(C764,""fr"",""en"")"),"We can not know for our own internet contract, we are not for what we and ensure, when we compare you to be the most expensive, and always with a franchise why?")</f>
        <v>We can not know for our own internet contract, we are not for what we and ensure, when we compare you to be the most expensive, and always with a franchise why?</v>
      </c>
    </row>
    <row r="765" ht="15.75" customHeight="1">
      <c r="B765" s="2" t="s">
        <v>2190</v>
      </c>
      <c r="C765" s="2" t="s">
        <v>2191</v>
      </c>
      <c r="D765" s="2" t="s">
        <v>1948</v>
      </c>
      <c r="E765" s="2" t="s">
        <v>14</v>
      </c>
      <c r="F765" s="2" t="s">
        <v>15</v>
      </c>
      <c r="G765" s="2" t="s">
        <v>2192</v>
      </c>
      <c r="H765" s="2" t="s">
        <v>179</v>
      </c>
      <c r="I765" s="2" t="str">
        <f>IFERROR(__xludf.DUMMYFUNCTION("GOOGLETRANSLATE(C765,""fr"",""en"")"),"Very satisfied")</f>
        <v>Very satisfied</v>
      </c>
    </row>
    <row r="766" ht="15.75" customHeight="1">
      <c r="B766" s="2" t="s">
        <v>2193</v>
      </c>
      <c r="C766" s="2" t="s">
        <v>2194</v>
      </c>
      <c r="D766" s="2" t="s">
        <v>1948</v>
      </c>
      <c r="E766" s="2" t="s">
        <v>14</v>
      </c>
      <c r="F766" s="2" t="s">
        <v>15</v>
      </c>
      <c r="G766" s="2" t="s">
        <v>875</v>
      </c>
      <c r="H766" s="2" t="s">
        <v>189</v>
      </c>
      <c r="I766" s="2" t="str">
        <f>IFERROR(__xludf.DUMMYFUNCTION("GOOGLETRANSLATE(C766,""fr"",""en"")"),"I started from the Macif to return to the Olivier Insurance, what an incredible error on my part, the Macif has always been present in the cases of claims that I could have. At the moment I live a hell with the olive tree following a disaster or I do not "&amp;"follow in question, I bitterly regret my departure from the Macif, in a few months I will finally be released from the olive tree and I will come back to The Macif.
Online insurances are not as efficient as you can believe it, serves the prices are attra"&amp;"ctive, but it or its !!!!")</f>
        <v>I started from the Macif to return to the Olivier Insurance, what an incredible error on my part, the Macif has always been present in the cases of claims that I could have. At the moment I live a hell with the olive tree following a disaster or I do not follow in question, I bitterly regret my departure from the Macif, in a few months I will finally be released from the olive tree and I will come back to The Macif.
Online insurances are not as efficient as you can believe it, serves the prices are attractive, but it or its !!!!</v>
      </c>
    </row>
    <row r="767" ht="15.75" customHeight="1">
      <c r="B767" s="2" t="s">
        <v>2195</v>
      </c>
      <c r="C767" s="2" t="s">
        <v>2196</v>
      </c>
      <c r="D767" s="2" t="s">
        <v>1948</v>
      </c>
      <c r="E767" s="2" t="s">
        <v>14</v>
      </c>
      <c r="F767" s="2" t="s">
        <v>15</v>
      </c>
      <c r="G767" s="2" t="s">
        <v>1693</v>
      </c>
      <c r="H767" s="2" t="s">
        <v>189</v>
      </c>
      <c r="I767" s="2" t="str">
        <f>IFERROR(__xludf.DUMMYFUNCTION("GOOGLETRANSLATE(C767,""fr"",""en"")"),"Flee the Macif and its providers
Following a non -responsible disaster (falling from a wall on my campsite parked at the Gardienage company) of the month of December 2018, the Macif took 5 months to compensate me
Given the important repairs to be realiz"&amp;"ed on my vehicle (replacement of the roof+refection chassis and paint on the sides and back) I decide to have my vehicle reappear directly at the manufacturer in Germany
I invoke by my own means and at my expense the vehicle in Germany in June
On 08/14/"&amp;"2019 I resume possession of my vehicle at the factory in Germany after repair and descend to France
At the Stutgart level during a sudden slowdown on the highway, a motorist makes me a fish queu and I hit the back of this one putting me in wrong
My vehi"&amp;"cle being severely damaged it is taken care of by a permanent depanner mandated by Inter Mutuelle Assistance Service Provider of the Macif in the Stranger
I am repatriated (in fact I am rented a vehicle) on 08/15/2019
After multiple calls to the Macif a"&amp;"nd Inter Mutuelle Assistance I am indicated that my vehicle will be reported by public transport to its place of repair
I write to inter mutual assistance that my vehicle being very imposing (8 m long and 3 meters high) and unable to move by its own mean"&amp;"s I am against the fact that it is used a public transport
Inter Mutuelle Assistance explains to me that the cost of individual transport by Depanneur is too large and that by consider there is no other solution
I answer them by writing that in the even"&amp;"t that they would decide to use public transport would be at their risk and perils
My campsite has arrived at the repairer on October 3 (more than a month and a half after the lifting)
When he arrived the repairer calls me to specify that my vehicle has"&amp;" sugar degates on the sides and back
The repaire emits the precise reserves to the car letter from the carrier and I send three recommended letter (one at the Macif, one to inter mutual assistance and one to the carrier) to signify this new sinister and "&amp;"question them
Nowadays :
The Macif tells me that it is in Inter Mutuelle Assistance to do the need and that by conscious they can do nothing
Inter Mutuelle Assistance contacted me this day is on 10/17/2019 (while my recommended dates from 4/10/2019) to"&amp;" tell me that it did not have time to look at the file again and that it 'excuse
During the discussion she specifies me, however, that we will have to wait to prove that the overall degates of my vehicle was done by the carrier without which nothing will"&amp;" happen
I specify him for all useful purposes that my vehicle had been repainted on 08/14/2019 and that in any case the degat posted on this one could have been done only by the carrier or the defendant who kept my vehicle during almost 2 months outside "&amp;"near other rugged vehicles and that in all cases they were internet assistance providers they were responsible for
Once again I am the victim of the falaious actions of insurance companies that do everything to decline their duties
")</f>
        <v>Flee the Macif and its providers
Following a non -responsible disaster (falling from a wall on my campsite parked at the Gardienage company) of the month of December 2018, the Macif took 5 months to compensate me
Given the important repairs to be realized on my vehicle (replacement of the roof+refection chassis and paint on the sides and back) I decide to have my vehicle reappear directly at the manufacturer in Germany
I invoke by my own means and at my expense the vehicle in Germany in June
On 08/14/2019 I resume possession of my vehicle at the factory in Germany after repair and descend to France
At the Stutgart level during a sudden slowdown on the highway, a motorist makes me a fish queu and I hit the back of this one putting me in wrong
My vehicle being severely damaged it is taken care of by a permanent depanner mandated by Inter Mutuelle Assistance Service Provider of the Macif in the Stranger
I am repatriated (in fact I am rented a vehicle) on 08/15/2019
After multiple calls to the Macif and Inter Mutuelle Assistance I am indicated that my vehicle will be reported by public transport to its place of repair
I write to inter mutual assistance that my vehicle being very imposing (8 m long and 3 meters high) and unable to move by its own means I am against the fact that it is used a public transport
Inter Mutuelle Assistance explains to me that the cost of individual transport by Depanneur is too large and that by consider there is no other solution
I answer them by writing that in the event that they would decide to use public transport would be at their risk and perils
My campsite has arrived at the repairer on October 3 (more than a month and a half after the lifting)
When he arrived the repairer calls me to specify that my vehicle has sugar degates on the sides and back
The repaire emits the precise reserves to the car letter from the carrier and I send three recommended letter (one at the Macif, one to inter mutual assistance and one to the carrier) to signify this new sinister and question them
Nowadays :
The Macif tells me that it is in Inter Mutuelle Assistance to do the need and that by conscious they can do nothing
Inter Mutuelle Assistance contacted me this day is on 10/17/2019 (while my recommended dates from 4/10/2019) to tell me that it did not have time to look at the file again and that it 'excuse
During the discussion she specifies me, however, that we will have to wait to prove that the overall degates of my vehicle was done by the carrier without which nothing will happen
I specify him for all useful purposes that my vehicle had been repainted on 08/14/2019 and that in any case the degat posted on this one could have been done only by the carrier or the defendant who kept my vehicle during almost 2 months outside near other rugged vehicles and that in all cases they were internet assistance providers they were responsible for
Once again I am the victim of the falaious actions of insurance companies that do everything to decline their duties
</v>
      </c>
    </row>
    <row r="768" ht="15.75" customHeight="1">
      <c r="B768" s="2" t="s">
        <v>2197</v>
      </c>
      <c r="C768" s="2" t="s">
        <v>2198</v>
      </c>
      <c r="D768" s="2" t="s">
        <v>1948</v>
      </c>
      <c r="E768" s="2" t="s">
        <v>14</v>
      </c>
      <c r="F768" s="2" t="s">
        <v>15</v>
      </c>
      <c r="G768" s="2" t="s">
        <v>2199</v>
      </c>
      <c r="H768" s="2" t="s">
        <v>193</v>
      </c>
      <c r="I768" s="2" t="str">
        <f>IFERROR(__xludf.DUMMYFUNCTION("GOOGLETRANSLATE(C768,""fr"",""en"")"),"They removed me all of my bonus for a year without insurance! And he called me a young license when I have 3 and a half years of driving license. Salespeople have absolutely nothing to do that you have been a customer for several years and have all your c"&amp;"ontracts at home. I strongly advise against and I will transfer all my contracts elsewhere!")</f>
        <v>They removed me all of my bonus for a year without insurance! And he called me a young license when I have 3 and a half years of driving license. Salespeople have absolutely nothing to do that you have been a customer for several years and have all your contracts at home. I strongly advise against and I will transfer all my contracts elsewhere!</v>
      </c>
    </row>
    <row r="769" ht="15.75" customHeight="1">
      <c r="B769" s="2" t="s">
        <v>2200</v>
      </c>
      <c r="C769" s="2" t="s">
        <v>2201</v>
      </c>
      <c r="D769" s="2" t="s">
        <v>1948</v>
      </c>
      <c r="E769" s="2" t="s">
        <v>14</v>
      </c>
      <c r="F769" s="2" t="s">
        <v>15</v>
      </c>
      <c r="G769" s="2" t="s">
        <v>2199</v>
      </c>
      <c r="H769" s="2" t="s">
        <v>193</v>
      </c>
      <c r="I769" s="2" t="str">
        <f>IFERROR(__xludf.DUMMYFUNCTION("GOOGLETRANSLATE(C769,""fr"",""en"")"),"Customer since 2012 for Macif auto insurance, I decide to change it for a cheaper equivalent at the end of 2018 (I had warned the Macif before doing so to make me catch up, they told me that it was impossible to find cheaper ...). With the Hamon law, the "&amp;"subscription to my new insurance therefore automatically terminated that of the Macif ... Well not: the Macif created two contracts for my car insurance, and only terminated one of the 2. So I find myself having to pay an end to a incomprehensible thing, "&amp;"while I am already insured for my car elsewhere.
On the phone, I am made to understand that yes it is not normal, but that the Macif plays on it. By email, I tell them about my situation and on the not very moral side not to have terminated the 2nd contr"&amp;"act ... I will be answered just that you have to pay.
I'm lucky it's not a big amount, but extremely disappointed with this insurer.")</f>
        <v>Customer since 2012 for Macif auto insurance, I decide to change it for a cheaper equivalent at the end of 2018 (I had warned the Macif before doing so to make me catch up, they told me that it was impossible to find cheaper ...). With the Hamon law, the subscription to my new insurance therefore automatically terminated that of the Macif ... Well not: the Macif created two contracts for my car insurance, and only terminated one of the 2. So I find myself having to pay an end to a incomprehensible thing, while I am already insured for my car elsewhere.
On the phone, I am made to understand that yes it is not normal, but that the Macif plays on it. By email, I tell them about my situation and on the not very moral side not to have terminated the 2nd contract ... I will be answered just that you have to pay.
I'm lucky it's not a big amount, but extremely disappointed with this insurer.</v>
      </c>
    </row>
    <row r="770" ht="15.75" customHeight="1">
      <c r="B770" s="2" t="s">
        <v>2202</v>
      </c>
      <c r="C770" s="2" t="s">
        <v>2203</v>
      </c>
      <c r="D770" s="2" t="s">
        <v>1948</v>
      </c>
      <c r="E770" s="2" t="s">
        <v>14</v>
      </c>
      <c r="F770" s="2" t="s">
        <v>15</v>
      </c>
      <c r="G770" s="2" t="s">
        <v>473</v>
      </c>
      <c r="H770" s="2" t="s">
        <v>193</v>
      </c>
      <c r="I770" s="2" t="str">
        <f>IFERROR(__xludf.DUMMYFUNCTION("GOOGLETRANSLATE(C770,""fr"",""en"")"),"Ras")</f>
        <v>Ras</v>
      </c>
    </row>
    <row r="771" ht="15.75" customHeight="1">
      <c r="B771" s="2" t="s">
        <v>2204</v>
      </c>
      <c r="C771" s="2" t="s">
        <v>2205</v>
      </c>
      <c r="D771" s="2" t="s">
        <v>1948</v>
      </c>
      <c r="E771" s="2" t="s">
        <v>14</v>
      </c>
      <c r="F771" s="2" t="s">
        <v>15</v>
      </c>
      <c r="G771" s="2" t="s">
        <v>2206</v>
      </c>
      <c r="H771" s="2" t="s">
        <v>193</v>
      </c>
      <c r="I771" s="2" t="str">
        <f>IFERROR(__xludf.DUMMYFUNCTION("GOOGLETRANSLATE(C771,""fr"",""en"")"),"I summarize car stolen on June 27, 19 car found on July 30, 19 of course no proposal compensation was made in the car times still in pounds for 54 days 2,300 euros in fees The claims managers do not manage anything they do not keep us informed And are unr"&amp;"eachable a recommended was sent on August 8th no answer I no longer count the calls either the emails or the reminders")</f>
        <v>I summarize car stolen on June 27, 19 car found on July 30, 19 of course no proposal compensation was made in the car times still in pounds for 54 days 2,300 euros in fees The claims managers do not manage anything they do not keep us informed And are unreachable a recommended was sent on August 8th no answer I no longer count the calls either the emails or the reminders</v>
      </c>
    </row>
    <row r="772" ht="15.75" customHeight="1">
      <c r="B772" s="2" t="s">
        <v>2207</v>
      </c>
      <c r="C772" s="2" t="s">
        <v>2208</v>
      </c>
      <c r="D772" s="2" t="s">
        <v>1948</v>
      </c>
      <c r="E772" s="2" t="s">
        <v>14</v>
      </c>
      <c r="F772" s="2" t="s">
        <v>15</v>
      </c>
      <c r="G772" s="2" t="s">
        <v>476</v>
      </c>
      <c r="H772" s="2" t="s">
        <v>193</v>
      </c>
      <c r="I772" s="2" t="str">
        <f>IFERROR(__xludf.DUMMYFUNCTION("GOOGLETRANSLATE(C772,""fr"",""en"")"),"We have any risk insurance for a car that we had new in August 2018 but we made them vandalized. We take 350 euros of franchise nothing is reimbursed except that I got angry at the time the car seat OK but still awaiting reimbursement for 3 months and nob"&amp;"ody answers of course or otherwise not informed and swung Service and they do not make the link between the expert and them depliating our vehicle The plastic are eaten by the product balanced in the car during vandalism ... Not vandalism flies because th"&amp;"ey have bitten things in it but for Stolen they vandalized ...")</f>
        <v>We have any risk insurance for a car that we had new in August 2018 but we made them vandalized. We take 350 euros of franchise nothing is reimbursed except that I got angry at the time the car seat OK but still awaiting reimbursement for 3 months and nobody answers of course or otherwise not informed and swung Service and they do not make the link between the expert and them depliating our vehicle The plastic are eaten by the product balanced in the car during vandalism ... Not vandalism flies because they have bitten things in it but for Stolen they vandalized ...</v>
      </c>
    </row>
    <row r="773" ht="15.75" customHeight="1">
      <c r="B773" s="2" t="s">
        <v>2209</v>
      </c>
      <c r="C773" s="2" t="s">
        <v>2210</v>
      </c>
      <c r="D773" s="2" t="s">
        <v>1948</v>
      </c>
      <c r="E773" s="2" t="s">
        <v>14</v>
      </c>
      <c r="F773" s="2" t="s">
        <v>15</v>
      </c>
      <c r="G773" s="2" t="s">
        <v>2211</v>
      </c>
      <c r="H773" s="2" t="s">
        <v>193</v>
      </c>
      <c r="I773" s="2" t="str">
        <f>IFERROR(__xludf.DUMMYFUNCTION("GOOGLETRANSLATE(C773,""fr"",""en"")"),"Customer for more than 20 years, I am disappointed and ecoerated by the Macif and I will solve my contracts as well as several members of my family as well and friends. I have been the victim of a road accident on July 10. My car is total disaster. My fil"&amp;"e is in order, my insurance paid in time and since, the Macif makes the deaf ear. Impossible to be able to communicate With them, no answer by email and when I can have them on the phone, I am ballad everywhere in France by making me repeat. My son had to"&amp;" give up a job for lack of means of money to buy me a New car, I am isolated, far from all trade and I start to doubt the Macif which is to be flee !!!!!")</f>
        <v>Customer for more than 20 years, I am disappointed and ecoerated by the Macif and I will solve my contracts as well as several members of my family as well and friends. I have been the victim of a road accident on July 10. My car is total disaster. My file is in order, my insurance paid in time and since, the Macif makes the deaf ear. Impossible to be able to communicate With them, no answer by email and when I can have them on the phone, I am ballad everywhere in France by making me repeat. My son had to give up a job for lack of means of money to buy me a New car, I am isolated, far from all trade and I start to doubt the Macif which is to be flee !!!!!</v>
      </c>
    </row>
    <row r="774" ht="15.75" customHeight="1">
      <c r="B774" s="2" t="s">
        <v>2212</v>
      </c>
      <c r="C774" s="2" t="s">
        <v>2213</v>
      </c>
      <c r="D774" s="2" t="s">
        <v>1948</v>
      </c>
      <c r="E774" s="2" t="s">
        <v>14</v>
      </c>
      <c r="F774" s="2" t="s">
        <v>15</v>
      </c>
      <c r="G774" s="2" t="s">
        <v>2214</v>
      </c>
      <c r="H774" s="2" t="s">
        <v>193</v>
      </c>
      <c r="I774" s="2" t="str">
        <f>IFERROR(__xludf.DUMMYFUNCTION("GOOGLETRANSLATE(C774,""fr"",""en"")"),"Impossible assured 2 vehicle even no
Why no net repronnce is precise")</f>
        <v>Impossible assured 2 vehicle even no
Why no net repronnce is precise</v>
      </c>
    </row>
    <row r="775" ht="15.75" customHeight="1">
      <c r="B775" s="2" t="s">
        <v>2215</v>
      </c>
      <c r="C775" s="2" t="s">
        <v>2216</v>
      </c>
      <c r="D775" s="2" t="s">
        <v>1948</v>
      </c>
      <c r="E775" s="2" t="s">
        <v>14</v>
      </c>
      <c r="F775" s="2" t="s">
        <v>15</v>
      </c>
      <c r="G775" s="2" t="s">
        <v>2217</v>
      </c>
      <c r="H775" s="2" t="s">
        <v>197</v>
      </c>
      <c r="I775" s="2" t="str">
        <f>IFERROR(__xludf.DUMMYFUNCTION("GOOGLETRANSLATE(C775,""fr"",""en"")"),"Very very disappointed and upset against Macif Assistance
On vacation in Spain our car breaks down impossible to return to France with
We therefore call for Macif Assistance in France in order to find a solution
We are returned to the Macif Assistance "&amp;"in Madrid 4 days before the date of our departure from Spain
We are told that we have to wait for the mechanic's assessment km and km from our rental concerning our car and that we will be reminded
Obviously no one called
We have called several times a"&amp;" day to get news but nothing
The day before our departure we are announced that the car is screwed up we decide to scrap it
Macif Assistance offers us a rental car to return to France that you have to get km and km from our spoiled day rental location
"&amp;"Thereafter we learn that this car must be deposited on the Spanish border because it must not leave the territory and that a taxi will be sent to us to return to Lyon
Departure day as planned we put the car on the border and use Macif Assistance for the "&amp;"Taxi
After waiting for 1 hour in the middle of a cagnard with an 11 month old baby we recall the Macif to have taxi news
The latter still did not have taxi to repatriates
After waiting for about 3 hours a taxi arriving we load the car towards Lyon
Arr"&amp;"ived towards Perpignan the taxi comes out of the highway and rolls on the nationals before stopping in Nîmes and telling us that we arrived surprised we tell him that we are from Lyon and not from Nîmes
The driver shows us on his laptop the address given"&amp;" by the Macif Assistance and tells us that no it is indeed nîmes and that if he would have seen Lyon he would never have accepted the race
We try to join the Macif Assistance of Madrid which clearly sends us on the roses by explaining that Nîmes is our a"&amp;"ddress and that if we want to go to Lyon it is a new trip in short, impossible to be heard and understand
We are on a roadside it is about 9 p.m.
In the end Macif Assistance announces that they can do nothing for us anymore
that we have to manage alone"&amp;" and not politely
Taxis drops us off and returns to Spain
At our expense we had to find a hotel of what to eat and what to return to Lyon the next day
All this is unacceptable lack of incompetence management virulent assistants in short there is no wor"&amp;"d to write assistance that leaves you at the side of the road miles from your home a baby on the arm.")</f>
        <v>Very very disappointed and upset against Macif Assistance
On vacation in Spain our car breaks down impossible to return to France with
We therefore call for Macif Assistance in France in order to find a solution
We are returned to the Macif Assistance in Madrid 4 days before the date of our departure from Spain
We are told that we have to wait for the mechanic's assessment km and km from our rental concerning our car and that we will be reminded
Obviously no one called
We have called several times a day to get news but nothing
The day before our departure we are announced that the car is screwed up we decide to scrap it
Macif Assistance offers us a rental car to return to France that you have to get km and km from our spoiled day rental location
Thereafter we learn that this car must be deposited on the Spanish border because it must not leave the territory and that a taxi will be sent to us to return to Lyon
Departure day as planned we put the car on the border and use Macif Assistance for the Taxi
After waiting for 1 hour in the middle of a cagnard with an 11 month old baby we recall the Macif to have taxi news
The latter still did not have taxi to repatriates
After waiting for about 3 hours a taxi arriving we load the car towards Lyon
Arrived towards Perpignan the taxi comes out of the highway and rolls on the nationals before stopping in Nîmes and telling us that we arrived surprised we tell him that we are from Lyon and not from Nîmes
The driver shows us on his laptop the address given by the Macif Assistance and tells us that no it is indeed nîmes and that if he would have seen Lyon he would never have accepted the race
We try to join the Macif Assistance of Madrid which clearly sends us on the roses by explaining that Nîmes is our address and that if we want to go to Lyon it is a new trip in short, impossible to be heard and understand
We are on a roadside it is about 9 p.m.
In the end Macif Assistance announces that they can do nothing for us anymore
that we have to manage alone and not politely
Taxis drops us off and returns to Spain
At our expense we had to find a hotel of what to eat and what to return to Lyon the next day
All this is unacceptable lack of incompetence management virulent assistants in short there is no word to write assistance that leaves you at the side of the road miles from your home a baby on the arm.</v>
      </c>
    </row>
    <row r="776" ht="15.75" customHeight="1">
      <c r="B776" s="2" t="s">
        <v>2218</v>
      </c>
      <c r="C776" s="2" t="s">
        <v>2219</v>
      </c>
      <c r="D776" s="2" t="s">
        <v>1948</v>
      </c>
      <c r="E776" s="2" t="s">
        <v>14</v>
      </c>
      <c r="F776" s="2" t="s">
        <v>15</v>
      </c>
      <c r="G776" s="2" t="s">
        <v>2220</v>
      </c>
      <c r="H776" s="2" t="s">
        <v>210</v>
      </c>
      <c r="I776" s="2" t="str">
        <f>IFERROR(__xludf.DUMMYFUNCTION("GOOGLETRANSLATE(C776,""fr"",""en"")"),"I subscribed to auto insurance by phone and when I received the schedule by mail they had added 18 euros more per month compared to the initial contract carried out by phone and for them it was normal it is the damage Who is apart except that by phone I s"&amp;"aid that I did not want this guarantee. So I used my right of withdrawal")</f>
        <v>I subscribed to auto insurance by phone and when I received the schedule by mail they had added 18 euros more per month compared to the initial contract carried out by phone and for them it was normal it is the damage Who is apart except that by phone I said that I did not want this guarantee. So I used my right of withdrawal</v>
      </c>
    </row>
    <row r="777" ht="15.75" customHeight="1">
      <c r="B777" s="2" t="s">
        <v>2221</v>
      </c>
      <c r="C777" s="2" t="s">
        <v>2222</v>
      </c>
      <c r="D777" s="2" t="s">
        <v>1948</v>
      </c>
      <c r="E777" s="2" t="s">
        <v>14</v>
      </c>
      <c r="F777" s="2" t="s">
        <v>15</v>
      </c>
      <c r="G777" s="2" t="s">
        <v>485</v>
      </c>
      <c r="H777" s="2" t="s">
        <v>210</v>
      </c>
      <c r="I777" s="2" t="str">
        <f>IFERROR(__xludf.DUMMYFUNCTION("GOOGLETRANSLATE(C777,""fr"",""en"")"),"We pay a subscription and the service is not up to par. 8 to 12 months to compensate a disaster.
The Macif has dropped as these guarantees.
Flee Macif !!")</f>
        <v>We pay a subscription and the service is not up to par. 8 to 12 months to compensate a disaster.
The Macif has dropped as these guarantees.
Flee Macif !!</v>
      </c>
    </row>
    <row r="778" ht="15.75" customHeight="1">
      <c r="B778" s="2" t="s">
        <v>2223</v>
      </c>
      <c r="C778" s="2" t="s">
        <v>2224</v>
      </c>
      <c r="D778" s="2" t="s">
        <v>1948</v>
      </c>
      <c r="E778" s="2" t="s">
        <v>14</v>
      </c>
      <c r="F778" s="2" t="s">
        <v>15</v>
      </c>
      <c r="G778" s="2" t="s">
        <v>210</v>
      </c>
      <c r="H778" s="2" t="s">
        <v>210</v>
      </c>
      <c r="I778" s="2" t="str">
        <f>IFERROR(__xludf.DUMMYFUNCTION("GOOGLETRANSLATE(C778,""fr"",""en"")"),"Only the financial logic counts and are ready to lie so as not to reimburse. (Case of theft of my car). Very amazing on the part of a society that pretending to be a mutual .... no human sense.")</f>
        <v>Only the financial logic counts and are ready to lie so as not to reimburse. (Case of theft of my car). Very amazing on the part of a society that pretending to be a mutual .... no human sense.</v>
      </c>
    </row>
    <row r="779" ht="15.75" customHeight="1">
      <c r="B779" s="2" t="s">
        <v>2225</v>
      </c>
      <c r="C779" s="2" t="s">
        <v>2226</v>
      </c>
      <c r="D779" s="2" t="s">
        <v>1948</v>
      </c>
      <c r="E779" s="2" t="s">
        <v>14</v>
      </c>
      <c r="F779" s="2" t="s">
        <v>15</v>
      </c>
      <c r="G779" s="2" t="s">
        <v>1718</v>
      </c>
      <c r="H779" s="2" t="s">
        <v>217</v>
      </c>
      <c r="I779" s="2" t="str">
        <f>IFERROR(__xludf.DUMMYFUNCTION("GOOGLETRANSLATE(C779,""fr"",""en"")"),"10 years with them, almost no claims (so I don't think I am a ""bad customer"" for them.
On the other hand as soon as the file has the slightest problem customer service is not at the service of the insured.
- They say they do the necessary and do nothi"&amp;"ng
- They do not know how to hear the exasperation of the customer whom they disparage quickly before ignoring it.
Example:
- I bring in a locksmith who does the bad job, he goes 4 times without solution by being mistaken about the material and the M"&amp;"acif does not react. I do the necessary for myself to go and get another craftsman, the Macif says it send an expert to check the rest to do: this one never comes.
Finally, when I share in the quality service that I am unhappy with the 3 months of expect"&amp;"ations and 4 days taken on my vacation to receive the various craftsmen, my interlocutor tells me ""and you want us to do what? You are not the only one Mr. to have problems ""
- More recently, I ask to have my car repaired in an unsealized garage. The e"&amp;"xpert makes 2 quotes with different amounts. The Macif says it should contact him to understand: they never explained to me anything. I had 3 calls which discovered the problem each time and said to me ""do the necessary"" ... In the end I harassed the ex"&amp;"pert to have the explanation.
Without counting the maici messaging which responds to an email from me in a sentence without hello or thank you ""the expert informs us that you have not repaired your vehicle. As a result, the report remains unchanged. "&amp;"""""
Shameful when it is 10 years old at home ...
So if the prices are interested in why not, otherwise drop you will be a quickly categorized number as ""boring client"" if you ask for service and it will be felt in exchanges ...
L.")</f>
        <v>10 years with them, almost no claims (so I don't think I am a "bad customer" for them.
On the other hand as soon as the file has the slightest problem customer service is not at the service of the insured.
- They say they do the necessary and do nothing
- They do not know how to hear the exasperation of the customer whom they disparage quickly before ignoring it.
Example:
- I bring in a locksmith who does the bad job, he goes 4 times without solution by being mistaken about the material and the Macif does not react. I do the necessary for myself to go and get another craftsman, the Macif says it send an expert to check the rest to do: this one never comes.
Finally, when I share in the quality service that I am unhappy with the 3 months of expectations and 4 days taken on my vacation to receive the various craftsmen, my interlocutor tells me "and you want us to do what? You are not the only one Mr. to have problems "
- More recently, I ask to have my car repaired in an unsealized garage. The expert makes 2 quotes with different amounts. The Macif says it should contact him to understand: they never explained to me anything. I had 3 calls which discovered the problem each time and said to me "do the necessary" ... In the end I harassed the expert to have the explanation.
Without counting the maici messaging which responds to an email from me in a sentence without hello or thank you "the expert informs us that you have not repaired your vehicle. As a result, the report remains unchanged. ""
Shameful when it is 10 years old at home ...
So if the prices are interested in why not, otherwise drop you will be a quickly categorized number as "boring client" if you ask for service and it will be felt in exchanges ...
L.</v>
      </c>
    </row>
    <row r="780" ht="15.75" customHeight="1">
      <c r="B780" s="2" t="s">
        <v>2227</v>
      </c>
      <c r="C780" s="2" t="s">
        <v>2228</v>
      </c>
      <c r="D780" s="2" t="s">
        <v>1948</v>
      </c>
      <c r="E780" s="2" t="s">
        <v>14</v>
      </c>
      <c r="F780" s="2" t="s">
        <v>15</v>
      </c>
      <c r="G780" s="2" t="s">
        <v>2229</v>
      </c>
      <c r="H780" s="2" t="s">
        <v>217</v>
      </c>
      <c r="I780" s="2" t="str">
        <f>IFERROR(__xludf.DUMMYFUNCTION("GOOGLETRANSLATE(C780,""fr"",""en"")"),"Hello I have the same problem as other members here ... I solve my contract subscribed on June 1, 2018 a year later ... I am told that my bonus remains at 1 !! What because the date of scope is all the avrils then at 2 months I could have benefited from 0"&amp;".95 !! Do you think that the agency advisor warned me? NOPE. I lose a year. So I terminate, the pill having difficulty passing. By recommended. A few days later I am told that my accident accident guarantee is not terminated and that I owe 157.69 euros an"&amp;"d that it is off for a year!?! When you stop taking people for pigeons, word of mouth is formidable and you really make me a big disappointment!")</f>
        <v>Hello I have the same problem as other members here ... I solve my contract subscribed on June 1, 2018 a year later ... I am told that my bonus remains at 1 !! What because the date of scope is all the avrils then at 2 months I could have benefited from 0.95 !! Do you think that the agency advisor warned me? NOPE. I lose a year. So I terminate, the pill having difficulty passing. By recommended. A few days later I am told that my accident accident guarantee is not terminated and that I owe 157.69 euros and that it is off for a year!?! When you stop taking people for pigeons, word of mouth is formidable and you really make me a big disappointment!</v>
      </c>
    </row>
    <row r="781" ht="15.75" customHeight="1">
      <c r="B781" s="2" t="s">
        <v>2230</v>
      </c>
      <c r="C781" s="2" t="s">
        <v>2231</v>
      </c>
      <c r="D781" s="2" t="s">
        <v>1948</v>
      </c>
      <c r="E781" s="2" t="s">
        <v>14</v>
      </c>
      <c r="F781" s="2" t="s">
        <v>15</v>
      </c>
      <c r="G781" s="2" t="s">
        <v>2232</v>
      </c>
      <c r="H781" s="2" t="s">
        <v>217</v>
      </c>
      <c r="I781" s="2" t="str">
        <f>IFERROR(__xludf.DUMMYFUNCTION("GOOGLETRANSLATE(C781,""fr"",""en"")"),"
Simple information notice for the moment. I was trying to make sure online so as not to deal with a natural person, I found a grip with the Macif entitled '' Subscribe online '', I filled the form for my secondary vehicle that I use Only on short journe"&amp;"ys without risk, and I was about to pay online when the form ended with: '' An advisor will contact you for appointment. '' I find it stupid and misleading, it should have been mentioned from the start and be called '' online pre-registration for appointm"&amp;"ents ''.
Indeed, I was called but just the day before my deadline. I was going to subscribe elsewhere, they were hot. The operator on the phone, very correct, took the missing information and asked me for a deposit by credit card, something that I hated "&amp;"by phone and that must be avoided For obvious reasons, but I still risked paying this deposit. Good. Confirmation received by email, nothing to say except that they could have done without that. I then went to the appointment, there I am announced that th"&amp;"ere are 10 euros in entry fees. That either, it did not appear anywhere, and the operator had not told me when I paid the deposit.
These are details, but when things are not clear from the start, that means that it will not be necessary to be done too mu"&amp;"ch about the treatment of a possible disaster.
")</f>
        <v>
Simple information notice for the moment. I was trying to make sure online so as not to deal with a natural person, I found a grip with the Macif entitled '' Subscribe online '', I filled the form for my secondary vehicle that I use Only on short journeys without risk, and I was about to pay online when the form ended with: '' An advisor will contact you for appointment. '' I find it stupid and misleading, it should have been mentioned from the start and be called '' online pre-registration for appointments ''.
Indeed, I was called but just the day before my deadline. I was going to subscribe elsewhere, they were hot. The operator on the phone, very correct, took the missing information and asked me for a deposit by credit card, something that I hated by phone and that must be avoided For obvious reasons, but I still risked paying this deposit. Good. Confirmation received by email, nothing to say except that they could have done without that. I then went to the appointment, there I am announced that there are 10 euros in entry fees. That either, it did not appear anywhere, and the operator had not told me when I paid the deposit.
These are details, but when things are not clear from the start, that means that it will not be necessary to be done too much about the treatment of a possible disaster.
</v>
      </c>
    </row>
    <row r="782" ht="15.75" customHeight="1">
      <c r="B782" s="2" t="s">
        <v>2233</v>
      </c>
      <c r="C782" s="2" t="s">
        <v>2234</v>
      </c>
      <c r="D782" s="2" t="s">
        <v>1948</v>
      </c>
      <c r="E782" s="2" t="s">
        <v>14</v>
      </c>
      <c r="F782" s="2" t="s">
        <v>15</v>
      </c>
      <c r="G782" s="2" t="s">
        <v>2235</v>
      </c>
      <c r="H782" s="2" t="s">
        <v>224</v>
      </c>
      <c r="I782" s="2" t="str">
        <f>IFERROR(__xludf.DUMMYFUNCTION("GOOGLETRANSLATE(C782,""fr"",""en"")"),"Insurance that works with an expert firm who systematically refuse to cover all the repairs to be made on vehicles after claims.")</f>
        <v>Insurance that works with an expert firm who systematically refuse to cover all the repairs to be made on vehicles after claims.</v>
      </c>
    </row>
    <row r="783" ht="15.75" customHeight="1">
      <c r="B783" s="2" t="s">
        <v>2236</v>
      </c>
      <c r="C783" s="2" t="s">
        <v>2237</v>
      </c>
      <c r="D783" s="2" t="s">
        <v>1948</v>
      </c>
      <c r="E783" s="2" t="s">
        <v>14</v>
      </c>
      <c r="F783" s="2" t="s">
        <v>15</v>
      </c>
      <c r="G783" s="2" t="s">
        <v>2238</v>
      </c>
      <c r="H783" s="2" t="s">
        <v>224</v>
      </c>
      <c r="I783" s="2" t="str">
        <f>IFERROR(__xludf.DUMMYFUNCTION("GOOGLETRANSLATE(C783,""fr"",""en"")"),"I will only judge the call center part to make an auto quote. Indeed, I called to have a car rate, an advisor told me that I will find this quote in my personal space and that it will remind me to make a point. Seeing that he does not remind me, I recall "&amp;"and no one finds my quote, nor trace of my morning request.
I am a quote and surprise, the price has increased by 215th, I believe in a joke but no! The advisor does not care and speaks to me unpleasantly.
Having also made an internet quote, I find myse"&amp;"lf in the end with 3 different prices!
I tell him to drop and I will find another insurance.
 Deplorable customer service
To flee...")</f>
        <v>I will only judge the call center part to make an auto quote. Indeed, I called to have a car rate, an advisor told me that I will find this quote in my personal space and that it will remind me to make a point. Seeing that he does not remind me, I recall and no one finds my quote, nor trace of my morning request.
I am a quote and surprise, the price has increased by 215th, I believe in a joke but no! The advisor does not care and speaks to me unpleasantly.
Having also made an internet quote, I find myself in the end with 3 different prices!
I tell him to drop and I will find another insurance.
 Deplorable customer service
To flee...</v>
      </c>
    </row>
    <row r="784" ht="15.75" customHeight="1">
      <c r="B784" s="2" t="s">
        <v>2239</v>
      </c>
      <c r="C784" s="2" t="s">
        <v>2240</v>
      </c>
      <c r="D784" s="2" t="s">
        <v>1948</v>
      </c>
      <c r="E784" s="2" t="s">
        <v>14</v>
      </c>
      <c r="F784" s="2" t="s">
        <v>15</v>
      </c>
      <c r="G784" s="2" t="s">
        <v>916</v>
      </c>
      <c r="H784" s="2" t="s">
        <v>228</v>
      </c>
      <c r="I784" s="2" t="str">
        <f>IFERROR(__xludf.DUMMYFUNCTION("GOOGLETRANSLATE(C784,""fr"",""en"")"),"To flee!!! Customer service and incompetent file managers We are there that to pay the deadlines and when a claim occurs this insurance finds a way to drag your file or to refuse the compensation provided for the terms of the my lawyer's contract is curre"&amp;"ntly being entered the Tribunal de grande instance because only way to obtain my compensation for 5 years that I am a customer in the with more than 5 contracts no consideration by this insurance in bad faith which only thinks their interest and leaves yo"&amp;"u in difficulty.")</f>
        <v>To flee!!! Customer service and incompetent file managers We are there that to pay the deadlines and when a claim occurs this insurance finds a way to drag your file or to refuse the compensation provided for the terms of the my lawyer's contract is currently being entered the Tribunal de grande instance because only way to obtain my compensation for 5 years that I am a customer in the with more than 5 contracts no consideration by this insurance in bad faith which only thinks their interest and leaves you in difficulty.</v>
      </c>
    </row>
    <row r="785" ht="15.75" customHeight="1">
      <c r="B785" s="2" t="s">
        <v>2241</v>
      </c>
      <c r="C785" s="2" t="s">
        <v>2242</v>
      </c>
      <c r="D785" s="2" t="s">
        <v>1948</v>
      </c>
      <c r="E785" s="2" t="s">
        <v>14</v>
      </c>
      <c r="F785" s="2" t="s">
        <v>15</v>
      </c>
      <c r="G785" s="2" t="s">
        <v>2243</v>
      </c>
      <c r="H785" s="2" t="s">
        <v>228</v>
      </c>
      <c r="I785" s="2" t="str">
        <f>IFERROR(__xludf.DUMMYFUNCTION("GOOGLETRANSLATE(C785,""fr"",""en"")"),"Macif customer service is simply horrible because I waited for 47 min and I had no answer and fortunately I hung up if not the telephone bill would be enormous. It is really a lack of respect for its customers which has great seniority.")</f>
        <v>Macif customer service is simply horrible because I waited for 47 min and I had no answer and fortunately I hung up if not the telephone bill would be enormous. It is really a lack of respect for its customers which has great seniority.</v>
      </c>
    </row>
    <row r="786" ht="15.75" customHeight="1">
      <c r="B786" s="2" t="s">
        <v>2244</v>
      </c>
      <c r="C786" s="2" t="s">
        <v>2245</v>
      </c>
      <c r="D786" s="2" t="s">
        <v>1948</v>
      </c>
      <c r="E786" s="2" t="s">
        <v>14</v>
      </c>
      <c r="F786" s="2" t="s">
        <v>15</v>
      </c>
      <c r="G786" s="2" t="s">
        <v>2246</v>
      </c>
      <c r="H786" s="2" t="s">
        <v>238</v>
      </c>
      <c r="I786" s="2" t="str">
        <f>IFERROR(__xludf.DUMMYFUNCTION("GOOGLETRANSLATE(C786,""fr"",""en"")"),"Shame, insurer which is effective when nothing happens, does not like the old ones, this is how my 84 -year -old father has just been fired, 2 accidents certainly responsible (no luck) in 25 years. Were not listening to a doubt about the 2nd incident, we "&amp;"thought he had been rolled by the opposing party, they don't care.
Difficult to find elsewhere thank you Macif. We found elsewhere but at what price!")</f>
        <v>Shame, insurer which is effective when nothing happens, does not like the old ones, this is how my 84 -year -old father has just been fired, 2 accidents certainly responsible (no luck) in 25 years. Were not listening to a doubt about the 2nd incident, we thought he had been rolled by the opposing party, they don't care.
Difficult to find elsewhere thank you Macif. We found elsewhere but at what price!</v>
      </c>
    </row>
    <row r="787" ht="15.75" customHeight="1">
      <c r="B787" s="2" t="s">
        <v>2247</v>
      </c>
      <c r="C787" s="2" t="s">
        <v>2248</v>
      </c>
      <c r="D787" s="2" t="s">
        <v>1948</v>
      </c>
      <c r="E787" s="2" t="s">
        <v>14</v>
      </c>
      <c r="F787" s="2" t="s">
        <v>15</v>
      </c>
      <c r="G787" s="2" t="s">
        <v>2249</v>
      </c>
      <c r="H787" s="2" t="s">
        <v>238</v>
      </c>
      <c r="I787" s="2" t="str">
        <f>IFERROR(__xludf.DUMMYFUNCTION("GOOGLETRANSLATE(C787,""fr"",""en"")"),"What a fun of insurance. Refuse to renew the contract because 3 claims declared in 4 years, including a break of ice (of course we are responsible ... pebbles on the road and the other two without accident just reparations) they know how to take care of t"&amp;"he franchise and the monthly payments but you have no rights especially after 35 years of insured at home.")</f>
        <v>What a fun of insurance. Refuse to renew the contract because 3 claims declared in 4 years, including a break of ice (of course we are responsible ... pebbles on the road and the other two without accident just reparations) they know how to take care of the franchise and the monthly payments but you have no rights especially after 35 years of insured at home.</v>
      </c>
    </row>
    <row r="788" ht="15.75" customHeight="1">
      <c r="B788" s="2" t="s">
        <v>2250</v>
      </c>
      <c r="C788" s="2" t="s">
        <v>2251</v>
      </c>
      <c r="D788" s="2" t="s">
        <v>1948</v>
      </c>
      <c r="E788" s="2" t="s">
        <v>14</v>
      </c>
      <c r="F788" s="2" t="s">
        <v>15</v>
      </c>
      <c r="G788" s="2" t="s">
        <v>2252</v>
      </c>
      <c r="H788" s="2" t="s">
        <v>238</v>
      </c>
      <c r="I788" s="2" t="str">
        <f>IFERROR(__xludf.DUMMYFUNCTION("GOOGLETRANSLATE(C788,""fr"",""en"")"),"Extremely expensive prices (I won 180 euros with the same guarantees by going to Direct Insurance). Loyalty is absolutely not rewarded and if you thought you were saving money by gathering your insurance or thinking more. You will systematically wait betw"&amp;"een 5 and 15 minutes to have an advisor that most of the time is monstrous incompetence, is unpleasant and haughty.")</f>
        <v>Extremely expensive prices (I won 180 euros with the same guarantees by going to Direct Insurance). Loyalty is absolutely not rewarded and if you thought you were saving money by gathering your insurance or thinking more. You will systematically wait between 5 and 15 minutes to have an advisor that most of the time is monstrous incompetence, is unpleasant and haughty.</v>
      </c>
    </row>
    <row r="789" ht="15.75" customHeight="1">
      <c r="B789" s="2" t="s">
        <v>2253</v>
      </c>
      <c r="C789" s="2" t="s">
        <v>2254</v>
      </c>
      <c r="D789" s="2" t="s">
        <v>1948</v>
      </c>
      <c r="E789" s="2" t="s">
        <v>14</v>
      </c>
      <c r="F789" s="2" t="s">
        <v>15</v>
      </c>
      <c r="G789" s="2" t="s">
        <v>2255</v>
      </c>
      <c r="H789" s="2" t="s">
        <v>238</v>
      </c>
      <c r="I789" s="2" t="str">
        <f>IFERROR(__xludf.DUMMYFUNCTION("GOOGLETRANSLATE(C789,""fr"",""en"")"),"Hostage taking")</f>
        <v>Hostage taking</v>
      </c>
    </row>
    <row r="790" ht="15.75" customHeight="1">
      <c r="B790" s="2" t="s">
        <v>2256</v>
      </c>
      <c r="C790" s="2" t="s">
        <v>2257</v>
      </c>
      <c r="D790" s="2" t="s">
        <v>1948</v>
      </c>
      <c r="E790" s="2" t="s">
        <v>14</v>
      </c>
      <c r="F790" s="2" t="s">
        <v>15</v>
      </c>
      <c r="G790" s="2" t="s">
        <v>2258</v>
      </c>
      <c r="H790" s="2" t="s">
        <v>513</v>
      </c>
      <c r="I790" s="2" t="str">
        <f>IFERROR(__xludf.DUMMYFUNCTION("GOOGLETRANSLATE(C790,""fr"",""en"")"),"To the Macif for over 19 years and God thank you no accident but here is my opinion
I also had a slight clash with another vehicle. I declaged the claim by the Macif site. I am very unhappy with the services rendered by the Macif. In particular, there is"&amp;" an expertise party: impossible to reach them by phone during working hours. As this is the first time that it happens to me I have been directly at the Expertise firm during my working hours. I have had a lot of difficulty found and the expert is cold. H"&amp;"e achieved an estimate a few days later and costs announced by phone two recovery around 400 euros which corresponds to the amount of the deductible that I have to pay. I point out my problem to the Macif so that it will pay the total fees there. In it I "&amp;"just received the expert's report which increases to 250 euros but is incomplete since a fire is missing and the usual rear shield
I don't understand anything anymore, then I am assuring any risk and I hope will pay the costs.
I made a complaint this af"&amp;"ternoon on the site
If no response by Monday I change my insurance because I don't even imagine the consequences ’if the damage was more important
")</f>
        <v>To the Macif for over 19 years and God thank you no accident but here is my opinion
I also had a slight clash with another vehicle. I declaged the claim by the Macif site. I am very unhappy with the services rendered by the Macif. In particular, there is an expertise party: impossible to reach them by phone during working hours. As this is the first time that it happens to me I have been directly at the Expertise firm during my working hours. I have had a lot of difficulty found and the expert is cold. He achieved an estimate a few days later and costs announced by phone two recovery around 400 euros which corresponds to the amount of the deductible that I have to pay. I point out my problem to the Macif so that it will pay the total fees there. In it I just received the expert's report which increases to 250 euros but is incomplete since a fire is missing and the usual rear shield
I don't understand anything anymore, then I am assuring any risk and I hope will pay the costs.
I made a complaint this afternoon on the site
If no response by Monday I change my insurance because I don't even imagine the consequences ’if the damage was more important
</v>
      </c>
    </row>
    <row r="791" ht="15.75" customHeight="1">
      <c r="B791" s="2" t="s">
        <v>2259</v>
      </c>
      <c r="C791" s="2" t="s">
        <v>2260</v>
      </c>
      <c r="D791" s="2" t="s">
        <v>1948</v>
      </c>
      <c r="E791" s="2" t="s">
        <v>14</v>
      </c>
      <c r="F791" s="2" t="s">
        <v>15</v>
      </c>
      <c r="G791" s="2" t="s">
        <v>939</v>
      </c>
      <c r="H791" s="2" t="s">
        <v>513</v>
      </c>
      <c r="I791" s="2" t="str">
        <f>IFERROR(__xludf.DUMMYFUNCTION("GOOGLETRANSLATE(C791,""fr"",""en"")"),"I share my experience with you, I was stolen my car, no monitoring of the Macif services! I was forced to call them several times to have the information relating to my file, no professionalism.
I have been led by boat since 12/31, despite compensation f"&amp;"rom my vehicle following the flight, the latter continent to take me! Normal without any worries for them and when I make it known that this sample is no longer justified these asks me for an email, something done.
To date the Macif recognizes having my "&amp;"2 monthly payments but will reimburse me this amount in 2 months !!!!!!!! Taking as a pretext for a notice of notice.
So the Macif takes you wrong in all relaxation and to top it all you are asked to wait 2 months so that your ""too versed make little on"&amp;" their accounts"".
RUN AWAY!!!!!")</f>
        <v>I share my experience with you, I was stolen my car, no monitoring of the Macif services! I was forced to call them several times to have the information relating to my file, no professionalism.
I have been led by boat since 12/31, despite compensation from my vehicle following the flight, the latter continent to take me! Normal without any worries for them and when I make it known that this sample is no longer justified these asks me for an email, something done.
To date the Macif recognizes having my 2 monthly payments but will reimburse me this amount in 2 months !!!!!!!! Taking as a pretext for a notice of notice.
So the Macif takes you wrong in all relaxation and to top it all you are asked to wait 2 months so that your "too versed make little on their accounts".
RUN AWAY!!!!!</v>
      </c>
    </row>
    <row r="792" ht="15.75" customHeight="1">
      <c r="B792" s="2" t="s">
        <v>2261</v>
      </c>
      <c r="C792" s="2" t="s">
        <v>2262</v>
      </c>
      <c r="D792" s="2" t="s">
        <v>1948</v>
      </c>
      <c r="E792" s="2" t="s">
        <v>14</v>
      </c>
      <c r="F792" s="2" t="s">
        <v>15</v>
      </c>
      <c r="G792" s="2" t="s">
        <v>2263</v>
      </c>
      <c r="H792" s="2" t="s">
        <v>517</v>
      </c>
      <c r="I792" s="2" t="str">
        <f>IFERROR(__xludf.DUMMYFUNCTION("GOOGLETRANSLATE(C792,""fr"",""en"")"),"I have everything at home! You just saw my son because 2 accidents in 2 years including a young driver's bumper as cous you have been! It is too facial to keep that those we of the bonus so I will certainly leave you too, however everything is with you .."&amp;".")</f>
        <v>I have everything at home! You just saw my son because 2 accidents in 2 years including a young driver's bumper as cous you have been! It is too facial to keep that those we of the bonus so I will certainly leave you too, however everything is with you ...</v>
      </c>
    </row>
    <row r="793" ht="15.75" customHeight="1">
      <c r="B793" s="2" t="s">
        <v>2264</v>
      </c>
      <c r="C793" s="2" t="s">
        <v>2265</v>
      </c>
      <c r="D793" s="2" t="s">
        <v>1948</v>
      </c>
      <c r="E793" s="2" t="s">
        <v>14</v>
      </c>
      <c r="F793" s="2" t="s">
        <v>15</v>
      </c>
      <c r="G793" s="2" t="s">
        <v>2266</v>
      </c>
      <c r="H793" s="2" t="s">
        <v>517</v>
      </c>
      <c r="I793" s="2" t="str">
        <f>IFERROR(__xludf.DUMMYFUNCTION("GOOGLETRANSLATE(C793,""fr"",""en"")"),"Rear shock same sense of ciculation not having a declaration form and the manager either;, I have to pay a deductible as well as any risk and that I did the necessary on the internet inadmissible! Change planned insurance")</f>
        <v>Rear shock same sense of ciculation not having a declaration form and the manager either;, I have to pay a deductible as well as any risk and that I did the necessary on the internet inadmissible! Change planned insurance</v>
      </c>
    </row>
    <row r="794" ht="15.75" customHeight="1">
      <c r="B794" s="2" t="s">
        <v>2267</v>
      </c>
      <c r="C794" s="2" t="s">
        <v>2268</v>
      </c>
      <c r="D794" s="2" t="s">
        <v>1948</v>
      </c>
      <c r="E794" s="2" t="s">
        <v>14</v>
      </c>
      <c r="F794" s="2" t="s">
        <v>15</v>
      </c>
      <c r="G794" s="2" t="s">
        <v>942</v>
      </c>
      <c r="H794" s="2" t="s">
        <v>517</v>
      </c>
      <c r="I794" s="2" t="str">
        <f>IFERROR(__xludf.DUMMYFUNCTION("GOOGLETRANSLATE(C794,""fr"",""en"")"),"Overall very satisfied with their services")</f>
        <v>Overall very satisfied with their services</v>
      </c>
    </row>
    <row r="795" ht="15.75" customHeight="1">
      <c r="B795" s="2" t="s">
        <v>2269</v>
      </c>
      <c r="C795" s="2" t="s">
        <v>2270</v>
      </c>
      <c r="D795" s="2" t="s">
        <v>1948</v>
      </c>
      <c r="E795" s="2" t="s">
        <v>14</v>
      </c>
      <c r="F795" s="2" t="s">
        <v>15</v>
      </c>
      <c r="G795" s="2" t="s">
        <v>2271</v>
      </c>
      <c r="H795" s="2" t="s">
        <v>524</v>
      </c>
      <c r="I795" s="2" t="str">
        <f>IFERROR(__xludf.DUMMYFUNCTION("GOOGLETRANSLATE(C795,""fr"",""en"")"),"Hello, I had an accident on 08/15/18, a car crapping my vehicle by toasting a red light, he did not want to sign, the police did not want to move by saying to see with confidence, there was a witnesses who sent his report to insurance. Macif tells me inad"&amp;"missible because the. Name does not correspond, however, the mail he received at his home the phone number is the right one.
Car is always at the convenience store, Macif when I contact he tell me to wait for manager to remind me, who never reminds me of"&amp;" it. When I move in the agency they tell me the same thing. I feel helpless in my situation not knowing what to do. No aid on their shares we are on 30.11.2018 Macif my never recalled, yet every week I remind them ..... I don't know if I have to bring bus"&amp;"iness to Julien Courbet who can do some things.")</f>
        <v>Hello, I had an accident on 08/15/18, a car crapping my vehicle by toasting a red light, he did not want to sign, the police did not want to move by saying to see with confidence, there was a witnesses who sent his report to insurance. Macif tells me inadmissible because the. Name does not correspond, however, the mail he received at his home the phone number is the right one.
Car is always at the convenience store, Macif when I contact he tell me to wait for manager to remind me, who never reminds me of it. When I move in the agency they tell me the same thing. I feel helpless in my situation not knowing what to do. No aid on their shares we are on 30.11.2018 Macif my never recalled, yet every week I remind them ..... I don't know if I have to bring business to Julien Courbet who can do some things.</v>
      </c>
    </row>
    <row r="796" ht="15.75" customHeight="1">
      <c r="B796" s="2" t="s">
        <v>2272</v>
      </c>
      <c r="C796" s="2" t="s">
        <v>2273</v>
      </c>
      <c r="D796" s="2" t="s">
        <v>1948</v>
      </c>
      <c r="E796" s="2" t="s">
        <v>14</v>
      </c>
      <c r="F796" s="2" t="s">
        <v>15</v>
      </c>
      <c r="G796" s="2" t="s">
        <v>2274</v>
      </c>
      <c r="H796" s="2" t="s">
        <v>524</v>
      </c>
      <c r="I796" s="2" t="str">
        <f>IFERROR(__xludf.DUMMYFUNCTION("GOOGLETRANSLATE(C796,""fr"",""en"")"),"Not only is the waiting time at such is very long but in addition the person is very very badly friendly !!
Customer number seized 2 times on the keyboard and my interlocutor asked me again !! after 15 min waiting !!")</f>
        <v>Not only is the waiting time at such is very long but in addition the person is very very badly friendly !!
Customer number seized 2 times on the keyboard and my interlocutor asked me again !! after 15 min waiting !!</v>
      </c>
    </row>
    <row r="797" ht="15.75" customHeight="1">
      <c r="B797" s="2" t="s">
        <v>2275</v>
      </c>
      <c r="C797" s="2" t="s">
        <v>2276</v>
      </c>
      <c r="D797" s="2" t="s">
        <v>1948</v>
      </c>
      <c r="E797" s="2" t="s">
        <v>14</v>
      </c>
      <c r="F797" s="2" t="s">
        <v>15</v>
      </c>
      <c r="G797" s="2" t="s">
        <v>2277</v>
      </c>
      <c r="H797" s="2" t="s">
        <v>524</v>
      </c>
      <c r="I797" s="2" t="str">
        <f>IFERROR(__xludf.DUMMYFUNCTION("GOOGLETRANSLATE(C797,""fr"",""en"")"),"Hello Madame Monsieur I have been with you for 10 years No accident I have a home contract and 2 car contracts indeed on 12/11/18 my boy had an accident a refusal of priority on a road to double sense of the opposing party The observation The person to ch"&amp;"eck the breakage 13 and 15 which means that he and well in wrong at 100 from our side we have ticks any breakage we are answered at the agency or I have deposited the observation that I will be 50/50 Cause of the sketch badly do we even try to offer a ban"&amp;"k account to my boys at the agency of Moissy Cramayel I am really in disregarding my son to avoid a frontal shock the opposing part and very in wrong at 100% I am talking about drawing The more we and on 10/26/18 I have called your platform several times "&amp;"I come across really unpleasant people I have a hurry to have the result to change your insurance")</f>
        <v>Hello Madame Monsieur I have been with you for 10 years No accident I have a home contract and 2 car contracts indeed on 12/11/18 my boy had an accident a refusal of priority on a road to double sense of the opposing party The observation The person to check the breakage 13 and 15 which means that he and well in wrong at 100 from our side we have ticks any breakage we are answered at the agency or I have deposited the observation that I will be 50/50 Cause of the sketch badly do we even try to offer a bank account to my boys at the agency of Moissy Cramayel I am really in disregarding my son to avoid a frontal shock the opposing part and very in wrong at 100% I am talking about drawing The more we and on 10/26/18 I have called your platform several times I come across really unpleasant people I have a hurry to have the result to change your insurance</v>
      </c>
    </row>
    <row r="798" ht="15.75" customHeight="1">
      <c r="B798" s="2" t="s">
        <v>2278</v>
      </c>
      <c r="C798" s="2" t="s">
        <v>2279</v>
      </c>
      <c r="D798" s="2" t="s">
        <v>1948</v>
      </c>
      <c r="E798" s="2" t="s">
        <v>14</v>
      </c>
      <c r="F798" s="2" t="s">
        <v>15</v>
      </c>
      <c r="G798" s="2" t="s">
        <v>2280</v>
      </c>
      <c r="H798" s="2" t="s">
        <v>258</v>
      </c>
      <c r="I798" s="2" t="str">
        <f>IFERROR(__xludf.DUMMYFUNCTION("GOOGLETRANSLATE(C798,""fr"",""en"")"),"Search the Macif because they will do everything not to compensate you in the event of a claim
I myself have been burglaly at two in the morning when we slept they are raised by the balconies they took everything that was of value and in addition the key"&amp;" to our car
The burglars we do a chase in Marseille with accident at the back of the car
Cost of repair 3600 euros that the Macif does not want to know anything.
They don't want to know anything and my same stops insurance on the day of the vehicle fli"&amp;"ght.
Even the other insurers are amazed at their reactions and I have been assured for forty years at home
I would put a comment every week and on all forums")</f>
        <v>Search the Macif because they will do everything not to compensate you in the event of a claim
I myself have been burglaly at two in the morning when we slept they are raised by the balconies they took everything that was of value and in addition the key to our car
The burglars we do a chase in Marseille with accident at the back of the car
Cost of repair 3600 euros that the Macif does not want to know anything.
They don't want to know anything and my same stops insurance on the day of the vehicle flight.
Even the other insurers are amazed at their reactions and I have been assured for forty years at home
I would put a comment every week and on all forums</v>
      </c>
    </row>
    <row r="799" ht="15.75" customHeight="1">
      <c r="B799" s="2" t="s">
        <v>2281</v>
      </c>
      <c r="C799" s="2" t="s">
        <v>2282</v>
      </c>
      <c r="D799" s="2" t="s">
        <v>1948</v>
      </c>
      <c r="E799" s="2" t="s">
        <v>14</v>
      </c>
      <c r="F799" s="2" t="s">
        <v>15</v>
      </c>
      <c r="G799" s="2" t="s">
        <v>974</v>
      </c>
      <c r="H799" s="2" t="s">
        <v>258</v>
      </c>
      <c r="I799" s="2" t="str">
        <f>IFERROR(__xludf.DUMMYFUNCTION("GOOGLETRANSLATE(C799,""fr"",""en"")"),"I have almost all my insurance at Macif and fortunately for me I cannot judge her on her reimbursements and services because it has been many years since I had dealt with this insurance.
On average, the prices charged for my car and my motorcycle are rel"&amp;"atively correct compared to certain other insurances which, although offering more attractive prices, do not meet the same conditions.
The only drawback for me met, is for the assurance of my sailboat! There, ""they"" are not at all competitive !!! Too b"&amp;"ad for insurance that sponsors racing sailboats holding records around the world.")</f>
        <v>I have almost all my insurance at Macif and fortunately for me I cannot judge her on her reimbursements and services because it has been many years since I had dealt with this insurance.
On average, the prices charged for my car and my motorcycle are relatively correct compared to certain other insurances which, although offering more attractive prices, do not meet the same conditions.
The only drawback for me met, is for the assurance of my sailboat! There, "they" are not at all competitive !!! Too bad for insurance that sponsors racing sailboats holding records around the world.</v>
      </c>
    </row>
    <row r="800" ht="15.75" customHeight="1">
      <c r="B800" s="2" t="s">
        <v>2283</v>
      </c>
      <c r="C800" s="2" t="s">
        <v>2284</v>
      </c>
      <c r="D800" s="2" t="s">
        <v>1948</v>
      </c>
      <c r="E800" s="2" t="s">
        <v>14</v>
      </c>
      <c r="F800" s="2" t="s">
        <v>15</v>
      </c>
      <c r="G800" s="2" t="s">
        <v>2285</v>
      </c>
      <c r="H800" s="2" t="s">
        <v>258</v>
      </c>
      <c r="I800" s="2" t="str">
        <f>IFERROR(__xludf.DUMMYFUNCTION("GOOGLETRANSLATE(C800,""fr"",""en"")"),"Customer for 40 years, change of region from north to south and in addition when arriving in the south of car change. I can tell you that loyalty no longer pays. I pay more for a Peugeot 208 than for a Peugeot 2008")</f>
        <v>Customer for 40 years, change of region from north to south and in addition when arriving in the south of car change. I can tell you that loyalty no longer pays. I pay more for a Peugeot 208 than for a Peugeot 2008</v>
      </c>
    </row>
    <row r="801" ht="15.75" customHeight="1">
      <c r="B801" s="2" t="s">
        <v>2286</v>
      </c>
      <c r="C801" s="2" t="s">
        <v>2287</v>
      </c>
      <c r="D801" s="2" t="s">
        <v>1948</v>
      </c>
      <c r="E801" s="2" t="s">
        <v>14</v>
      </c>
      <c r="F801" s="2" t="s">
        <v>15</v>
      </c>
      <c r="G801" s="2" t="s">
        <v>1770</v>
      </c>
      <c r="H801" s="2" t="s">
        <v>258</v>
      </c>
      <c r="I801" s="2" t="str">
        <f>IFERROR(__xludf.DUMMYFUNCTION("GOOGLETRANSLATE(C801,""fr"",""en"")"),"No particular comment Very good insurance to listen to its customers who have been very available customers for many years I have been very satisfied with their price condition and the speed of managing claims")</f>
        <v>No particular comment Very good insurance to listen to its customers who have been very available customers for many years I have been very satisfied with their price condition and the speed of managing claims</v>
      </c>
    </row>
    <row r="802" ht="15.75" customHeight="1">
      <c r="B802" s="2" t="s">
        <v>2288</v>
      </c>
      <c r="C802" s="2" t="s">
        <v>2289</v>
      </c>
      <c r="D802" s="2" t="s">
        <v>1948</v>
      </c>
      <c r="E802" s="2" t="s">
        <v>14</v>
      </c>
      <c r="F802" s="2" t="s">
        <v>15</v>
      </c>
      <c r="G802" s="2" t="s">
        <v>1770</v>
      </c>
      <c r="H802" s="2" t="s">
        <v>258</v>
      </c>
      <c r="I802" s="2" t="str">
        <f>IFERROR(__xludf.DUMMYFUNCTION("GOOGLETRANSLATE(C802,""fr"",""en"")"),"To avoid when there is a problem people can answer I attach a refund. In agency no response to the phone 30 days to be repayed I remind you after 30 days I am told that it's 60 days they don't really know their Work since everything is written on a comput"&amp;"er of anything and I don't even talk about the bank with whom they are associated")</f>
        <v>To avoid when there is a problem people can answer I attach a refund. In agency no response to the phone 30 days to be repayed I remind you after 30 days I am told that it's 60 days they don't really know their Work since everything is written on a computer of anything and I don't even talk about the bank with whom they are associated</v>
      </c>
    </row>
    <row r="803" ht="15.75" customHeight="1">
      <c r="B803" s="2" t="s">
        <v>2290</v>
      </c>
      <c r="C803" s="2" t="s">
        <v>2291</v>
      </c>
      <c r="D803" s="2" t="s">
        <v>1948</v>
      </c>
      <c r="E803" s="2" t="s">
        <v>14</v>
      </c>
      <c r="F803" s="2" t="s">
        <v>15</v>
      </c>
      <c r="G803" s="2" t="s">
        <v>2292</v>
      </c>
      <c r="H803" s="2" t="s">
        <v>258</v>
      </c>
      <c r="I803" s="2" t="str">
        <f>IFERROR(__xludf.DUMMYFUNCTION("GOOGLETRANSLATE(C803,""fr"",""en"")"),"Impossible to have reliable information, advisers
are incompetent, and you are terminated your insurance
, without real reason. To ban Macif to flee.")</f>
        <v>Impossible to have reliable information, advisers
are incompetent, and you are terminated your insurance
, without real reason. To ban Macif to flee.</v>
      </c>
    </row>
    <row r="804" ht="15.75" customHeight="1">
      <c r="B804" s="2" t="s">
        <v>2293</v>
      </c>
      <c r="C804" s="2" t="s">
        <v>2294</v>
      </c>
      <c r="D804" s="2" t="s">
        <v>1948</v>
      </c>
      <c r="E804" s="2" t="s">
        <v>14</v>
      </c>
      <c r="F804" s="2" t="s">
        <v>15</v>
      </c>
      <c r="G804" s="2" t="s">
        <v>538</v>
      </c>
      <c r="H804" s="2" t="s">
        <v>258</v>
      </c>
      <c r="I804" s="2" t="str">
        <f>IFERROR(__xludf.DUMMYFUNCTION("GOOGLETRANSLATE(C804,""fr"",""en"")"),"I have been insured with the Macif for a long time. I wanted to provide a new vehicle but she does not want the insured because I have a 25 %penalty, on the other hand she agreed to ensure my old vehicle. So I don't understand anything in their way of pro"&amp;"ceeding.")</f>
        <v>I have been insured with the Macif for a long time. I wanted to provide a new vehicle but she does not want the insured because I have a 25 %penalty, on the other hand she agreed to ensure my old vehicle. So I don't understand anything in their way of proceeding.</v>
      </c>
    </row>
    <row r="805" ht="15.75" customHeight="1">
      <c r="B805" s="2" t="s">
        <v>2295</v>
      </c>
      <c r="C805" s="2" t="s">
        <v>2296</v>
      </c>
      <c r="D805" s="2" t="s">
        <v>1948</v>
      </c>
      <c r="E805" s="2" t="s">
        <v>14</v>
      </c>
      <c r="F805" s="2" t="s">
        <v>15</v>
      </c>
      <c r="G805" s="2" t="s">
        <v>1780</v>
      </c>
      <c r="H805" s="2" t="s">
        <v>262</v>
      </c>
      <c r="I805" s="2" t="str">
        <f>IFERROR(__xludf.DUMMYFUNCTION("GOOGLETRANSLATE(C805,""fr"",""en"")"),"My declaration is neither wrong nor fraudulent. Everything happened as I said. Experts make mistakes, the system does not work, and you know.
I don't have time or money to bring another expert. I will therefore pay the repairs of my pocket.
The disp"&amp;"leasure of being treated as a liar once next ...")</f>
        <v>My declaration is neither wrong nor fraudulent. Everything happened as I said. Experts make mistakes, the system does not work, and you know.
I don't have time or money to bring another expert. I will therefore pay the repairs of my pocket.
The displeasure of being treated as a liar once next ...</v>
      </c>
    </row>
    <row r="806" ht="15.75" customHeight="1">
      <c r="B806" s="2" t="s">
        <v>2297</v>
      </c>
      <c r="C806" s="2" t="s">
        <v>2298</v>
      </c>
      <c r="D806" s="2" t="s">
        <v>1948</v>
      </c>
      <c r="E806" s="2" t="s">
        <v>14</v>
      </c>
      <c r="F806" s="2" t="s">
        <v>15</v>
      </c>
      <c r="G806" s="2" t="s">
        <v>2299</v>
      </c>
      <c r="H806" s="2" t="s">
        <v>262</v>
      </c>
      <c r="I806" s="2" t="str">
        <f>IFERROR(__xludf.DUMMYFUNCTION("GOOGLETRANSLATE(C806,""fr"",""en"")"),"Customer for fifteen years at the Macif, I have 5 contracts at home (cars, motorcycle, school insurance, domicile, ...)
Until then everything was going well and I found reactive customer service.
Obviously for a few months things have changed well, when"&amp;" I call for something other than to subscribe to an option I come across Malaimable interlocutors or who send on the roses.
The Macif there is a big problem at home and we will have to pull yourself together
At the end of July, the engine steering wheel"&amp;"
And clutch breaks on our main car and this in my wife's vacancy. The Macif is called and our car is towed to the Ford Garage Ford closest.
After being relieved by the 1900th garage for repair, the Macif makes a taxi available to my wife to go to the ga"&amp;"rage.
Bad luck, there is a problem on repairs carried out, I call the Macif by reminding them that this garage is approved by their care and that I therefore wish support from them to find an amicable solution with the mechanic
First reaction of my inte"&amp;"rlocutor: of course we will support you and put pressure on the garage.
The said interlocutor puts me waiting to consult his hierarchy and there ... We can do nothing because it is not us who approved the garage is inter mutual assistance so we must see "&amp;"with them ... (ah good ? But it is however with you that I am a client, not a mutual assistance obviously sends me back to the Macif ...
After having explained to my interlocutor that I found that the Macif did not go after things to defend the interes"&amp;"t of its members, the latter replied that it is not necessarily better elsewhere ... good quality policy!
In the end, I have to face the facts, the Macif is not better than the others (contrary to what I had been believing for 15 years), you pay for your"&amp;" subscription but in the 1st claim there is no one.")</f>
        <v>Customer for fifteen years at the Macif, I have 5 contracts at home (cars, motorcycle, school insurance, domicile, ...)
Until then everything was going well and I found reactive customer service.
Obviously for a few months things have changed well, when I call for something other than to subscribe to an option I come across Malaimable interlocutors or who send on the roses.
The Macif there is a big problem at home and we will have to pull yourself together
At the end of July, the engine steering wheel
And clutch breaks on our main car and this in my wife's vacancy. The Macif is called and our car is towed to the Ford Garage Ford closest.
After being relieved by the 1900th garage for repair, the Macif makes a taxi available to my wife to go to the garage.
Bad luck, there is a problem on repairs carried out, I call the Macif by reminding them that this garage is approved by their care and that I therefore wish support from them to find an amicable solution with the mechanic
First reaction of my interlocutor: of course we will support you and put pressure on the garage.
The said interlocutor puts me waiting to consult his hierarchy and there ... We can do nothing because it is not us who approved the garage is inter mutual assistance so we must see with them ... (ah good ? But it is however with you that I am a client, not a mutual assistance obviously sends me back to the Macif ...
After having explained to my interlocutor that I found that the Macif did not go after things to defend the interest of its members, the latter replied that it is not necessarily better elsewhere ... good quality policy!
In the end, I have to face the facts, the Macif is not better than the others (contrary to what I had been believing for 15 years), you pay for your subscription but in the 1st claim there is no one.</v>
      </c>
    </row>
    <row r="807" ht="15.75" customHeight="1">
      <c r="B807" s="2" t="s">
        <v>2300</v>
      </c>
      <c r="C807" s="2" t="s">
        <v>2301</v>
      </c>
      <c r="D807" s="2" t="s">
        <v>1948</v>
      </c>
      <c r="E807" s="2" t="s">
        <v>14</v>
      </c>
      <c r="F807" s="2" t="s">
        <v>15</v>
      </c>
      <c r="G807" s="2" t="s">
        <v>2302</v>
      </c>
      <c r="H807" s="2" t="s">
        <v>272</v>
      </c>
      <c r="I807" s="2" t="str">
        <f>IFERROR(__xludf.DUMMYFUNCTION("GOOGLETRANSLATE(C807,""fr"",""en"")"),"Insurance which has a poor customer service, following a claim I received 272 euros for the repair of my vehicle as well as the replacement.
Only downside the mirror costs 350 euros.")</f>
        <v>Insurance which has a poor customer service, following a claim I received 272 euros for the repair of my vehicle as well as the replacement.
Only downside the mirror costs 350 euros.</v>
      </c>
    </row>
    <row r="808" ht="15.75" customHeight="1">
      <c r="B808" s="2" t="s">
        <v>2303</v>
      </c>
      <c r="C808" s="2" t="s">
        <v>2304</v>
      </c>
      <c r="D808" s="2" t="s">
        <v>1948</v>
      </c>
      <c r="E808" s="2" t="s">
        <v>14</v>
      </c>
      <c r="F808" s="2" t="s">
        <v>15</v>
      </c>
      <c r="G808" s="2" t="s">
        <v>2305</v>
      </c>
      <c r="H808" s="2" t="s">
        <v>276</v>
      </c>
      <c r="I808" s="2" t="str">
        <f>IFERROR(__xludf.DUMMYFUNCTION("GOOGLETRANSLATE(C808,""fr"",""en"")"),"Disappointed !
After a 1 and a half contract with them we have our car which broke down (dead car), they do not want to terminate the contract as long as we do not have another car. So we bought another car (BMW) and they don't want to make sure because "&amp;"they say that our file has an accident when it was an ""stop accident"" The car did not have a shock.
The BMW must be too expensive to be taken care of by the Macif ...")</f>
        <v>Disappointed !
After a 1 and a half contract with them we have our car which broke down (dead car), they do not want to terminate the contract as long as we do not have another car. So we bought another car (BMW) and they don't want to make sure because they say that our file has an accident when it was an "stop accident" The car did not have a shock.
The BMW must be too expensive to be taken care of by the Macif ...</v>
      </c>
    </row>
    <row r="809" ht="15.75" customHeight="1">
      <c r="B809" s="2" t="s">
        <v>2306</v>
      </c>
      <c r="C809" s="2" t="s">
        <v>2307</v>
      </c>
      <c r="D809" s="2" t="s">
        <v>1948</v>
      </c>
      <c r="E809" s="2" t="s">
        <v>14</v>
      </c>
      <c r="F809" s="2" t="s">
        <v>15</v>
      </c>
      <c r="G809" s="2" t="s">
        <v>275</v>
      </c>
      <c r="H809" s="2" t="s">
        <v>276</v>
      </c>
      <c r="I809" s="2" t="str">
        <f>IFERROR(__xludf.DUMMYFUNCTION("GOOGLETRANSLATE(C809,""fr"",""en"")"),"
Insured at the Macif for over 30 years for all my contracts, more placement booklet life. I have noticed for some time the change in behavior of the Macif towards its members. I had a Picasso C4 since 2012 assured at the Macif, today I change my vehicle"&amp;", T-Roc I am refused insurance for it. My son had a responsible accident in early 2012 with our car, which was at the time a Volkswagen. My son no longer lives with us and works abroad. Surprised I went to my Macif de Challans agency, I am explained that "&amp;"becoming the owner of a Volkswagen car seems high-end? I am refused insurance because of this 2012 accident that my son had. I am it seems a driver at risk ?? It was not me who was driving.")</f>
        <v>
Insured at the Macif for over 30 years for all my contracts, more placement booklet life. I have noticed for some time the change in behavior of the Macif towards its members. I had a Picasso C4 since 2012 assured at the Macif, today I change my vehicle, T-Roc I am refused insurance for it. My son had a responsible accident in early 2012 with our car, which was at the time a Volkswagen. My son no longer lives with us and works abroad. Surprised I went to my Macif de Challans agency, I am explained that becoming the owner of a Volkswagen car seems high-end? I am refused insurance because of this 2012 accident that my son had. I am it seems a driver at risk ?? It was not me who was driving.</v>
      </c>
    </row>
    <row r="810" ht="15.75" customHeight="1">
      <c r="B810" s="2" t="s">
        <v>2308</v>
      </c>
      <c r="C810" s="2" t="s">
        <v>2309</v>
      </c>
      <c r="D810" s="2" t="s">
        <v>1948</v>
      </c>
      <c r="E810" s="2" t="s">
        <v>14</v>
      </c>
      <c r="F810" s="2" t="s">
        <v>15</v>
      </c>
      <c r="G810" s="2" t="s">
        <v>2310</v>
      </c>
      <c r="H810" s="2" t="s">
        <v>1009</v>
      </c>
      <c r="I810" s="2" t="str">
        <f>IFERROR(__xludf.DUMMYFUNCTION("GOOGLETRANSLATE(C810,""fr"",""en"")"),"Too bad it is not possible to remove all the Stars because the macif zero guarantees. We appear with an insurance ""any risk"" we only have a contract mentioning the driver the vehicle your bonus and the guarantee with the different franchise ... I have n"&amp;"ever received any other contract. Until the day when my vehicle a porsche Cayenne was vandalized (scratch all the car) I therefore dressed a complaint declare the sinister and take my car to the expert and the cimmence the mesaventure.ma car is equipped w"&amp;"ith a covering which is considered an accessory. Assens so I am not talking about accessories during the establishment of my insurance contract. The baths that tell me that the accessories so the covers that covers all my car is ensured up to 600 euros. I"&amp;" ask him if I have to redo my car with 600euros. Ros minus 500 euros in franchise. I let you do the calculation. I will decide this insurance which say what they mean at the time of subscription.")</f>
        <v>Too bad it is not possible to remove all the Stars because the macif zero guarantees. We appear with an insurance "any risk" we only have a contract mentioning the driver the vehicle your bonus and the guarantee with the different franchise ... I have never received any other contract. Until the day when my vehicle a porsche Cayenne was vandalized (scratch all the car) I therefore dressed a complaint declare the sinister and take my car to the expert and the cimmence the mesaventure.ma car is equipped with a covering which is considered an accessory. Assens so I am not talking about accessories during the establishment of my insurance contract. The baths that tell me that the accessories so the covers that covers all my car is ensured up to 600 euros. I ask him if I have to redo my car with 600euros. Ros minus 500 euros in franchise. I let you do the calculation. I will decide this insurance which say what they mean at the time of subscription.</v>
      </c>
    </row>
    <row r="811" ht="15.75" customHeight="1">
      <c r="B811" s="2" t="s">
        <v>2311</v>
      </c>
      <c r="C811" s="2" t="s">
        <v>2312</v>
      </c>
      <c r="D811" s="2" t="s">
        <v>1948</v>
      </c>
      <c r="E811" s="2" t="s">
        <v>14</v>
      </c>
      <c r="F811" s="2" t="s">
        <v>15</v>
      </c>
      <c r="G811" s="2" t="s">
        <v>2313</v>
      </c>
      <c r="H811" s="2" t="s">
        <v>1009</v>
      </c>
      <c r="I811" s="2" t="str">
        <f>IFERROR(__xludf.DUMMYFUNCTION("GOOGLETRANSLATE(C811,""fr"",""en"")"),"It is unacceptable and very disappointing, the so-called Macif advisers are insurance sellers, they are not competent or simply ignorant, no precise information given on the phone during my agreement, result, when my vehicle was Stolen, I was not entitled"&amp;" to the management of a vehicle rental for a month (I had not checked this option, indeed, it is an option, go understand) if this information is not Not requested by the customer, in worse for him, the Macif saves money! Other information, your car is st"&amp;"olen, pay you a deductible of € 300 and is it completely normal? As a bonus, a low estimate of the expert for a minimum reimbursement. It is simply lamentable.")</f>
        <v>It is unacceptable and very disappointing, the so-called Macif advisers are insurance sellers, they are not competent or simply ignorant, no precise information given on the phone during my agreement, result, when my vehicle was Stolen, I was not entitled to the management of a vehicle rental for a month (I had not checked this option, indeed, it is an option, go understand) if this information is not Not requested by the customer, in worse for him, the Macif saves money! Other information, your car is stolen, pay you a deductible of € 300 and is it completely normal? As a bonus, a low estimate of the expert for a minimum reimbursement. It is simply lamentable.</v>
      </c>
    </row>
    <row r="812" ht="15.75" customHeight="1">
      <c r="B812" s="2" t="s">
        <v>2314</v>
      </c>
      <c r="C812" s="2" t="s">
        <v>2315</v>
      </c>
      <c r="D812" s="2" t="s">
        <v>1948</v>
      </c>
      <c r="E812" s="2" t="s">
        <v>14</v>
      </c>
      <c r="F812" s="2" t="s">
        <v>15</v>
      </c>
      <c r="G812" s="2" t="s">
        <v>1018</v>
      </c>
      <c r="H812" s="2" t="s">
        <v>1009</v>
      </c>
      <c r="I812" s="2" t="str">
        <f>IFERROR(__xludf.DUMMYFUNCTION("GOOGLETRANSLATE(C812,""fr"",""en"")"),"Thank you the Macif !!")</f>
        <v>Thank you the Macif !!</v>
      </c>
    </row>
    <row r="813" ht="15.75" customHeight="1">
      <c r="B813" s="2" t="s">
        <v>2316</v>
      </c>
      <c r="C813" s="2" t="s">
        <v>2317</v>
      </c>
      <c r="D813" s="2" t="s">
        <v>1948</v>
      </c>
      <c r="E813" s="2" t="s">
        <v>14</v>
      </c>
      <c r="F813" s="2" t="s">
        <v>15</v>
      </c>
      <c r="G813" s="2" t="s">
        <v>2318</v>
      </c>
      <c r="H813" s="2" t="s">
        <v>559</v>
      </c>
      <c r="I813" s="2" t="str">
        <f>IFERROR(__xludf.DUMMYFUNCTION("GOOGLETRANSLATE(C813,""fr"",""en"")"),"Insured for 40 years no problem because not d, accident today it will be 3 times that I take them a paper that I sold my vehicle 7 months ago and they lose it every time, next year I am looking for another insurer")</f>
        <v>Insured for 40 years no problem because not d, accident today it will be 3 times that I take them a paper that I sold my vehicle 7 months ago and they lose it every time, next year I am looking for another insurer</v>
      </c>
    </row>
    <row r="814" ht="15.75" customHeight="1">
      <c r="B814" s="2" t="s">
        <v>2319</v>
      </c>
      <c r="C814" s="2" t="s">
        <v>2320</v>
      </c>
      <c r="D814" s="2" t="s">
        <v>1948</v>
      </c>
      <c r="E814" s="2" t="s">
        <v>14</v>
      </c>
      <c r="F814" s="2" t="s">
        <v>15</v>
      </c>
      <c r="G814" s="2" t="s">
        <v>2321</v>
      </c>
      <c r="H814" s="2" t="s">
        <v>559</v>
      </c>
      <c r="I814" s="2" t="str">
        <f>IFERROR(__xludf.DUMMYFUNCTION("GOOGLETRANSLATE(C814,""fr"",""en"")"),"abusive takeover of the mutual APIVIA during the contract and no repayment at the height
Banque Socem who takes sowings without authorization
Non -conciliatory Macif reception
Total finance deck")</f>
        <v>abusive takeover of the mutual APIVIA during the contract and no repayment at the height
Banque Socem who takes sowings without authorization
Non -conciliatory Macif reception
Total finance deck</v>
      </c>
    </row>
    <row r="815" ht="15.75" customHeight="1">
      <c r="B815" s="2" t="s">
        <v>2322</v>
      </c>
      <c r="C815" s="2" t="s">
        <v>2323</v>
      </c>
      <c r="D815" s="2" t="s">
        <v>1948</v>
      </c>
      <c r="E815" s="2" t="s">
        <v>14</v>
      </c>
      <c r="F815" s="2" t="s">
        <v>15</v>
      </c>
      <c r="G815" s="2" t="s">
        <v>2324</v>
      </c>
      <c r="H815" s="2" t="s">
        <v>559</v>
      </c>
      <c r="I815" s="2" t="str">
        <f>IFERROR(__xludf.DUMMYFUNCTION("GOOGLETRANSLATE(C815,""fr"",""en"")"),"The Macif is the cause of a problem which it can no longer solve. It increased my insurance by 70 euros by allowing itself to modify, without my agreement, the amount of my franchise. Despite several messages, calls and movement in agency, I face a comple"&amp;"te silence.")</f>
        <v>The Macif is the cause of a problem which it can no longer solve. It increased my insurance by 70 euros by allowing itself to modify, without my agreement, the amount of my franchise. Despite several messages, calls and movement in agency, I face a complete silence.</v>
      </c>
    </row>
    <row r="816" ht="15.75" customHeight="1">
      <c r="B816" s="2" t="s">
        <v>2325</v>
      </c>
      <c r="C816" s="2" t="s">
        <v>2326</v>
      </c>
      <c r="D816" s="2" t="s">
        <v>1948</v>
      </c>
      <c r="E816" s="2" t="s">
        <v>14</v>
      </c>
      <c r="F816" s="2" t="s">
        <v>15</v>
      </c>
      <c r="G816" s="2" t="s">
        <v>1465</v>
      </c>
      <c r="H816" s="2" t="s">
        <v>559</v>
      </c>
      <c r="I816" s="2" t="str">
        <f>IFERROR(__xludf.DUMMYFUNCTION("GOOGLETRANSLATE(C816,""fr"",""en"")"),"Insured for more than 20 years at the Macif, never a liable disaster, 50 percent of bonus me and my wife. I had a little hanging in which I am not responsible, I am insured. But that is so plagued the price of the repair that the garage approved to throw "&amp;"the sponge. I cannot have my vehicle repaired. Expert reproaches me where I had the shock, an earlier damage. could therefore not take into account all of the work estimated by the garage at € 824 and the expert € 209. The agency manager offers me € 250 t"&amp;"o be added to that of the expert, the rest at my expense. My vehicle had no anteced accident. 10 years ago I had the same similar story at home, and they told me the same speech. I am not responsible, I am accused of an accident history and I cannot have "&amp;"my vehicle repaired. I would not do a penny, I believe that I am not responsible. I no longer have confidence. one to terminate all my contracts.")</f>
        <v>Insured for more than 20 years at the Macif, never a liable disaster, 50 percent of bonus me and my wife. I had a little hanging in which I am not responsible, I am insured. But that is so plagued the price of the repair that the garage approved to throw the sponge. I cannot have my vehicle repaired. Expert reproaches me where I had the shock, an earlier damage. could therefore not take into account all of the work estimated by the garage at € 824 and the expert € 209. The agency manager offers me € 250 to be added to that of the expert, the rest at my expense. My vehicle had no anteced accident. 10 years ago I had the same similar story at home, and they told me the same speech. I am not responsible, I am accused of an accident history and I cannot have my vehicle repaired. I would not do a penny, I believe that I am not responsible. I no longer have confidence. one to terminate all my contracts.</v>
      </c>
    </row>
    <row r="817" ht="15.75" customHeight="1">
      <c r="B817" s="2" t="s">
        <v>2327</v>
      </c>
      <c r="C817" s="2" t="s">
        <v>2328</v>
      </c>
      <c r="D817" s="2" t="s">
        <v>1948</v>
      </c>
      <c r="E817" s="2" t="s">
        <v>14</v>
      </c>
      <c r="F817" s="2" t="s">
        <v>15</v>
      </c>
      <c r="G817" s="2" t="s">
        <v>2329</v>
      </c>
      <c r="H817" s="2" t="s">
        <v>565</v>
      </c>
      <c r="I817" s="2" t="str">
        <f>IFERROR(__xludf.DUMMYFUNCTION("GOOGLETRANSLATE(C817,""fr"",""en"")"),"Hi there,
I just read many comments on the Macif; I note that many comments are negative. To do the share of things, I get in my opinion; Insured for many years with this insurer, having had some responsible and non -responsible claims, the Macif has alw"&amp;"ays been up to the situation. It is true that it is up to each insured to defend his rights if he deems being victim of ""neglect"" or biased by his insurer. Which was my case; I have always found people at my listening and who sometimes lit my lantern on"&amp;" aspects that I did not master. It is possible to remember here that we do not make sure to earn money but above all to limit the breakage in case this disaster! Besides, we are our first insurer ourselves! I conclude my comment here: as far as I am conce"&amp;"rned, I am satisfied with my insurer, the Macif and does not plan to change it to nibble a few euros or even ten euros! Well to you.
India")</f>
        <v>Hi there,
I just read many comments on the Macif; I note that many comments are negative. To do the share of things, I get in my opinion; Insured for many years with this insurer, having had some responsible and non -responsible claims, the Macif has always been up to the situation. It is true that it is up to each insured to defend his rights if he deems being victim of "neglect" or biased by his insurer. Which was my case; I have always found people at my listening and who sometimes lit my lantern on aspects that I did not master. It is possible to remember here that we do not make sure to earn money but above all to limit the breakage in case this disaster! Besides, we are our first insurer ourselves! I conclude my comment here: as far as I am concerned, I am satisfied with my insurer, the Macif and does not plan to change it to nibble a few euros or even ten euros! Well to you.
India</v>
      </c>
    </row>
    <row r="818" ht="15.75" customHeight="1">
      <c r="B818" s="2" t="s">
        <v>2330</v>
      </c>
      <c r="C818" s="2" t="s">
        <v>2331</v>
      </c>
      <c r="D818" s="2" t="s">
        <v>1948</v>
      </c>
      <c r="E818" s="2" t="s">
        <v>14</v>
      </c>
      <c r="F818" s="2" t="s">
        <v>15</v>
      </c>
      <c r="G818" s="2" t="s">
        <v>2332</v>
      </c>
      <c r="H818" s="2" t="s">
        <v>565</v>
      </c>
      <c r="I818" s="2" t="str">
        <f>IFERROR(__xludf.DUMMYFUNCTION("GOOGLETRANSLATE(C818,""fr"",""en"")"),"After a sinister fire, forgotten file request for an emergency expert, the advisor reminds me until 3 weeks later. He is supposed to advise me to my incomplete complaint. He just tells me that it is illegal, they receive the Car keys to transmit to the ex"&amp;"pert has more than 200 km, they keep them in their headquarters, a month after return to square one. (Excellence formula)")</f>
        <v>After a sinister fire, forgotten file request for an emergency expert, the advisor reminds me until 3 weeks later. He is supposed to advise me to my incomplete complaint. He just tells me that it is illegal, they receive the Car keys to transmit to the expert has more than 200 km, they keep them in their headquarters, a month after return to square one. (Excellence formula)</v>
      </c>
    </row>
    <row r="819" ht="15.75" customHeight="1">
      <c r="B819" s="2" t="s">
        <v>2333</v>
      </c>
      <c r="C819" s="2" t="s">
        <v>2334</v>
      </c>
      <c r="D819" s="2" t="s">
        <v>1948</v>
      </c>
      <c r="E819" s="2" t="s">
        <v>14</v>
      </c>
      <c r="F819" s="2" t="s">
        <v>15</v>
      </c>
      <c r="G819" s="2" t="s">
        <v>1470</v>
      </c>
      <c r="H819" s="2" t="s">
        <v>565</v>
      </c>
      <c r="I819" s="2" t="str">
        <f>IFERROR(__xludf.DUMMYFUNCTION("GOOGLETRANSLATE(C819,""fr"",""en"")"),"Run away!!!
Client for 10 years for home insurance, I take my car credit at home and I pass my 2 car insurance in July. For car credit no worries, for the 2 cars a ordeal !!
Request for parts a 10aine of times while already sent, contract received with "&amp;"bad names on the papers or better with ilmatculation which does not correspond!
It does not end up settling for my husband's car. For mine, an Autra Histoir I am asked to stop missing missing parts already sent several times! Allite and tired I end up re"&amp;"ceiving my contract I do not pay attention I sign and refer, and then I am again asking me for pieces !! Suddenly the bank directors are only taken for the car and insurance home. Mid December an accident I am responsible for and there I am told that I am"&amp;" at the third party, car in 2011, 100,000km which cot even more than € 6000! A shame, everything was done by phone because of my covenant and no registration conversations!
It will be criticized for me: but if it does not work by phone, it was necessary "&amp;"to move, obviously I have stopped since my 5th week of pregnancy with prohibition to move, but yes I can move to 20min by car!
I move to Vendome very badly received by the manager, 1/2 hour late without escuses or hello, still the person I had on the pho"&amp;"ne who apparently did not pass the message for this appointment. The manager limited me insulting a liar, the expert passes and announces 2,600 € of repairs!
The Macif refuses to take care would only be half, I write a letter of appeal to the president o"&amp;"f the appeal committee on 4/01! I'm still waiting for the answer !!
I called last week as if by chance my file had to spend during the week ... to date no news!
Sincerely go pay 3 € per month more expensive elsewhere to be sure to have professional and "&amp;"competent people !!")</f>
        <v>Run away!!!
Client for 10 years for home insurance, I take my car credit at home and I pass my 2 car insurance in July. For car credit no worries, for the 2 cars a ordeal !!
Request for parts a 10aine of times while already sent, contract received with bad names on the papers or better with ilmatculation which does not correspond!
It does not end up settling for my husband's car. For mine, an Autra Histoir I am asked to stop missing missing parts already sent several times! Allite and tired I end up receiving my contract I do not pay attention I sign and refer, and then I am again asking me for pieces !! Suddenly the bank directors are only taken for the car and insurance home. Mid December an accident I am responsible for and there I am told that I am at the third party, car in 2011, 100,000km which cot even more than € 6000! A shame, everything was done by phone because of my covenant and no registration conversations!
It will be criticized for me: but if it does not work by phone, it was necessary to move, obviously I have stopped since my 5th week of pregnancy with prohibition to move, but yes I can move to 20min by car!
I move to Vendome very badly received by the manager, 1/2 hour late without escuses or hello, still the person I had on the phone who apparently did not pass the message for this appointment. The manager limited me insulting a liar, the expert passes and announces 2,600 € of repairs!
The Macif refuses to take care would only be half, I write a letter of appeal to the president of the appeal committee on 4/01! I'm still waiting for the answer !!
I called last week as if by chance my file had to spend during the week ... to date no news!
Sincerely go pay 3 € per month more expensive elsewhere to be sure to have professional and competent people !!</v>
      </c>
    </row>
    <row r="820" ht="15.75" customHeight="1">
      <c r="B820" s="2" t="s">
        <v>2335</v>
      </c>
      <c r="C820" s="2" t="s">
        <v>2336</v>
      </c>
      <c r="D820" s="2" t="s">
        <v>1948</v>
      </c>
      <c r="E820" s="2" t="s">
        <v>14</v>
      </c>
      <c r="F820" s="2" t="s">
        <v>15</v>
      </c>
      <c r="G820" s="2" t="s">
        <v>576</v>
      </c>
      <c r="H820" s="2" t="s">
        <v>577</v>
      </c>
      <c r="I820" s="2" t="str">
        <f>IFERROR(__xludf.DUMMYFUNCTION("GOOGLETRANSLATE(C820,""fr"",""en"")"),"Hello, Customer for over 20 years at Macif, 30 years of license, 50% bonus, and 3 vehicles insured at home. I asked for an online quote for a vehicle (130hp) offered to my son, refuses because under 25 years old with 1.33 penalties, but already assured at"&amp;" home ... OK, I ask for an agency quote to put The vehicle has my name then. Categorical refusal of the Lens manager, impossible to ensure the vehicle, and without reason ??? Answer: I have to look elsewhere! Very well, but if I am looking for 1 vehicle, "&amp;"I will look for the 3 ... Bravo the customer relationship, lamentable we remain pawns!")</f>
        <v>Hello, Customer for over 20 years at Macif, 30 years of license, 50% bonus, and 3 vehicles insured at home. I asked for an online quote for a vehicle (130hp) offered to my son, refuses because under 25 years old with 1.33 penalties, but already assured at home ... OK, I ask for an agency quote to put The vehicle has my name then. Categorical refusal of the Lens manager, impossible to ensure the vehicle, and without reason ??? Answer: I have to look elsewhere! Very well, but if I am looking for 1 vehicle, I will look for the 3 ... Bravo the customer relationship, lamentable we remain pawns!</v>
      </c>
    </row>
    <row r="821" ht="15.75" customHeight="1">
      <c r="B821" s="2" t="s">
        <v>2337</v>
      </c>
      <c r="C821" s="2" t="s">
        <v>2338</v>
      </c>
      <c r="D821" s="2" t="s">
        <v>1948</v>
      </c>
      <c r="E821" s="2" t="s">
        <v>14</v>
      </c>
      <c r="F821" s="2" t="s">
        <v>15</v>
      </c>
      <c r="G821" s="2" t="s">
        <v>576</v>
      </c>
      <c r="H821" s="2" t="s">
        <v>577</v>
      </c>
      <c r="I821" s="2" t="str">
        <f>IFERROR(__xludf.DUMMYFUNCTION("GOOGLETRANSLATE(C821,""fr"",""en"")"),"I am assured at the Macif in auto insurance since 1999 a non -responsible claim they have been responsive I have the home and credit insurance with them for a short time I have been thinking about legal protection soon and also go to them")</f>
        <v>I am assured at the Macif in auto insurance since 1999 a non -responsible claim they have been responsive I have the home and credit insurance with them for a short time I have been thinking about legal protection soon and also go to them</v>
      </c>
    </row>
    <row r="822" ht="15.75" customHeight="1">
      <c r="B822" s="2" t="s">
        <v>2339</v>
      </c>
      <c r="C822" s="2" t="s">
        <v>2340</v>
      </c>
      <c r="D822" s="2" t="s">
        <v>1948</v>
      </c>
      <c r="E822" s="2" t="s">
        <v>14</v>
      </c>
      <c r="F822" s="2" t="s">
        <v>15</v>
      </c>
      <c r="G822" s="2" t="s">
        <v>2341</v>
      </c>
      <c r="H822" s="2" t="s">
        <v>577</v>
      </c>
      <c r="I822" s="2" t="str">
        <f>IFERROR(__xludf.DUMMYFUNCTION("GOOGLETRANSLATE(C822,""fr"",""en"")"),"I am reminded me because I have requested an information statement on the internet to make great promises to me .. tell me that I will give me the amount of the deductible and monthly payments since I have never had any Accident and that ""I pay too much"&amp;""" .... but when I receive my bank statement it is quite different ... they have increased. On the spot I ask for explanations ... ""We do not understand but in any case .... no diminished monthly payment or decreased deductible !!! Sorry they can do noth"&amp;"ing and what they have advanced by phone is .... an error of a ""colleague""")</f>
        <v>I am reminded me because I have requested an information statement on the internet to make great promises to me .. tell me that I will give me the amount of the deductible and monthly payments since I have never had any Accident and that "I pay too much" .... but when I receive my bank statement it is quite different ... they have increased. On the spot I ask for explanations ... "We do not understand but in any case .... no diminished monthly payment or decreased deductible !!! Sorry they can do nothing and what they have advanced by phone is .... an error of a "colleague"</v>
      </c>
    </row>
    <row r="823" ht="15.75" customHeight="1">
      <c r="B823" s="2" t="s">
        <v>2342</v>
      </c>
      <c r="C823" s="2" t="s">
        <v>2343</v>
      </c>
      <c r="D823" s="2" t="s">
        <v>1948</v>
      </c>
      <c r="E823" s="2" t="s">
        <v>14</v>
      </c>
      <c r="F823" s="2" t="s">
        <v>15</v>
      </c>
      <c r="G823" s="2" t="s">
        <v>2344</v>
      </c>
      <c r="H823" s="2" t="s">
        <v>577</v>
      </c>
      <c r="I823" s="2" t="str">
        <f>IFERROR(__xludf.DUMMYFUNCTION("GOOGLETRANSLATE(C823,""fr"",""en"")"),"Do not even do their work if only to send the green cards and operate a dictate to the phone to finish not make you pee each %dishonest for them")</f>
        <v>Do not even do their work if only to send the green cards and operate a dictate to the phone to finish not make you pee each %dishonest for them</v>
      </c>
    </row>
    <row r="824" ht="15.75" customHeight="1">
      <c r="B824" s="2" t="s">
        <v>2345</v>
      </c>
      <c r="C824" s="2" t="s">
        <v>2346</v>
      </c>
      <c r="D824" s="2" t="s">
        <v>1948</v>
      </c>
      <c r="E824" s="2" t="s">
        <v>14</v>
      </c>
      <c r="F824" s="2" t="s">
        <v>15</v>
      </c>
      <c r="G824" s="2" t="s">
        <v>2347</v>
      </c>
      <c r="H824" s="2" t="s">
        <v>577</v>
      </c>
      <c r="I824" s="2" t="str">
        <f>IFERROR(__xludf.DUMMYFUNCTION("GOOGLETRANSLATE(C824,""fr"",""en"")"),"Victim of Home Jaking This insurance by voice is its expert compensated my vehicle on the value of an older model not having the same engine and the same options.
")</f>
        <v>Victim of Home Jaking This insurance by voice is its expert compensated my vehicle on the value of an older model not having the same engine and the same options.
</v>
      </c>
    </row>
    <row r="825" ht="15.75" customHeight="1">
      <c r="B825" s="2" t="s">
        <v>2348</v>
      </c>
      <c r="C825" s="2" t="s">
        <v>2349</v>
      </c>
      <c r="D825" s="2" t="s">
        <v>1948</v>
      </c>
      <c r="E825" s="2" t="s">
        <v>14</v>
      </c>
      <c r="F825" s="2" t="s">
        <v>15</v>
      </c>
      <c r="G825" s="2" t="s">
        <v>285</v>
      </c>
      <c r="H825" s="2" t="s">
        <v>286</v>
      </c>
      <c r="I825" s="2" t="str">
        <f>IFERROR(__xludf.DUMMYFUNCTION("GOOGLETRANSLATE(C825,""fr"",""en"")"),"I went to the Macif on January 15, 2018 concerning a replacement of a monthly payment the person who welcomed me in fact barter with me she told me that I had to open savings if I wanted to resume the monthly payment because I had been terminated before n"&amp;"ot being able to take me in July indeed there was a problem of transfer with the temporary worker where I worked that said that I was forced to pay my entire assurance that I executed and therefore I wanted to take over a monthly direct debit I was outrag"&amp;"ed by the fact that I must take savings from them otherwise the monthly payment will be refused and I should pay all year round I not know if it's practical are very Christian")</f>
        <v>I went to the Macif on January 15, 2018 concerning a replacement of a monthly payment the person who welcomed me in fact barter with me she told me that I had to open savings if I wanted to resume the monthly payment because I had been terminated before not being able to take me in July indeed there was a problem of transfer with the temporary worker where I worked that said that I was forced to pay my entire assurance that I executed and therefore I wanted to take over a monthly direct debit I was outraged by the fact that I must take savings from them otherwise the monthly payment will be refused and I should pay all year round I not know if it's practical are very Christian</v>
      </c>
    </row>
    <row r="826" ht="15.75" customHeight="1">
      <c r="B826" s="2" t="s">
        <v>2350</v>
      </c>
      <c r="C826" s="2" t="s">
        <v>2351</v>
      </c>
      <c r="D826" s="2" t="s">
        <v>1948</v>
      </c>
      <c r="E826" s="2" t="s">
        <v>14</v>
      </c>
      <c r="F826" s="2" t="s">
        <v>15</v>
      </c>
      <c r="G826" s="2" t="s">
        <v>2352</v>
      </c>
      <c r="H826" s="2" t="s">
        <v>286</v>
      </c>
      <c r="I826" s="2" t="str">
        <f>IFERROR(__xludf.DUMMYFUNCTION("GOOGLETRANSLATE(C826,""fr"",""en"")"),"Instead of adding a file to me following a new car La Macif has swapped contracts by putting the loss of my first vehicle on the new one that makes 15 CV!
What is the new insurer who will want to make me a 15CV sports convertible with 3 responsible victi"&amp;"ms, without assassiating myself!
And yet with two LRAR at the headquarters of Niort to the director, I am told that everything is normal!?
It has a name: it is characterized stew !!!")</f>
        <v>Instead of adding a file to me following a new car La Macif has swapped contracts by putting the loss of my first vehicle on the new one that makes 15 CV!
What is the new insurer who will want to make me a 15CV sports convertible with 3 responsible victims, without assassiating myself!
And yet with two LRAR at the headquarters of Niort to the director, I am told that everything is normal!?
It has a name: it is characterized stew !!!</v>
      </c>
    </row>
    <row r="827" ht="15.75" customHeight="1">
      <c r="B827" s="2" t="s">
        <v>2353</v>
      </c>
      <c r="C827" s="2" t="s">
        <v>2354</v>
      </c>
      <c r="D827" s="2" t="s">
        <v>1948</v>
      </c>
      <c r="E827" s="2" t="s">
        <v>14</v>
      </c>
      <c r="F827" s="2" t="s">
        <v>15</v>
      </c>
      <c r="G827" s="2" t="s">
        <v>2352</v>
      </c>
      <c r="H827" s="2" t="s">
        <v>286</v>
      </c>
      <c r="I827" s="2" t="str">
        <f>IFERROR(__xludf.DUMMYFUNCTION("GOOGLETRANSLATE(C827,""fr"",""en"")"),"The Macif does not keep its commitments !!!!
The price negotiated on the phone of my new vehicle's insurance was not held, I had 3 different interlocutors and none find traces of the commitments made? ... They change their IT, so the files are lost, like"&amp;" the commitments!
After 31 years of loyalty, I will see elsewhere!
A word of advice: ask for written confirmations for each word pronounced, if not IT interferes!")</f>
        <v>The Macif does not keep its commitments !!!!
The price negotiated on the phone of my new vehicle's insurance was not held, I had 3 different interlocutors and none find traces of the commitments made? ... They change their IT, so the files are lost, like the commitments!
After 31 years of loyalty, I will see elsewhere!
A word of advice: ask for written confirmations for each word pronounced, if not IT interferes!</v>
      </c>
    </row>
    <row r="828" ht="15.75" customHeight="1">
      <c r="B828" s="2" t="s">
        <v>2355</v>
      </c>
      <c r="C828" s="2" t="s">
        <v>2356</v>
      </c>
      <c r="D828" s="2" t="s">
        <v>1948</v>
      </c>
      <c r="E828" s="2" t="s">
        <v>14</v>
      </c>
      <c r="F828" s="2" t="s">
        <v>15</v>
      </c>
      <c r="G828" s="2" t="s">
        <v>2352</v>
      </c>
      <c r="H828" s="2" t="s">
        <v>286</v>
      </c>
      <c r="I828" s="2" t="str">
        <f>IFERROR(__xludf.DUMMYFUNCTION("GOOGLETRANSLATE(C828,""fr"",""en"")"),"Unhappy customer.
For 25 years at home no commercial gesture following some problem.
In April 2018 we will go to MMA.
We would like to have our information.
Cordially")</f>
        <v>Unhappy customer.
For 25 years at home no commercial gesture following some problem.
In April 2018 we will go to MMA.
We would like to have our information.
Cordially</v>
      </c>
    </row>
    <row r="829" ht="15.75" customHeight="1">
      <c r="B829" s="2" t="s">
        <v>2357</v>
      </c>
      <c r="C829" s="2" t="s">
        <v>2358</v>
      </c>
      <c r="D829" s="2" t="s">
        <v>1948</v>
      </c>
      <c r="E829" s="2" t="s">
        <v>14</v>
      </c>
      <c r="F829" s="2" t="s">
        <v>15</v>
      </c>
      <c r="G829" s="2" t="s">
        <v>2359</v>
      </c>
      <c r="H829" s="2" t="s">
        <v>587</v>
      </c>
      <c r="I829" s="2" t="str">
        <f>IFERROR(__xludf.DUMMYFUNCTION("GOOGLETRANSLATE(C829,""fr"",""en"")"),"As long as there is no accident .... there are people.
Following a non -responsible disaster, there was no followed on the file. I had to restart them at each steps. Especially at the time of compensation!
Only the independent expert was good!
Fol"&amp;"lowing this non -responsible disaster involving the destruction of the vehicle (economically irreparable) it became the cross and the banner to record a new vehicle!
And be careful, if you have the misfortune to be wrong with the misfortune of postal cod"&amp;"e. It's dead, you have to move to an agency to rectify if you want to ensure the said vehicle!
In short go your way, only the window is enticing.")</f>
        <v>As long as there is no accident .... there are people.
Following a non -responsible disaster, there was no followed on the file. I had to restart them at each steps. Especially at the time of compensation!
Only the independent expert was good!
Following this non -responsible disaster involving the destruction of the vehicle (economically irreparable) it became the cross and the banner to record a new vehicle!
And be careful, if you have the misfortune to be wrong with the misfortune of postal code. It's dead, you have to move to an agency to rectify if you want to ensure the said vehicle!
In short go your way, only the window is enticing.</v>
      </c>
    </row>
    <row r="830" ht="15.75" customHeight="1">
      <c r="B830" s="2" t="s">
        <v>2360</v>
      </c>
      <c r="C830" s="2" t="s">
        <v>2361</v>
      </c>
      <c r="D830" s="2" t="s">
        <v>1948</v>
      </c>
      <c r="E830" s="2" t="s">
        <v>14</v>
      </c>
      <c r="F830" s="2" t="s">
        <v>15</v>
      </c>
      <c r="G830" s="2" t="s">
        <v>2362</v>
      </c>
      <c r="H830" s="2" t="s">
        <v>587</v>
      </c>
      <c r="I830" s="2" t="str">
        <f>IFERROR(__xludf.DUMMYFUNCTION("GOOGLETRANSLATE(C830,""fr"",""en"")"),"I had a non -responsible disaster on 10/22/2017, on the repair set to do on the car with the agreement of the expert, they estimated the repairs to me at 447 euros while I AI for 800 euros in repairs, nothing for parts there is 460 euros. Their answers ar"&amp;"e up to me to take charge of the difference !!!!!")</f>
        <v>I had a non -responsible disaster on 10/22/2017, on the repair set to do on the car with the agreement of the expert, they estimated the repairs to me at 447 euros while I AI for 800 euros in repairs, nothing for parts there is 460 euros. Their answers are up to me to take charge of the difference !!!!!</v>
      </c>
    </row>
    <row r="831" ht="15.75" customHeight="1">
      <c r="B831" s="2" t="s">
        <v>2363</v>
      </c>
      <c r="C831" s="2" t="s">
        <v>2364</v>
      </c>
      <c r="D831" s="2" t="s">
        <v>1948</v>
      </c>
      <c r="E831" s="2" t="s">
        <v>14</v>
      </c>
      <c r="F831" s="2" t="s">
        <v>15</v>
      </c>
      <c r="G831" s="2" t="s">
        <v>2365</v>
      </c>
      <c r="H831" s="2" t="s">
        <v>587</v>
      </c>
      <c r="I831" s="2" t="str">
        <f>IFERROR(__xludf.DUMMYFUNCTION("GOOGLETRANSLATE(C831,""fr"",""en"")"),"very good insurer. Deponbility in office and on the Internet. Directing and direct payment to the garage in the event of a disaster. Franchise b Ice deleted if reparations wind breeze and non -replacement.")</f>
        <v>very good insurer. Deponbility in office and on the Internet. Directing and direct payment to the garage in the event of a disaster. Franchise b Ice deleted if reparations wind breeze and non -replacement.</v>
      </c>
    </row>
    <row r="832" ht="15.75" customHeight="1">
      <c r="B832" s="2" t="s">
        <v>2366</v>
      </c>
      <c r="C832" s="2" t="s">
        <v>2367</v>
      </c>
      <c r="D832" s="2" t="s">
        <v>1948</v>
      </c>
      <c r="E832" s="2" t="s">
        <v>14</v>
      </c>
      <c r="F832" s="2" t="s">
        <v>15</v>
      </c>
      <c r="G832" s="2" t="s">
        <v>292</v>
      </c>
      <c r="H832" s="2" t="s">
        <v>293</v>
      </c>
      <c r="I832" s="2" t="str">
        <f>IFERROR(__xludf.DUMMYFUNCTION("GOOGLETRANSLATE(C832,""fr"",""en"")"),"Claims reimbursements are too long
I had an accident in August 2017 August 2017 and since then I am still waiting for the reimbursement of my car !!!!!!")</f>
        <v>Claims reimbursements are too long
I had an accident in August 2017 August 2017 and since then I am still waiting for the reimbursement of my car !!!!!!</v>
      </c>
    </row>
    <row r="833" ht="15.75" customHeight="1">
      <c r="B833" s="2" t="s">
        <v>2368</v>
      </c>
      <c r="C833" s="2" t="s">
        <v>2369</v>
      </c>
      <c r="D833" s="2" t="s">
        <v>1948</v>
      </c>
      <c r="E833" s="2" t="s">
        <v>14</v>
      </c>
      <c r="F833" s="2" t="s">
        <v>15</v>
      </c>
      <c r="G833" s="2" t="s">
        <v>599</v>
      </c>
      <c r="H833" s="2" t="s">
        <v>297</v>
      </c>
      <c r="I833" s="2" t="str">
        <f>IFERROR(__xludf.DUMMYFUNCTION("GOOGLETRANSLATE(C833,""fr"",""en"")"),"Almost zero driver warranty ... The price may be interesting but with such guarantees this is normal.")</f>
        <v>Almost zero driver warranty ... The price may be interesting but with such guarantees this is normal.</v>
      </c>
    </row>
    <row r="834" ht="15.75" customHeight="1">
      <c r="B834" s="2" t="s">
        <v>2370</v>
      </c>
      <c r="C834" s="2" t="s">
        <v>2371</v>
      </c>
      <c r="D834" s="2" t="s">
        <v>1948</v>
      </c>
      <c r="E834" s="2" t="s">
        <v>14</v>
      </c>
      <c r="F834" s="2" t="s">
        <v>15</v>
      </c>
      <c r="G834" s="2" t="s">
        <v>2372</v>
      </c>
      <c r="H834" s="2" t="s">
        <v>297</v>
      </c>
      <c r="I834" s="2" t="str">
        <f>IFERROR(__xludf.DUMMYFUNCTION("GOOGLETRANSLATE(C834,""fr"",""en"")"),"ARCHII zero advice, very high bonuses and franchises compared to other insurers. No defense in the event of a claim. This is the overwhelming observation of a member over 15 years after an accident.")</f>
        <v>ARCHII zero advice, very high bonuses and franchises compared to other insurers. No defense in the event of a claim. This is the overwhelming observation of a member over 15 years after an accident.</v>
      </c>
    </row>
    <row r="835" ht="15.75" customHeight="1">
      <c r="B835" s="2" t="s">
        <v>2373</v>
      </c>
      <c r="C835" s="2" t="s">
        <v>2374</v>
      </c>
      <c r="D835" s="2" t="s">
        <v>1948</v>
      </c>
      <c r="E835" s="2" t="s">
        <v>14</v>
      </c>
      <c r="F835" s="2" t="s">
        <v>15</v>
      </c>
      <c r="G835" s="2" t="s">
        <v>611</v>
      </c>
      <c r="H835" s="2" t="s">
        <v>297</v>
      </c>
      <c r="I835" s="2" t="str">
        <f>IFERROR(__xludf.DUMMYFUNCTION("GOOGLETRANSLATE(C835,""fr"",""en"")"),"More satisfied at all a new subscriber pays less than I go to see in other insurance because a lot of money cheers elsewhere")</f>
        <v>More satisfied at all a new subscriber pays less than I go to see in other insurance because a lot of money cheers elsewhere</v>
      </c>
    </row>
    <row r="836" ht="15.75" customHeight="1">
      <c r="B836" s="2" t="s">
        <v>2375</v>
      </c>
      <c r="C836" s="2" t="s">
        <v>2376</v>
      </c>
      <c r="D836" s="2" t="s">
        <v>1948</v>
      </c>
      <c r="E836" s="2" t="s">
        <v>14</v>
      </c>
      <c r="F836" s="2" t="s">
        <v>15</v>
      </c>
      <c r="G836" s="2" t="s">
        <v>617</v>
      </c>
      <c r="H836" s="2" t="s">
        <v>297</v>
      </c>
      <c r="I836" s="2" t="str">
        <f>IFERROR(__xludf.DUMMYFUNCTION("GOOGLETRANSLATE(C836,""fr"",""en"")"),"Catastrophic!
Sinister of August 25 and to date I have still not recovered my vehicle.
I hit underestimated a sewer that destroyed the front facade in my vehicle. I called they refused to take my request into account. So -called I am only assured of thi"&amp;"rd parties. Putor with testimony and photos, the responsibility of the State was undeniable. Besides, the opposing party has recognized its responsibility, but the Macif absolutely does not do its job. I do not intend to stay in it and plan to file a comp"&amp;"laint against them. I decide to claim compensation for loss of enjoyment of vehicle such as the law and the case law in force provides for it. Of course they tried to membonly but being a lawyer no luck for them. I therefore plan to start a litigation act"&amp;"ion because the dialogue does not work with them. They are incompetent as possible and lack of staggering peofessionalism.
I have to call 50 times a day to tell them what to do as they are unable to do so that I am a lawyer by training and know my rights"&amp;". Otherwise my disaster in oblivion everything for my pocket with regard to their perpetual lies. Fortunately, I insisted and invoke positive law. My file does not advance and they refuse to act. Complaint not made by email or recommended. Really incompet"&amp;"ent at will. I will certainly not stay! I can no longer call 50 times a day for what is more to get out of the sornettes")</f>
        <v>Catastrophic!
Sinister of August 25 and to date I have still not recovered my vehicle.
I hit underestimated a sewer that destroyed the front facade in my vehicle. I called they refused to take my request into account. So -called I am only assured of third parties. Putor with testimony and photos, the responsibility of the State was undeniable. Besides, the opposing party has recognized its responsibility, but the Macif absolutely does not do its job. I do not intend to stay in it and plan to file a complaint against them. I decide to claim compensation for loss of enjoyment of vehicle such as the law and the case law in force provides for it. Of course they tried to membonly but being a lawyer no luck for them. I therefore plan to start a litigation action because the dialogue does not work with them. They are incompetent as possible and lack of staggering peofessionalism.
I have to call 50 times a day to tell them what to do as they are unable to do so that I am a lawyer by training and know my rights. Otherwise my disaster in oblivion everything for my pocket with regard to their perpetual lies. Fortunately, I insisted and invoke positive law. My file does not advance and they refuse to act. Complaint not made by email or recommended. Really incompetent at will. I will certainly not stay! I can no longer call 50 times a day for what is more to get out of the sornettes</v>
      </c>
    </row>
    <row r="837" ht="15.75" customHeight="1">
      <c r="B837" s="2" t="s">
        <v>2377</v>
      </c>
      <c r="C837" s="2" t="s">
        <v>2378</v>
      </c>
      <c r="D837" s="2" t="s">
        <v>1948</v>
      </c>
      <c r="E837" s="2" t="s">
        <v>14</v>
      </c>
      <c r="F837" s="2" t="s">
        <v>15</v>
      </c>
      <c r="G837" s="2" t="s">
        <v>1117</v>
      </c>
      <c r="H837" s="2" t="s">
        <v>301</v>
      </c>
      <c r="I837" s="2" t="str">
        <f>IFERROR(__xludf.DUMMYFUNCTION("GOOGLETRANSLATE(C837,""fr"",""en"")"),"Avoid at all costs incredible reimbursement time supply of ridiculous vehicle recovery which obliges to beat to have a correct sum when there is no responsible for any risk of the direct debits which continues while the vehicle and declares wrecks and Aft"&amp;"er you this normal for an EPAVE in any risk of any commercial gesture as long as this legal is the rest we don't care about it really disappointed")</f>
        <v>Avoid at all costs incredible reimbursement time supply of ridiculous vehicle recovery which obliges to beat to have a correct sum when there is no responsible for any risk of the direct debits which continues while the vehicle and declares wrecks and After you this normal for an EPAVE in any risk of any commercial gesture as long as this legal is the rest we don't care about it really disappointed</v>
      </c>
    </row>
    <row r="838" ht="15.75" customHeight="1">
      <c r="B838" s="2" t="s">
        <v>2379</v>
      </c>
      <c r="C838" s="2" t="s">
        <v>2380</v>
      </c>
      <c r="D838" s="2" t="s">
        <v>1948</v>
      </c>
      <c r="E838" s="2" t="s">
        <v>14</v>
      </c>
      <c r="F838" s="2" t="s">
        <v>15</v>
      </c>
      <c r="G838" s="2" t="s">
        <v>2381</v>
      </c>
      <c r="H838" s="2" t="s">
        <v>301</v>
      </c>
      <c r="I838" s="2" t="str">
        <f>IFERROR(__xludf.DUMMYFUNCTION("GOOGLETRANSLATE(C838,""fr"",""en"")"),"Good evening
Insured Macif for over ten years, I had never needed them until today.
I acquired a vehicle whose windshield was cracked, the technical control was to be redone. I was replaced by my windshield then I make a declaration of the loss to the M"&amp;"acif.
I had the desagreable surprise that the replacement would not be taken care of !!! with the grounds that I should not have bought the car and that it was the assurance of the former owner to do the necessary.
So I went to see this assurance which "&amp;"of course answered that they could not do anything ...
I do not deny being in wrong, I was honest by specifiating in the disaster declaration that the windshield was cracked before the purchase of the vehicle.
In short, the invoice is almost 700 euros a"&amp;"nd puts me very badly financially ... I wrote it so that they make a gesture because I still have two vehicles more my property at home but they do not want to know anything! !! I would not recommend them to anyone
")</f>
        <v>Good evening
Insured Macif for over ten years, I had never needed them until today.
I acquired a vehicle whose windshield was cracked, the technical control was to be redone. I was replaced by my windshield then I make a declaration of the loss to the Macif.
I had the desagreable surprise that the replacement would not be taken care of !!! with the grounds that I should not have bought the car and that it was the assurance of the former owner to do the necessary.
So I went to see this assurance which of course answered that they could not do anything ...
I do not deny being in wrong, I was honest by specifiating in the disaster declaration that the windshield was cracked before the purchase of the vehicle.
In short, the invoice is almost 700 euros and puts me very badly financially ... I wrote it so that they make a gesture because I still have two vehicles more my property at home but they do not want to know anything! !! I would not recommend them to anyone
</v>
      </c>
    </row>
    <row r="839" ht="15.75" customHeight="1">
      <c r="B839" s="2" t="s">
        <v>2382</v>
      </c>
      <c r="C839" s="2" t="s">
        <v>2383</v>
      </c>
      <c r="D839" s="2" t="s">
        <v>1948</v>
      </c>
      <c r="E839" s="2" t="s">
        <v>14</v>
      </c>
      <c r="F839" s="2" t="s">
        <v>15</v>
      </c>
      <c r="G839" s="2" t="s">
        <v>2384</v>
      </c>
      <c r="H839" s="2" t="s">
        <v>301</v>
      </c>
      <c r="I839" s="2" t="str">
        <f>IFERROR(__xludf.DUMMYFUNCTION("GOOGLETRANSLATE(C839,""fr"",""en"")"),"To avoid absolutely, too expensive with guarantee not top top and a franchise that bursts the ceilings (340 euros and 60 euros broken ice). We make you believe that you pay a right to enter when it is just a deposit for the first three months, surprise wh"&amp;"en you send you a letter to inform you that going from 83 euros to 91 euros per month ...")</f>
        <v>To avoid absolutely, too expensive with guarantee not top top and a franchise that bursts the ceilings (340 euros and 60 euros broken ice). We make you believe that you pay a right to enter when it is just a deposit for the first three months, surprise when you send you a letter to inform you that going from 83 euros to 91 euros per month ...</v>
      </c>
    </row>
    <row r="840" ht="15.75" customHeight="1">
      <c r="B840" s="2" t="s">
        <v>2385</v>
      </c>
      <c r="C840" s="2" t="s">
        <v>2386</v>
      </c>
      <c r="D840" s="2" t="s">
        <v>1948</v>
      </c>
      <c r="E840" s="2" t="s">
        <v>14</v>
      </c>
      <c r="F840" s="2" t="s">
        <v>15</v>
      </c>
      <c r="G840" s="2" t="s">
        <v>1123</v>
      </c>
      <c r="H840" s="2" t="s">
        <v>301</v>
      </c>
      <c r="I840" s="2" t="str">
        <f>IFERROR(__xludf.DUMMYFUNCTION("GOOGLETRANSLATE(C840,""fr"",""en"")"),"272672 A number of members which weighs 53 years of car contributions, house, apartments ... without significant claims but which does not earn me the consideration of the Macif.
Unluckiness, in the past 5 years, I have been wiped out a group shot of 4 p"&amp;"arking incidents, one of which I have challenged: (little clever one who is repaired for her previously accident shield with the complicity of a complacency witness ) and a harvest while the car was driven by a third party.
Result, at the time to reassur"&amp;"e my new car, refusal of the Macif despite a bonus coefficient of 0.64. No discussion or explanation possible.
Conclusion: After a year of troubleshooting at high prices, find an insurer to entrust the 5 contracts still suffering from the Macif.
  ")</f>
        <v>272672 A number of members which weighs 53 years of car contributions, house, apartments ... without significant claims but which does not earn me the consideration of the Macif.
Unluckiness, in the past 5 years, I have been wiped out a group shot of 4 parking incidents, one of which I have challenged: (little clever one who is repaired for her previously accident shield with the complicity of a complacency witness ) and a harvest while the car was driven by a third party.
Result, at the time to reassure my new car, refusal of the Macif despite a bonus coefficient of 0.64. No discussion or explanation possible.
Conclusion: After a year of troubleshooting at high prices, find an insurer to entrust the 5 contracts still suffering from the Macif.
  </v>
      </c>
    </row>
    <row r="841" ht="15.75" customHeight="1">
      <c r="B841" s="2" t="s">
        <v>2387</v>
      </c>
      <c r="C841" s="2" t="s">
        <v>2388</v>
      </c>
      <c r="D841" s="2" t="s">
        <v>1948</v>
      </c>
      <c r="E841" s="2" t="s">
        <v>14</v>
      </c>
      <c r="F841" s="2" t="s">
        <v>15</v>
      </c>
      <c r="G841" s="2" t="s">
        <v>2389</v>
      </c>
      <c r="H841" s="2" t="s">
        <v>301</v>
      </c>
      <c r="I841" s="2" t="str">
        <f>IFERROR(__xludf.DUMMYFUNCTION("GOOGLETRANSLATE(C841,""fr"",""en"")"),"I am always waiting to be reimbursed following an appeal since January; I do not understand the position of my insurance vis -à -vis opposing insurance which makes the file drag in length")</f>
        <v>I am always waiting to be reimbursed following an appeal since January; I do not understand the position of my insurance vis -à -vis opposing insurance which makes the file drag in length</v>
      </c>
    </row>
    <row r="842" ht="15.75" customHeight="1">
      <c r="B842" s="2" t="s">
        <v>2390</v>
      </c>
      <c r="C842" s="2" t="s">
        <v>2391</v>
      </c>
      <c r="D842" s="2" t="s">
        <v>1948</v>
      </c>
      <c r="E842" s="2" t="s">
        <v>14</v>
      </c>
      <c r="F842" s="2" t="s">
        <v>15</v>
      </c>
      <c r="G842" s="2" t="s">
        <v>301</v>
      </c>
      <c r="H842" s="2" t="s">
        <v>301</v>
      </c>
      <c r="I842" s="2" t="str">
        <f>IFERROR(__xludf.DUMMYFUNCTION("GOOGLETRANSLATE(C842,""fr"",""en"")"),"I have been a customer for years at the Macif, I have several auto contracts, home insurance, and school insurance of my 4 children.
Today I called 4 times to make an insurance transfer of one of my vehicles which is broken down to a new vehicle that I h"&amp;"ave just bought. The 1st advisor says to me ""Wait I'm looking at your file"", believing that she had put me on hold I hear ""I do not understand what he does with this bitch"" having noticed of her blunder she hangs me at nose! While I had already waited"&amp;" at least 7 minutes to have it, I take the phone back and I come across an advisor who says to me ""I cannot manage your file you must call your old agency to transfer the file"" Surprised because We had already made this request several months ago follow"&amp;"ing our change of department?! I do and I call my old agency which says to me ""if you want to change by us the insurance of your vehicle there will be accounting costs, to avoid this if you want I transfer your file to your new agency and I Transfers you"&amp;"r call? "" , Surprised by the costs that this can lead I accept once again, after another wait on the vocal server I come across an advisor who says to me ""you composed the bad number you are at the sinister service"", always keeping my calm but The must"&amp;"ard starting to go up to me I explain to him that it is the other advisor who transferred me, and he transfers me again and I fall on another adviser who says to me ""I can't do anything, Your file is not transferred! Do not leave I will find out ""and gu"&amp;"ess what it hills me with the nose !!! So frankly I am fed up and I will take my cars, houses and schools and I will go see the competition !!")</f>
        <v>I have been a customer for years at the Macif, I have several auto contracts, home insurance, and school insurance of my 4 children.
Today I called 4 times to make an insurance transfer of one of my vehicles which is broken down to a new vehicle that I have just bought. The 1st advisor says to me "Wait I'm looking at your file", believing that she had put me on hold I hear "I do not understand what he does with this bitch" having noticed of her blunder she hangs me at nose! While I had already waited at least 7 minutes to have it, I take the phone back and I come across an advisor who says to me "I cannot manage your file you must call your old agency to transfer the file" Surprised because We had already made this request several months ago following our change of department?! I do and I call my old agency which says to me "if you want to change by us the insurance of your vehicle there will be accounting costs, to avoid this if you want I transfer your file to your new agency and I Transfers your call? " , Surprised by the costs that this can lead I accept once again, after another wait on the vocal server I come across an advisor who says to me "you composed the bad number you are at the sinister service", always keeping my calm but The mustard starting to go up to me I explain to him that it is the other advisor who transferred me, and he transfers me again and I fall on another adviser who says to me "I can't do anything, Your file is not transferred! Do not leave I will find out "and guess what it hills me with the nose !!! So frankly I am fed up and I will take my cars, houses and schools and I will go see the competition !!</v>
      </c>
    </row>
    <row r="843" ht="15.75" customHeight="1">
      <c r="B843" s="2" t="s">
        <v>2392</v>
      </c>
      <c r="C843" s="2" t="s">
        <v>2393</v>
      </c>
      <c r="D843" s="2" t="s">
        <v>1948</v>
      </c>
      <c r="E843" s="2" t="s">
        <v>14</v>
      </c>
      <c r="F843" s="2" t="s">
        <v>15</v>
      </c>
      <c r="G843" s="2" t="s">
        <v>2394</v>
      </c>
      <c r="H843" s="2" t="s">
        <v>1130</v>
      </c>
      <c r="I843" s="2" t="str">
        <f>IFERROR(__xludf.DUMMYFUNCTION("GOOGLETRANSLATE(C843,""fr"",""en"")"),"I have just insured my vehicle with them because my whole family is there, I waited for my 2 years of behavior to benefit from the 10% promised except that the 2 years are not validated, I know well when is this That I got my license, they can't even expl"&amp;"ain why I will only benefit from 5% and not 10%. Second problem I am 2o years old I spent my studies on Angers I therefore had my home there, my finished studies I go back to my parents who already have a family pension plan accident for the whole family,"&amp;" at the time of The insurance of my vehicle I was added in addition this same family provident regime that my parents already have when I am alone and that I live with my parents so this diet already protects me once and this pack understands children's s"&amp;"pouse That ... Needless to remember that I am only 20 years old so no dependent family. Their response when asked why I have this diet more? It is compulsory and as I am 20 years old I would have been offered to me. In short, we are very disappointed with"&amp;" the Macif with whom we have been for a very long time.")</f>
        <v>I have just insured my vehicle with them because my whole family is there, I waited for my 2 years of behavior to benefit from the 10% promised except that the 2 years are not validated, I know well when is this That I got my license, they can't even explain why I will only benefit from 5% and not 10%. Second problem I am 2o years old I spent my studies on Angers I therefore had my home there, my finished studies I go back to my parents who already have a family pension plan accident for the whole family, at the time of The insurance of my vehicle I was added in addition this same family provident regime that my parents already have when I am alone and that I live with my parents so this diet already protects me once and this pack understands children's spouse That ... Needless to remember that I am only 20 years old so no dependent family. Their response when asked why I have this diet more? It is compulsory and as I am 20 years old I would have been offered to me. In short, we are very disappointed with the Macif with whom we have been for a very long time.</v>
      </c>
    </row>
    <row r="844" ht="15.75" customHeight="1">
      <c r="B844" s="2" t="s">
        <v>2395</v>
      </c>
      <c r="C844" s="2" t="s">
        <v>2396</v>
      </c>
      <c r="D844" s="2" t="s">
        <v>1948</v>
      </c>
      <c r="E844" s="2" t="s">
        <v>14</v>
      </c>
      <c r="F844" s="2" t="s">
        <v>15</v>
      </c>
      <c r="G844" s="2" t="s">
        <v>2397</v>
      </c>
      <c r="H844" s="2" t="s">
        <v>1130</v>
      </c>
      <c r="I844" s="2" t="str">
        <f>IFERROR(__xludf.DUMMYFUNCTION("GOOGLETRANSLATE(C844,""fr"",""en"")"),"I have been assured at the Macif for several decades and when I have to compare its services with those proposed by other companies I have absolutely no desire to leave the Macif!")</f>
        <v>I have been assured at the Macif for several decades and when I have to compare its services with those proposed by other companies I have absolutely no desire to leave the Macif!</v>
      </c>
    </row>
    <row r="845" ht="15.75" customHeight="1">
      <c r="B845" s="2" t="s">
        <v>2398</v>
      </c>
      <c r="C845" s="2" t="s">
        <v>2399</v>
      </c>
      <c r="D845" s="2" t="s">
        <v>1948</v>
      </c>
      <c r="E845" s="2" t="s">
        <v>14</v>
      </c>
      <c r="F845" s="2" t="s">
        <v>15</v>
      </c>
      <c r="G845" s="2" t="s">
        <v>1143</v>
      </c>
      <c r="H845" s="2" t="s">
        <v>1140</v>
      </c>
      <c r="I845" s="2" t="str">
        <f>IFERROR(__xludf.DUMMYFUNCTION("GOOGLETRANSLATE(C845,""fr"",""en"")"),"Hello, I have been insured for 18 years at the Macif and I never had a claim until my vehicle theft on July 5. The thief and the car were found, the expert went 5000 euros in repairs. insurance does not answer because no break -in ... I returned a letter "&amp;"and no answer ... It's a loan for a rendering we will all leave the Macif in the family and my close friends ... represents that 8000 euros of annual subscription is a drop of water for the Macif but must make them understand ... Good day to all")</f>
        <v>Hello, I have been insured for 18 years at the Macif and I never had a claim until my vehicle theft on July 5. The thief and the car were found, the expert went 5000 euros in repairs. insurance does not answer because no break -in ... I returned a letter and no answer ... It's a loan for a rendering we will all leave the Macif in the family and my close friends ... represents that 8000 euros of annual subscription is a drop of water for the Macif but must make them understand ... Good day to all</v>
      </c>
    </row>
    <row r="846" ht="15.75" customHeight="1">
      <c r="B846" s="2" t="s">
        <v>2400</v>
      </c>
      <c r="C846" s="2" t="s">
        <v>2401</v>
      </c>
      <c r="D846" s="2" t="s">
        <v>1948</v>
      </c>
      <c r="E846" s="2" t="s">
        <v>14</v>
      </c>
      <c r="F846" s="2" t="s">
        <v>15</v>
      </c>
      <c r="G846" s="2" t="s">
        <v>2402</v>
      </c>
      <c r="H846" s="2" t="s">
        <v>1140</v>
      </c>
      <c r="I846" s="2" t="str">
        <f>IFERROR(__xludf.DUMMYFUNCTION("GOOGLETRANSLATE(C846,""fr"",""en"")"),"Car sold, and request for a debit stop for 4 months. Excluding samples still not interrupted, radio silence in front of letters. I pay for a car when I don't have any more. Request for termination of the contract and there again no answer. Today I will ca"&amp;"ncel the authorization of withdrawals with a well -stocked letter. If the necessary is not made will be the complaint. And being a good payer without accident does not seem to make them more effective.")</f>
        <v>Car sold, and request for a debit stop for 4 months. Excluding samples still not interrupted, radio silence in front of letters. I pay for a car when I don't have any more. Request for termination of the contract and there again no answer. Today I will cancel the authorization of withdrawals with a well -stocked letter. If the necessary is not made will be the complaint. And being a good payer without accident does not seem to make them more effective.</v>
      </c>
    </row>
    <row r="847" ht="15.75" customHeight="1">
      <c r="B847" s="2" t="s">
        <v>2403</v>
      </c>
      <c r="C847" s="2" t="s">
        <v>2404</v>
      </c>
      <c r="D847" s="2" t="s">
        <v>1948</v>
      </c>
      <c r="E847" s="2" t="s">
        <v>14</v>
      </c>
      <c r="F847" s="2" t="s">
        <v>15</v>
      </c>
      <c r="G847" s="2" t="s">
        <v>2405</v>
      </c>
      <c r="H847" s="2" t="s">
        <v>1140</v>
      </c>
      <c r="I847" s="2" t="str">
        <f>IFERROR(__xludf.DUMMYFUNCTION("GOOGLETRANSLATE(C847,""fr"",""en"")"),"Client for 19 years I have always paid my contributions, but unfortunately I had financial difficulties because of illness! Insurance was taken from the common account but three resumptions there was a discharge! The Macif sends me a letter to pay the ent"&amp;"ire insurance 1800 euros. I send them a letter by specifying that I cannot pay this amount, but that it takes up on my person account 100 euros every month following This letter I receive a phone call to make an appointment with an advisor, we go to the M"&amp;"acif Douai and there have offered us to pay the entire negotiations or proposals of the advisor ""just we can do nothing for you"" Three recovery I sent letters and seen advisers. No results !!! Now I find myself without insurance when I need my vehicle f"&amp;"or my parental auxiliary work, today I have more insurance and I risk losing my job !!!")</f>
        <v>Client for 19 years I have always paid my contributions, but unfortunately I had financial difficulties because of illness! Insurance was taken from the common account but three resumptions there was a discharge! The Macif sends me a letter to pay the entire insurance 1800 euros. I send them a letter by specifying that I cannot pay this amount, but that it takes up on my person account 100 euros every month following This letter I receive a phone call to make an appointment with an advisor, we go to the Macif Douai and there have offered us to pay the entire negotiations or proposals of the advisor "just we can do nothing for you" Three recovery I sent letters and seen advisers. No results !!! Now I find myself without insurance when I need my vehicle for my parental auxiliary work, today I have more insurance and I risk losing my job !!!</v>
      </c>
    </row>
    <row r="848" ht="15.75" customHeight="1">
      <c r="B848" s="2" t="s">
        <v>2406</v>
      </c>
      <c r="C848" s="2" t="s">
        <v>2407</v>
      </c>
      <c r="D848" s="2" t="s">
        <v>1948</v>
      </c>
      <c r="E848" s="2" t="s">
        <v>14</v>
      </c>
      <c r="F848" s="2" t="s">
        <v>15</v>
      </c>
      <c r="G848" s="2" t="s">
        <v>2408</v>
      </c>
      <c r="H848" s="2" t="s">
        <v>305</v>
      </c>
      <c r="I848" s="2" t="str">
        <f>IFERROR(__xludf.DUMMYFUNCTION("GOOGLETRANSLATE(C848,""fr"",""en"")"),"Very good insurance, not the cheapest but a quality services and in relation to its prices")</f>
        <v>Very good insurance, not the cheapest but a quality services and in relation to its prices</v>
      </c>
    </row>
    <row r="849" ht="15.75" customHeight="1">
      <c r="B849" s="2" t="s">
        <v>2409</v>
      </c>
      <c r="C849" s="2" t="s">
        <v>2410</v>
      </c>
      <c r="D849" s="2" t="s">
        <v>1948</v>
      </c>
      <c r="E849" s="2" t="s">
        <v>14</v>
      </c>
      <c r="F849" s="2" t="s">
        <v>15</v>
      </c>
      <c r="G849" s="2" t="s">
        <v>2411</v>
      </c>
      <c r="H849" s="2" t="s">
        <v>305</v>
      </c>
      <c r="I849" s="2" t="str">
        <f>IFERROR(__xludf.DUMMYFUNCTION("GOOGLETRANSLATE(C849,""fr"",""en"")"),"No service on the part of the Macif, the staff are unpleasant, I just made quotes and obviously their price is far too expensive, I think to close soon, I do not recommend.")</f>
        <v>No service on the part of the Macif, the staff are unpleasant, I just made quotes and obviously their price is far too expensive, I think to close soon, I do not recommend.</v>
      </c>
    </row>
    <row r="850" ht="15.75" customHeight="1">
      <c r="B850" s="2" t="s">
        <v>2412</v>
      </c>
      <c r="C850" s="2" t="s">
        <v>2413</v>
      </c>
      <c r="D850" s="2" t="s">
        <v>1948</v>
      </c>
      <c r="E850" s="2" t="s">
        <v>14</v>
      </c>
      <c r="F850" s="2" t="s">
        <v>15</v>
      </c>
      <c r="G850" s="2" t="s">
        <v>2414</v>
      </c>
      <c r="H850" s="2" t="s">
        <v>305</v>
      </c>
      <c r="I850" s="2" t="str">
        <f>IFERROR(__xludf.DUMMYFUNCTION("GOOGLETRANSLATE(C850,""fr"",""en"")"),"I have been insured at the Macif for my vehicle for almost 40 years. I chose it at the time for young drivers prices and the proximity of the agency. I never regretted this choice. The rates have remained competitive, telephone customer service is availab"&amp;"le and competent, the website is better and better. And the few times I had to ask for the insurance, the expert's request was fast, and I only had to pay the franchise (my garage is approved).")</f>
        <v>I have been insured at the Macif for my vehicle for almost 40 years. I chose it at the time for young drivers prices and the proximity of the agency. I never regretted this choice. The rates have remained competitive, telephone customer service is available and competent, the website is better and better. And the few times I had to ask for the insurance, the expert's request was fast, and I only had to pay the franchise (my garage is approved).</v>
      </c>
    </row>
    <row r="851" ht="15.75" customHeight="1">
      <c r="B851" s="2" t="s">
        <v>2415</v>
      </c>
      <c r="C851" s="2" t="s">
        <v>2416</v>
      </c>
      <c r="D851" s="2" t="s">
        <v>1948</v>
      </c>
      <c r="E851" s="2" t="s">
        <v>14</v>
      </c>
      <c r="F851" s="2" t="s">
        <v>15</v>
      </c>
      <c r="G851" s="2" t="s">
        <v>2417</v>
      </c>
      <c r="H851" s="2" t="s">
        <v>305</v>
      </c>
      <c r="I851" s="2" t="str">
        <f>IFERROR(__xludf.DUMMYFUNCTION("GOOGLETRANSLATE(C851,""fr"",""en"")"),"Near 45 years at the Macif (without claim). I asked for recognition of this very long loyalty. I received an answer, I am ashamed for the one he wrote. He is a real masterpiece in terms of stupidity. Yes, run very quickly to the door, the former Macif and"&amp;" enjoy the subscription months offered by the other insurers. A equal guarantees, you will be more than winning !!!!")</f>
        <v>Near 45 years at the Macif (without claim). I asked for recognition of this very long loyalty. I received an answer, I am ashamed for the one he wrote. He is a real masterpiece in terms of stupidity. Yes, run very quickly to the door, the former Macif and enjoy the subscription months offered by the other insurers. A equal guarantees, you will be more than winning !!!!</v>
      </c>
    </row>
    <row r="852" ht="15.75" customHeight="1">
      <c r="B852" s="2" t="s">
        <v>2418</v>
      </c>
      <c r="C852" s="2" t="s">
        <v>2419</v>
      </c>
      <c r="D852" s="2" t="s">
        <v>1948</v>
      </c>
      <c r="E852" s="2" t="s">
        <v>14</v>
      </c>
      <c r="F852" s="2" t="s">
        <v>15</v>
      </c>
      <c r="G852" s="2" t="s">
        <v>2420</v>
      </c>
      <c r="H852" s="2" t="s">
        <v>647</v>
      </c>
      <c r="I852" s="2" t="str">
        <f>IFERROR(__xludf.DUMMYFUNCTION("GOOGLETRANSLATE(C852,""fr"",""en"")"),"I was a customer for 35 years with 50 % bonus and when I was snatched my bumper AR in parking the expert judged that the declaration was false; So I had to mandate another expert at my expense and then a 3rd expert would have decided; Assessment I repaire"&amp;"d myself having quickly needed my car
When I wanted to insure my son who drives accompanied € 1,200 for a 4 CV diesel")</f>
        <v>I was a customer for 35 years with 50 % bonus and when I was snatched my bumper AR in parking the expert judged that the declaration was false; So I had to mandate another expert at my expense and then a 3rd expert would have decided; Assessment I repaired myself having quickly needed my car
When I wanted to insure my son who drives accompanied € 1,200 for a 4 CV diesel</v>
      </c>
    </row>
    <row r="853" ht="15.75" customHeight="1">
      <c r="B853" s="2" t="s">
        <v>2421</v>
      </c>
      <c r="C853" s="2" t="s">
        <v>2422</v>
      </c>
      <c r="D853" s="2" t="s">
        <v>1948</v>
      </c>
      <c r="E853" s="2" t="s">
        <v>14</v>
      </c>
      <c r="F853" s="2" t="s">
        <v>15</v>
      </c>
      <c r="G853" s="2" t="s">
        <v>2423</v>
      </c>
      <c r="H853" s="2" t="s">
        <v>647</v>
      </c>
      <c r="I853" s="2" t="str">
        <f>IFERROR(__xludf.DUMMYFUNCTION("GOOGLETRANSLATE(C853,""fr"",""en"")"),"Hello,
I have several vehicles and the house insured at the Macif for more than 20 years. 40 years without accident.
In November 2016, the first non -responsible claim (I was hit at the back by another vehicle) and there, the problems started.
All pret"&amp;"exts have been used so as not to refund my damage correctly.")</f>
        <v>Hello,
I have several vehicles and the house insured at the Macif for more than 20 years. 40 years without accident.
In November 2016, the first non -responsible claim (I was hit at the back by another vehicle) and there, the problems started.
All pretexts have been used so as not to refund my damage correctly.</v>
      </c>
    </row>
    <row r="854" ht="15.75" customHeight="1">
      <c r="B854" s="2" t="s">
        <v>2424</v>
      </c>
      <c r="C854" s="2" t="s">
        <v>2425</v>
      </c>
      <c r="D854" s="2" t="s">
        <v>1948</v>
      </c>
      <c r="E854" s="2" t="s">
        <v>14</v>
      </c>
      <c r="F854" s="2" t="s">
        <v>15</v>
      </c>
      <c r="G854" s="2" t="s">
        <v>2426</v>
      </c>
      <c r="H854" s="2" t="s">
        <v>647</v>
      </c>
      <c r="I854" s="2" t="str">
        <f>IFERROR(__xludf.DUMMYFUNCTION("GOOGLETRANSLATE(C854,""fr"",""en"")"),"A member for over 30 years, so I realized the ""efficiency"" of this insurance recently.
Impossible to defend its cause, no research carried out by the Macif, especially in the case of an uncommon amicable observation between the parties, makes the deaf "&amp;"ear and especially does not want to try to understand ...
Expertise leaving something to be desired, no communication .....
Too bad ... for her ....")</f>
        <v>A member for over 30 years, so I realized the "efficiency" of this insurance recently.
Impossible to defend its cause, no research carried out by the Macif, especially in the case of an uncommon amicable observation between the parties, makes the deaf ear and especially does not want to try to understand ...
Expertise leaving something to be desired, no communication .....
Too bad ... for her ....</v>
      </c>
    </row>
    <row r="855" ht="15.75" customHeight="1">
      <c r="B855" s="2" t="s">
        <v>2427</v>
      </c>
      <c r="C855" s="2" t="s">
        <v>2428</v>
      </c>
      <c r="D855" s="2" t="s">
        <v>1948</v>
      </c>
      <c r="E855" s="2" t="s">
        <v>14</v>
      </c>
      <c r="F855" s="2" t="s">
        <v>15</v>
      </c>
      <c r="G855" s="2" t="s">
        <v>2429</v>
      </c>
      <c r="H855" s="2" t="s">
        <v>647</v>
      </c>
      <c r="I855" s="2" t="str">
        <f>IFERROR(__xludf.DUMMYFUNCTION("GOOGLETRANSLATE(C855,""fr"",""en"")"),"Very disappointed for a vandalism on my vehicle that the Macif does not want to take care of, car completely striped with filing of complaints. We are told that it is not supported because of other care of care on the vehicle that had not been repaired !!"&amp;"! The joke of the century. . Minimal damage that should have been repaired before being vandalized to be taken care of. So if we deduce the logic of insurance you must ensure a nickel vehicle and as new if not at the slightest concern you will not be take"&amp;"n care of ... Thank you Macif")</f>
        <v>Very disappointed for a vandalism on my vehicle that the Macif does not want to take care of, car completely striped with filing of complaints. We are told that it is not supported because of other care of care on the vehicle that had not been repaired !!! The joke of the century. . Minimal damage that should have been repaired before being vandalized to be taken care of. So if we deduce the logic of insurance you must ensure a nickel vehicle and as new if not at the slightest concern you will not be taken care of ... Thank you Macif</v>
      </c>
    </row>
    <row r="856" ht="15.75" customHeight="1">
      <c r="B856" s="2" t="s">
        <v>2430</v>
      </c>
      <c r="C856" s="2" t="s">
        <v>2431</v>
      </c>
      <c r="D856" s="2" t="s">
        <v>1948</v>
      </c>
      <c r="E856" s="2" t="s">
        <v>14</v>
      </c>
      <c r="F856" s="2" t="s">
        <v>15</v>
      </c>
      <c r="G856" s="2" t="s">
        <v>2432</v>
      </c>
      <c r="H856" s="2" t="s">
        <v>647</v>
      </c>
      <c r="I856" s="2" t="str">
        <f>IFERROR(__xludf.DUMMYFUNCTION("GOOGLETRANSLATE(C856,""fr"",""en"")"),"satisfied without more
lack of contact")</f>
        <v>satisfied without more
lack of contact</v>
      </c>
    </row>
    <row r="857" ht="15.75" customHeight="1">
      <c r="B857" s="2" t="s">
        <v>2433</v>
      </c>
      <c r="C857" s="2" t="s">
        <v>2434</v>
      </c>
      <c r="D857" s="2" t="s">
        <v>1948</v>
      </c>
      <c r="E857" s="2" t="s">
        <v>14</v>
      </c>
      <c r="F857" s="2" t="s">
        <v>15</v>
      </c>
      <c r="G857" s="2" t="s">
        <v>2435</v>
      </c>
      <c r="H857" s="2" t="s">
        <v>651</v>
      </c>
      <c r="I857" s="2" t="str">
        <f>IFERROR(__xludf.DUMMYFUNCTION("GOOGLETRANSLATE(C857,""fr"",""en"")"),"Good insurer. I was at home 37 years old. should make a reduction when you take 3 contracts. Auto + Housing + Health.")</f>
        <v>Good insurer. I was at home 37 years old. should make a reduction when you take 3 contracts. Auto + Housing + Health.</v>
      </c>
    </row>
    <row r="858" ht="15.75" customHeight="1">
      <c r="B858" s="2" t="s">
        <v>2436</v>
      </c>
      <c r="C858" s="2" t="s">
        <v>2437</v>
      </c>
      <c r="D858" s="2" t="s">
        <v>1948</v>
      </c>
      <c r="E858" s="2" t="s">
        <v>14</v>
      </c>
      <c r="F858" s="2" t="s">
        <v>15</v>
      </c>
      <c r="G858" s="2" t="s">
        <v>2438</v>
      </c>
      <c r="H858" s="2" t="s">
        <v>651</v>
      </c>
      <c r="I858" s="2" t="str">
        <f>IFERROR(__xludf.DUMMYFUNCTION("GOOGLETRANSLATE(C858,""fr"",""en"")"),"We were deeply shocked to have been ""out"" of auto insurance, on the grounds that we had 2 accidents (we were in wrong, without bodily injury) in 2014 and 2016. It is to wonder what is the use of insurance . This process is unworthy of insurance like the"&amp;" Macif and we are unhappy that we could not assert our position. A great disappointment. Consequently, we do not recommend Macif auto insurance.")</f>
        <v>We were deeply shocked to have been "out" of auto insurance, on the grounds that we had 2 accidents (we were in wrong, without bodily injury) in 2014 and 2016. It is to wonder what is the use of insurance . This process is unworthy of insurance like the Macif and we are unhappy that we could not assert our position. A great disappointment. Consequently, we do not recommend Macif auto insurance.</v>
      </c>
    </row>
    <row r="859" ht="15.75" customHeight="1">
      <c r="B859" s="2" t="s">
        <v>2439</v>
      </c>
      <c r="C859" s="2" t="s">
        <v>2440</v>
      </c>
      <c r="D859" s="2" t="s">
        <v>1948</v>
      </c>
      <c r="E859" s="2" t="s">
        <v>14</v>
      </c>
      <c r="F859" s="2" t="s">
        <v>15</v>
      </c>
      <c r="G859" s="2" t="s">
        <v>2441</v>
      </c>
      <c r="H859" s="2" t="s">
        <v>651</v>
      </c>
      <c r="I859" s="2" t="str">
        <f>IFERROR(__xludf.DUMMYFUNCTION("GOOGLETRANSLATE(C859,""fr"",""en"")"),"I am currently 25 years old and I must say that the Macif service whether in an agency and by phone is impeccable. Even telephone platforms are close to us. The prices for young drivers are exemplary and it is very fast, all the explanations are clear. We"&amp;" feel confident from the first visit. It remains to be seen in the event of a glitch but a friend has been compensated with an increase of 40 % he was able to start from a similar vehicle. Consulting the Macif !!")</f>
        <v>I am currently 25 years old and I must say that the Macif service whether in an agency and by phone is impeccable. Even telephone platforms are close to us. The prices for young drivers are exemplary and it is very fast, all the explanations are clear. We feel confident from the first visit. It remains to be seen in the event of a glitch but a friend has been compensated with an increase of 40 % he was able to start from a similar vehicle. Consulting the Macif !!</v>
      </c>
    </row>
    <row r="860" ht="15.75" customHeight="1">
      <c r="B860" s="2" t="s">
        <v>2442</v>
      </c>
      <c r="C860" s="2" t="s">
        <v>2443</v>
      </c>
      <c r="D860" s="2" t="s">
        <v>1948</v>
      </c>
      <c r="E860" s="2" t="s">
        <v>14</v>
      </c>
      <c r="F860" s="2" t="s">
        <v>15</v>
      </c>
      <c r="G860" s="2" t="s">
        <v>2444</v>
      </c>
      <c r="H860" s="2" t="s">
        <v>651</v>
      </c>
      <c r="I860" s="2" t="str">
        <f>IFERROR(__xludf.DUMMYFUNCTION("GOOGLETRANSLATE(C860,""fr"",""en"")"),"Following a claim with amicable observation and where I was not wrong, zero reimbursement and did not respond to letters. What is it for being insured? It is better to negotiate directly with the opposing part. To flee")</f>
        <v>Following a claim with amicable observation and where I was not wrong, zero reimbursement and did not respond to letters. What is it for being insured? It is better to negotiate directly with the opposing part. To flee</v>
      </c>
    </row>
    <row r="861" ht="15.75" customHeight="1">
      <c r="B861" s="2" t="s">
        <v>2445</v>
      </c>
      <c r="C861" s="2" t="s">
        <v>2446</v>
      </c>
      <c r="D861" s="2" t="s">
        <v>1948</v>
      </c>
      <c r="E861" s="2" t="s">
        <v>14</v>
      </c>
      <c r="F861" s="2" t="s">
        <v>15</v>
      </c>
      <c r="G861" s="2" t="s">
        <v>2447</v>
      </c>
      <c r="H861" s="2" t="s">
        <v>309</v>
      </c>
      <c r="I861" s="2" t="str">
        <f>IFERROR(__xludf.DUMMYFUNCTION("GOOGLETRANSLATE(C861,""fr"",""en"")"),"Member 5300147. I have been insured for 25 years at the Macif and I welcome it whenever I have a problem. I never managed to find cheaper for an equivalent service quality")</f>
        <v>Member 5300147. I have been insured for 25 years at the Macif and I welcome it whenever I have a problem. I never managed to find cheaper for an equivalent service quality</v>
      </c>
    </row>
    <row r="862" ht="15.75" customHeight="1">
      <c r="B862" s="2" t="s">
        <v>2448</v>
      </c>
      <c r="C862" s="2" t="s">
        <v>2449</v>
      </c>
      <c r="D862" s="2" t="s">
        <v>1948</v>
      </c>
      <c r="E862" s="2" t="s">
        <v>14</v>
      </c>
      <c r="F862" s="2" t="s">
        <v>15</v>
      </c>
      <c r="G862" s="2" t="s">
        <v>654</v>
      </c>
      <c r="H862" s="2" t="s">
        <v>309</v>
      </c>
      <c r="I862" s="2" t="str">
        <f>IFERROR(__xludf.DUMMYFUNCTION("GOOGLETRANSLATE(C862,""fr"",""en"")"),"I am a customer (supposedly member) at the Macif since 1988, with the maximum of bonuses and they have fun nibble on a month of insurance, my certificates had the following dates 01/04/97 at 30/04/98 today 'Hui 15/02/17 to 31/03/18. Macif to flee")</f>
        <v>I am a customer (supposedly member) at the Macif since 1988, with the maximum of bonuses and they have fun nibble on a month of insurance, my certificates had the following dates 01/04/97 at 30/04/98 today 'Hui 15/02/17 to 31/03/18. Macif to flee</v>
      </c>
    </row>
    <row r="863" ht="15.75" customHeight="1">
      <c r="B863" s="2" t="s">
        <v>2450</v>
      </c>
      <c r="C863" s="2" t="s">
        <v>2451</v>
      </c>
      <c r="D863" s="2" t="s">
        <v>1948</v>
      </c>
      <c r="E863" s="2" t="s">
        <v>14</v>
      </c>
      <c r="F863" s="2" t="s">
        <v>15</v>
      </c>
      <c r="G863" s="2" t="s">
        <v>2452</v>
      </c>
      <c r="H863" s="2" t="s">
        <v>309</v>
      </c>
      <c r="I863" s="2" t="str">
        <f>IFERROR(__xludf.DUMMYFUNCTION("GOOGLETRANSLATE(C863,""fr"",""en"")"),"Much too expensive no group advantage my mother still pays dear after 15 years without accidents
€ 1042 for an extended third for a student is disproportionate")</f>
        <v>Much too expensive no group advantage my mother still pays dear after 15 years without accidents
€ 1042 for an extended third for a student is disproportionate</v>
      </c>
    </row>
    <row r="864" ht="15.75" customHeight="1">
      <c r="B864" s="2" t="s">
        <v>2453</v>
      </c>
      <c r="C864" s="2" t="s">
        <v>2454</v>
      </c>
      <c r="D864" s="2" t="s">
        <v>1948</v>
      </c>
      <c r="E864" s="2" t="s">
        <v>14</v>
      </c>
      <c r="F864" s="2" t="s">
        <v>15</v>
      </c>
      <c r="G864" s="2" t="s">
        <v>2452</v>
      </c>
      <c r="H864" s="2" t="s">
        <v>309</v>
      </c>
      <c r="I864" s="2" t="str">
        <f>IFERROR(__xludf.DUMMYFUNCTION("GOOGLETRANSLATE(C864,""fr"",""en"")"),"I have found cheaper for my auto contracts. Being customers at home for many years, and without too many accidents. I am also assured home and a bank account.")</f>
        <v>I have found cheaper for my auto contracts. Being customers at home for many years, and without too many accidents. I am also assured home and a bank account.</v>
      </c>
    </row>
    <row r="865" ht="15.75" customHeight="1">
      <c r="B865" s="2" t="s">
        <v>2455</v>
      </c>
      <c r="C865" s="2" t="s">
        <v>2456</v>
      </c>
      <c r="D865" s="2" t="s">
        <v>1948</v>
      </c>
      <c r="E865" s="2" t="s">
        <v>14</v>
      </c>
      <c r="F865" s="2" t="s">
        <v>15</v>
      </c>
      <c r="G865" s="2" t="s">
        <v>2457</v>
      </c>
      <c r="H865" s="2" t="s">
        <v>309</v>
      </c>
      <c r="I865" s="2" t="str">
        <f>IFERROR(__xludf.DUMMYFUNCTION("GOOGLETRANSLATE(C865,""fr"",""en"")"),"Insurance too expensive, do not want to give the information statement despite the recommended, flee this insurance, it is only problems with them !!! Except to pay there they are happy ... Goodbye the Macif")</f>
        <v>Insurance too expensive, do not want to give the information statement despite the recommended, flee this insurance, it is only problems with them !!! Except to pay there they are happy ... Goodbye the Macif</v>
      </c>
    </row>
    <row r="866" ht="15.75" customHeight="1">
      <c r="B866" s="2" t="s">
        <v>2458</v>
      </c>
      <c r="C866" s="2" t="s">
        <v>2459</v>
      </c>
      <c r="D866" s="2" t="s">
        <v>1948</v>
      </c>
      <c r="E866" s="2" t="s">
        <v>14</v>
      </c>
      <c r="F866" s="2" t="s">
        <v>15</v>
      </c>
      <c r="G866" s="2" t="s">
        <v>2460</v>
      </c>
      <c r="H866" s="2" t="s">
        <v>309</v>
      </c>
      <c r="I866" s="2" t="str">
        <f>IFERROR(__xludf.DUMMYFUNCTION("GOOGLETRANSLATE(C866,""fr"",""en"")"),"If you want to be fooled at the price level, run!
I paid 93 € per month by being at the third party (without being a young license) and the insurance for which I changed offers me € 55 per month in any risk !!! There is a problem right? In addition to th"&amp;"at, a big difficulty from their home, there was a missing something at the request of termination when this request was made by my current insurer! Everything to delay the termination ...")</f>
        <v>If you want to be fooled at the price level, run!
I paid 93 € per month by being at the third party (without being a young license) and the insurance for which I changed offers me € 55 per month in any risk !!! There is a problem right? In addition to that, a big difficulty from their home, there was a missing something at the request of termination when this request was made by my current insurer! Everything to delay the termination ...</v>
      </c>
    </row>
    <row r="867" ht="15.75" customHeight="1">
      <c r="B867" s="2" t="s">
        <v>2461</v>
      </c>
      <c r="C867" s="2" t="s">
        <v>2462</v>
      </c>
      <c r="D867" s="2" t="s">
        <v>1948</v>
      </c>
      <c r="E867" s="2" t="s">
        <v>14</v>
      </c>
      <c r="F867" s="2" t="s">
        <v>15</v>
      </c>
      <c r="G867" s="2" t="s">
        <v>2463</v>
      </c>
      <c r="H867" s="2" t="s">
        <v>309</v>
      </c>
      <c r="I867" s="2" t="str">
        <f>IFERROR(__xludf.DUMMYFUNCTION("GOOGLETRANSLATE(C867,""fr"",""en"")"),"We are very well helped after our accident.")</f>
        <v>We are very well helped after our accident.</v>
      </c>
    </row>
    <row r="868" ht="15.75" customHeight="1">
      <c r="B868" s="2" t="s">
        <v>2464</v>
      </c>
      <c r="C868" s="2" t="s">
        <v>2465</v>
      </c>
      <c r="D868" s="2" t="s">
        <v>1948</v>
      </c>
      <c r="E868" s="2" t="s">
        <v>14</v>
      </c>
      <c r="F868" s="2" t="s">
        <v>15</v>
      </c>
      <c r="G868" s="2" t="s">
        <v>2466</v>
      </c>
      <c r="H868" s="2" t="s">
        <v>313</v>
      </c>
      <c r="I868" s="2" t="str">
        <f>IFERROR(__xludf.DUMMYFUNCTION("GOOGLETRANSLATE(C868,""fr"",""en"")"),"See the least ..")</f>
        <v>See the least ..</v>
      </c>
    </row>
    <row r="869" ht="15.75" customHeight="1">
      <c r="B869" s="2" t="s">
        <v>2467</v>
      </c>
      <c r="C869" s="2" t="s">
        <v>2468</v>
      </c>
      <c r="D869" s="2" t="s">
        <v>1948</v>
      </c>
      <c r="E869" s="2" t="s">
        <v>14</v>
      </c>
      <c r="F869" s="2" t="s">
        <v>15</v>
      </c>
      <c r="G869" s="2" t="s">
        <v>2469</v>
      </c>
      <c r="H869" s="2" t="s">
        <v>313</v>
      </c>
      <c r="I869" s="2" t="str">
        <f>IFERROR(__xludf.DUMMYFUNCTION("GOOGLETRANSLATE(C869,""fr"",""en"")"),"None")</f>
        <v>None</v>
      </c>
    </row>
    <row r="870" ht="15.75" customHeight="1">
      <c r="B870" s="2" t="s">
        <v>2470</v>
      </c>
      <c r="C870" s="2" t="s">
        <v>2471</v>
      </c>
      <c r="D870" s="2" t="s">
        <v>1948</v>
      </c>
      <c r="E870" s="2" t="s">
        <v>14</v>
      </c>
      <c r="F870" s="2" t="s">
        <v>15</v>
      </c>
      <c r="G870" s="2" t="s">
        <v>1538</v>
      </c>
      <c r="H870" s="2" t="s">
        <v>313</v>
      </c>
      <c r="I870" s="2" t="str">
        <f>IFERROR(__xludf.DUMMYFUNCTION("GOOGLETRANSLATE(C870,""fr"",""en"")"),"Shame on insurance Macif
 This is the story of my retired brother with small means bought a car 6 months ago
 Monday January 9 when returning home lost his keychain
 He looked everywhere but as night had fallen he did not find it. He gets up very early"&amp;" and goes to see the parking lot again but his car had disappeared
 Very easy with current key to finding what is the key car
 He goes to the olice and tells his story in good faith saying that he had lost his keys
 He is assured of any risk and goes d"&amp;"irectly to insurance to report his car flight with his verbal trial
 2 days after the police calling him pointed out to him that they found his car in Cannes but she was burnt down therefore more possible repair
 Yesterday January 17th, insurance sends "&amp;"him a letter by telling him that the Macif will not reimburse this flight, since the car was opened with the key
 The next day he came back a letter pointing to him that he is struck off from insurance
 His car is pledged for 5 years for credit and must"&amp;" reimburse the bank
 How insurance can act without any equal and without respecting their commitment
 ")</f>
        <v>Shame on insurance Macif
 This is the story of my retired brother with small means bought a car 6 months ago
 Monday January 9 when returning home lost his keychain
 He looked everywhere but as night had fallen he did not find it. He gets up very early and goes to see the parking lot again but his car had disappeared
 Very easy with current key to finding what is the key car
 He goes to the olice and tells his story in good faith saying that he had lost his keys
 He is assured of any risk and goes directly to insurance to report his car flight with his verbal trial
 2 days after the police calling him pointed out to him that they found his car in Cannes but she was burnt down therefore more possible repair
 Yesterday January 17th, insurance sends him a letter by telling him that the Macif will not reimburse this flight, since the car was opened with the key
 The next day he came back a letter pointing to him that he is struck off from insurance
 His car is pledged for 5 years for credit and must reimburse the bank
 How insurance can act without any equal and without respecting their commitment
 </v>
      </c>
    </row>
    <row r="871" ht="15.75" customHeight="1">
      <c r="B871" s="2" t="s">
        <v>2472</v>
      </c>
      <c r="C871" s="2" t="s">
        <v>2473</v>
      </c>
      <c r="D871" s="2" t="s">
        <v>1948</v>
      </c>
      <c r="E871" s="2" t="s">
        <v>14</v>
      </c>
      <c r="F871" s="2" t="s">
        <v>15</v>
      </c>
      <c r="G871" s="2" t="s">
        <v>2474</v>
      </c>
      <c r="H871" s="2" t="s">
        <v>313</v>
      </c>
      <c r="I871" s="2" t="str">
        <f>IFERROR(__xludf.DUMMYFUNCTION("GOOGLETRANSLATE(C871,""fr"",""en"")"),"Good insurance, good value for money, good customer service, good guarantees, I have nothing more to add more")</f>
        <v>Good insurance, good value for money, good customer service, good guarantees, I have nothing more to add more</v>
      </c>
    </row>
    <row r="872" ht="15.75" customHeight="1">
      <c r="B872" s="2" t="s">
        <v>2475</v>
      </c>
      <c r="C872" s="2" t="s">
        <v>2476</v>
      </c>
      <c r="D872" s="2" t="s">
        <v>1948</v>
      </c>
      <c r="E872" s="2" t="s">
        <v>14</v>
      </c>
      <c r="F872" s="2" t="s">
        <v>15</v>
      </c>
      <c r="G872" s="2" t="s">
        <v>1544</v>
      </c>
      <c r="H872" s="2" t="s">
        <v>313</v>
      </c>
      <c r="I872" s="2" t="str">
        <f>IFERROR(__xludf.DUMMYFUNCTION("GOOGLETRANSLATE(C872,""fr"",""en"")"),"Assuming for 17 years without any claim with 50 % bonuses for 35 years ...
We cross a very difficult period financially after losing our company
We are in surrender file and have lost everything!
You droaled to us on 3o.12.16 ..
And we had to find ins"&amp;"urance for our cars and accommodation. .
Qd we find ourselves on the other rating of the barriere .... there is no more consideration and empathy ... We feel rejected!
It's sad and it hurts!")</f>
        <v>Assuming for 17 years without any claim with 50 % bonuses for 35 years ...
We cross a very difficult period financially after losing our company
We are in surrender file and have lost everything!
You droaled to us on 3o.12.16 ..
And we had to find insurance for our cars and accommodation. .
Qd we find ourselves on the other rating of the barriere .... there is no more consideration and empathy ... We feel rejected!
It's sad and it hurts!</v>
      </c>
    </row>
    <row r="873" ht="15.75" customHeight="1">
      <c r="B873" s="2" t="s">
        <v>2477</v>
      </c>
      <c r="C873" s="2" t="s">
        <v>2478</v>
      </c>
      <c r="D873" s="2" t="s">
        <v>1948</v>
      </c>
      <c r="E873" s="2" t="s">
        <v>14</v>
      </c>
      <c r="F873" s="2" t="s">
        <v>15</v>
      </c>
      <c r="G873" s="2" t="s">
        <v>2479</v>
      </c>
      <c r="H873" s="2" t="s">
        <v>313</v>
      </c>
      <c r="I873" s="2" t="str">
        <f>IFERROR(__xludf.DUMMYFUNCTION("GOOGLETRANSLATE(C873,""fr"",""en"")"),"I was still a Macif customer but in recent years it has been a catastrophic insurance unable to be dismissal by phone to win back in time that customer (7 vehicles to be insured) advisers make you quotes that do not keep you believe to commercial gestures"&amp;" that they cannot hold put advisers for officials who is not the case I asked that they never contact me again")</f>
        <v>I was still a Macif customer but in recent years it has been a catastrophic insurance unable to be dismissal by phone to win back in time that customer (7 vehicles to be insured) advisers make you quotes that do not keep you believe to commercial gestures that they cannot hold put advisers for officials who is not the case I asked that they never contact me again</v>
      </c>
    </row>
    <row r="874" ht="15.75" customHeight="1">
      <c r="B874" s="2" t="s">
        <v>2480</v>
      </c>
      <c r="C874" s="2" t="s">
        <v>2481</v>
      </c>
      <c r="D874" s="2" t="s">
        <v>1948</v>
      </c>
      <c r="E874" s="2" t="s">
        <v>14</v>
      </c>
      <c r="F874" s="2" t="s">
        <v>15</v>
      </c>
      <c r="G874" s="2" t="s">
        <v>2482</v>
      </c>
      <c r="H874" s="2" t="s">
        <v>1192</v>
      </c>
      <c r="I874" s="2" t="str">
        <f>IFERROR(__xludf.DUMMYFUNCTION("GOOGLETRANSLATE(C874,""fr"",""en"")"),"40 years of Macif insurance, and discreetly without notice no my franchise went from 350 to 500 € !! While I have had no event for more than 5 years and benefiting from the biggest bonus. After question asked, it was replied that certainly the increase wa"&amp;"s high but it was to lower the contributions .. and that as I had no accident, that had no impact ... the contribution of September has of course not dropped! But as if by chance, I receive a letter in November informing me ""generously"" from the reducti"&amp;"on in the amount of my self -franchise thus returning to 350 € !! Who are we laughing at !!")</f>
        <v>40 years of Macif insurance, and discreetly without notice no my franchise went from 350 to 500 € !! While I have had no event for more than 5 years and benefiting from the biggest bonus. After question asked, it was replied that certainly the increase was high but it was to lower the contributions .. and that as I had no accident, that had no impact ... the contribution of September has of course not dropped! But as if by chance, I receive a letter in November informing me "generously" from the reduction in the amount of my self -franchise thus returning to 350 € !! Who are we laughing at !!</v>
      </c>
    </row>
    <row r="875" ht="15.75" customHeight="1">
      <c r="B875" s="2" t="s">
        <v>2483</v>
      </c>
      <c r="C875" s="2" t="s">
        <v>2484</v>
      </c>
      <c r="D875" s="2" t="s">
        <v>1948</v>
      </c>
      <c r="E875" s="2" t="s">
        <v>14</v>
      </c>
      <c r="F875" s="2" t="s">
        <v>15</v>
      </c>
      <c r="G875" s="2" t="s">
        <v>2485</v>
      </c>
      <c r="H875" s="2" t="s">
        <v>1192</v>
      </c>
      <c r="I875" s="2" t="str">
        <f>IFERROR(__xludf.DUMMYFUNCTION("GOOGLETRANSLATE(C875,""fr"",""en"")"),"I have a 136ch DS5 I pay for a 150hp
You have dropped my insurance subscription on the other hand you doubled the 350th franchise I went a700th, that's why after 40 years I am looking elsewhere to be assured any risk if at the slightest little hitch I ha"&amp;"ve to pay myself before I owned A monaco coupe laguna by changing I thought I paid less and well no it is the opposite")</f>
        <v>I have a 136ch DS5 I pay for a 150hp
You have dropped my insurance subscription on the other hand you doubled the 350th franchise I went a700th, that's why after 40 years I am looking elsewhere to be assured any risk if at the slightest little hitch I have to pay myself before I owned A monaco coupe laguna by changing I thought I paid less and well no it is the opposite</v>
      </c>
    </row>
    <row r="876" ht="15.75" customHeight="1">
      <c r="B876" s="2" t="s">
        <v>2486</v>
      </c>
      <c r="C876" s="2" t="s">
        <v>2487</v>
      </c>
      <c r="D876" s="2" t="s">
        <v>1948</v>
      </c>
      <c r="E876" s="2" t="s">
        <v>14</v>
      </c>
      <c r="F876" s="2" t="s">
        <v>15</v>
      </c>
      <c r="G876" s="2" t="s">
        <v>2488</v>
      </c>
      <c r="H876" s="2" t="s">
        <v>1192</v>
      </c>
      <c r="I876" s="2" t="str">
        <f>IFERROR(__xludf.DUMMYFUNCTION("GOOGLETRANSLATE(C876,""fr"",""en"")"),"Top insurance I also have my car insurance with them nothing to complain about when we go to the agency we are always well 7 accuuse and informed. I have been with them for 20 years and I would not change! I recommend it without worries")</f>
        <v>Top insurance I also have my car insurance with them nothing to complain about when we go to the agency we are always well 7 accuuse and informed. I have been with them for 20 years and I would not change! I recommend it without worries</v>
      </c>
    </row>
    <row r="877" ht="15.75" customHeight="1">
      <c r="B877" s="2" t="s">
        <v>2489</v>
      </c>
      <c r="C877" s="2" t="s">
        <v>2490</v>
      </c>
      <c r="D877" s="2" t="s">
        <v>1948</v>
      </c>
      <c r="E877" s="2" t="s">
        <v>14</v>
      </c>
      <c r="F877" s="2" t="s">
        <v>15</v>
      </c>
      <c r="G877" s="2" t="s">
        <v>2491</v>
      </c>
      <c r="H877" s="2" t="s">
        <v>1192</v>
      </c>
      <c r="I877" s="2" t="str">
        <f>IFERROR(__xludf.DUMMYFUNCTION("GOOGLETRANSLATE(C877,""fr"",""en"")"),"Insurance to flee 30 years of loyalty 1 sinister = against expertise, minimum vadre evaluation, no dialogue, periods of response to extension, makes you take charge of non -Avenus guarding costs, well for people who love trials, Losses of time following t"&amp;"he incompetence and I don't care about pseudo car expert in the balance of insurer.")</f>
        <v>Insurance to flee 30 years of loyalty 1 sinister = against expertise, minimum vadre evaluation, no dialogue, periods of response to extension, makes you take charge of non -Avenus guarding costs, well for people who love trials, Losses of time following the incompetence and I don't care about pseudo car expert in the balance of insurer.</v>
      </c>
    </row>
    <row r="878" ht="15.75" customHeight="1">
      <c r="B878" s="2" t="s">
        <v>2492</v>
      </c>
      <c r="C878" s="2" t="s">
        <v>2493</v>
      </c>
      <c r="D878" s="2" t="s">
        <v>2494</v>
      </c>
      <c r="E878" s="2" t="s">
        <v>14</v>
      </c>
      <c r="F878" s="2" t="s">
        <v>15</v>
      </c>
      <c r="G878" s="2" t="s">
        <v>2495</v>
      </c>
      <c r="H878" s="2" t="s">
        <v>1202</v>
      </c>
      <c r="I878" s="2" t="str">
        <f>IFERROR(__xludf.DUMMYFUNCTION("GOOGLETRANSLATE(C878,""fr"",""en"")"),"Customer for two years, without claim since the subscription, the insurance premium increases each year by 10%.
The agency's customer service is attentive and responsive in exchanges but without being able.")</f>
        <v>Customer for two years, without claim since the subscription, the insurance premium increases each year by 10%.
The agency's customer service is attentive and responsive in exchanges but without being able.</v>
      </c>
    </row>
    <row r="879" ht="15.75" customHeight="1">
      <c r="B879" s="2" t="s">
        <v>2496</v>
      </c>
      <c r="C879" s="2" t="s">
        <v>2497</v>
      </c>
      <c r="D879" s="2" t="s">
        <v>2494</v>
      </c>
      <c r="E879" s="2" t="s">
        <v>14</v>
      </c>
      <c r="F879" s="2" t="s">
        <v>15</v>
      </c>
      <c r="G879" s="2" t="s">
        <v>2498</v>
      </c>
      <c r="H879" s="2" t="s">
        <v>1202</v>
      </c>
      <c r="I879" s="2" t="str">
        <f>IFERROR(__xludf.DUMMYFUNCTION("GOOGLETRANSLATE(C879,""fr"",""en"")"),"New slogan: Allianz with you as long as you don't need us.
Accident with a third party who fled. Result: payment of the franchise + penalties. Long live the insurance that is useless !!! ??")</f>
        <v>New slogan: Allianz with you as long as you don't need us.
Accident with a third party who fled. Result: payment of the franchise + penalties. Long live the insurance that is useless !!! ??</v>
      </c>
    </row>
    <row r="880" ht="15.75" customHeight="1">
      <c r="B880" s="2" t="s">
        <v>2499</v>
      </c>
      <c r="C880" s="2" t="s">
        <v>2500</v>
      </c>
      <c r="D880" s="2" t="s">
        <v>2494</v>
      </c>
      <c r="E880" s="2" t="s">
        <v>14</v>
      </c>
      <c r="F880" s="2" t="s">
        <v>15</v>
      </c>
      <c r="G880" s="2" t="s">
        <v>2501</v>
      </c>
      <c r="H880" s="2" t="s">
        <v>371</v>
      </c>
      <c r="I880" s="2" t="str">
        <f>IFERROR(__xludf.DUMMYFUNCTION("GOOGLETRANSLATE(C880,""fr"",""en"")"),"Following degradation with me the company which is intoxicated by giving the cordés of their Allianz insurance and since February my personal insurance GMF has no response from them")</f>
        <v>Following degradation with me the company which is intoxicated by giving the cordés of their Allianz insurance and since February my personal insurance GMF has no response from them</v>
      </c>
    </row>
    <row r="881" ht="15.75" customHeight="1">
      <c r="B881" s="2" t="s">
        <v>2502</v>
      </c>
      <c r="C881" s="2" t="s">
        <v>2503</v>
      </c>
      <c r="D881" s="2" t="s">
        <v>2494</v>
      </c>
      <c r="E881" s="2" t="s">
        <v>14</v>
      </c>
      <c r="F881" s="2" t="s">
        <v>15</v>
      </c>
      <c r="G881" s="2" t="s">
        <v>2504</v>
      </c>
      <c r="H881" s="2" t="s">
        <v>329</v>
      </c>
      <c r="I881" s="2" t="str">
        <f>IFERROR(__xludf.DUMMYFUNCTION("GOOGLETRANSLATE(C881,""fr"",""en"")"),"Following an insurance group I went from All Secur to Allianz: all my contracts are tilted with them, so new contract number, new account etc ...
 I've been waiting for my insurance certificate for weeks, I ride without my green paper since the end of Au"&amp;"gust, still not received
They also had to put my daughter as a driver accompanied on my vehicle, I always wait (she was however on my old insurance, fortunately I verified !! Apparently they do not take up the data)
I called several (more than 45 min of"&amp;" waiting and it hangs up) and when I finally have someone the job is not done
I sent several emails: no answer
I even asked for a telephone appointment: I have never been called
No zero I have no other words
To take the cash there is no problem but nu"&amp;"llissime customer service")</f>
        <v>Following an insurance group I went from All Secur to Allianz: all my contracts are tilted with them, so new contract number, new account etc ...
 I've been waiting for my insurance certificate for weeks, I ride without my green paper since the end of August, still not received
They also had to put my daughter as a driver accompanied on my vehicle, I always wait (she was however on my old insurance, fortunately I verified !! Apparently they do not take up the data)
I called several (more than 45 min of waiting and it hangs up) and when I finally have someone the job is not done
I sent several emails: no answer
I even asked for a telephone appointment: I have never been called
No zero I have no other words
To take the cash there is no problem but nullissime customer service</v>
      </c>
    </row>
    <row r="882" ht="15.75" customHeight="1">
      <c r="B882" s="2" t="s">
        <v>2505</v>
      </c>
      <c r="C882" s="2" t="s">
        <v>2506</v>
      </c>
      <c r="D882" s="2" t="s">
        <v>2494</v>
      </c>
      <c r="E882" s="2" t="s">
        <v>14</v>
      </c>
      <c r="F882" s="2" t="s">
        <v>15</v>
      </c>
      <c r="G882" s="2" t="s">
        <v>2507</v>
      </c>
      <c r="H882" s="2" t="s">
        <v>693</v>
      </c>
      <c r="I882" s="2" t="str">
        <f>IFERROR(__xludf.DUMMYFUNCTION("GOOGLETRANSLATE(C882,""fr"",""en"")"),"To flee I have taken out car insurance in April. I sent all the requested documents 4 times. Allianz terminates me a month later for lack of supporting documents. Incredible Allianz continues the samples and in 5 months I have never received an insurance "&amp;"certificate. Untoadable advised. Interminable telephone clip. In the end I had to take out insurance in another company.")</f>
        <v>To flee I have taken out car insurance in April. I sent all the requested documents 4 times. Allianz terminates me a month later for lack of supporting documents. Incredible Allianz continues the samples and in 5 months I have never received an insurance certificate. Untoadable advised. Interminable telephone clip. In the end I had to take out insurance in another company.</v>
      </c>
    </row>
    <row r="883" ht="15.75" customHeight="1">
      <c r="B883" s="2" t="s">
        <v>2508</v>
      </c>
      <c r="C883" s="2" t="s">
        <v>2509</v>
      </c>
      <c r="D883" s="2" t="s">
        <v>2494</v>
      </c>
      <c r="E883" s="2" t="s">
        <v>14</v>
      </c>
      <c r="F883" s="2" t="s">
        <v>15</v>
      </c>
      <c r="G883" s="2" t="s">
        <v>2510</v>
      </c>
      <c r="H883" s="2" t="s">
        <v>333</v>
      </c>
      <c r="I883" s="2" t="str">
        <f>IFERROR(__xludf.DUMMYFUNCTION("GOOGLETRANSLATE(C883,""fr"",""en"")"),"I find that this very competent insurer. I have two contracts in progress at home: Housing and Auto. I have never had a problem. I highly recommend !")</f>
        <v>I find that this very competent insurer. I have two contracts in progress at home: Housing and Auto. I have never had a problem. I highly recommend !</v>
      </c>
    </row>
    <row r="884" ht="15.75" customHeight="1">
      <c r="B884" s="2" t="s">
        <v>2511</v>
      </c>
      <c r="C884" s="2" t="s">
        <v>2512</v>
      </c>
      <c r="D884" s="2" t="s">
        <v>2494</v>
      </c>
      <c r="E884" s="2" t="s">
        <v>14</v>
      </c>
      <c r="F884" s="2" t="s">
        <v>15</v>
      </c>
      <c r="G884" s="2" t="s">
        <v>2513</v>
      </c>
      <c r="H884" s="2" t="s">
        <v>333</v>
      </c>
      <c r="I884" s="2" t="str">
        <f>IFERROR(__xludf.DUMMYFUNCTION("GOOGLETRANSLATE(C884,""fr"",""en"")"),"Hello,
Insured for 2 years at third party at Allianz, I had 2 non -responsible claims where my vehicle was parked in a public car park and was driven by a third party. In the first claim, where a wing was sunk, Allianz contacted a third party who refus"&amp;"ed to assume his responsibility when I had two witnesses of the accident. Allianz did not bother to contact the two witnesses and dropped the appeal against the third party. In the 2nd case, where my vehicle was completely destroyed, and the police found "&amp;"the accident and the offense of flight from the third party, impossible to reach the phone the charge of the pendant file 15 days which only answered me by email without answering to my questions, and refused the sending of an expert. After multiple email"&amp;"s I obtained an expertise and my status of non -responsible via a new advisor but I spent at least 15 hours of work over 3 weeks on this case !!")</f>
        <v>Hello,
Insured for 2 years at third party at Allianz, I had 2 non -responsible claims where my vehicle was parked in a public car park and was driven by a third party. In the first claim, where a wing was sunk, Allianz contacted a third party who refused to assume his responsibility when I had two witnesses of the accident. Allianz did not bother to contact the two witnesses and dropped the appeal against the third party. In the 2nd case, where my vehicle was completely destroyed, and the police found the accident and the offense of flight from the third party, impossible to reach the phone the charge of the pendant file 15 days which only answered me by email without answering to my questions, and refused the sending of an expert. After multiple emails I obtained an expertise and my status of non -responsible via a new advisor but I spent at least 15 hours of work over 3 weeks on this case !!</v>
      </c>
    </row>
    <row r="885" ht="15.75" customHeight="1">
      <c r="B885" s="2" t="s">
        <v>2514</v>
      </c>
      <c r="C885" s="2" t="s">
        <v>2515</v>
      </c>
      <c r="D885" s="2" t="s">
        <v>2494</v>
      </c>
      <c r="E885" s="2" t="s">
        <v>14</v>
      </c>
      <c r="F885" s="2" t="s">
        <v>15</v>
      </c>
      <c r="G885" s="2" t="s">
        <v>2516</v>
      </c>
      <c r="H885" s="2" t="s">
        <v>333</v>
      </c>
      <c r="I885" s="2" t="str">
        <f>IFERROR(__xludf.DUMMYFUNCTION("GOOGLETRANSLATE(C885,""fr"",""en"")"),"Mediocre service. Depluborable customer relationship what matters to them is the end -of -month levy. I tried to contact them in vain. I sent the termination documents as requested and the levy does not stop it is disgusting. Fled this insurance quickly")</f>
        <v>Mediocre service. Depluborable customer relationship what matters to them is the end -of -month levy. I tried to contact them in vain. I sent the termination documents as requested and the levy does not stop it is disgusting. Fled this insurance quickly</v>
      </c>
    </row>
    <row r="886" ht="15.75" customHeight="1">
      <c r="B886" s="2" t="s">
        <v>2517</v>
      </c>
      <c r="C886" s="2" t="s">
        <v>2518</v>
      </c>
      <c r="D886" s="2" t="s">
        <v>2494</v>
      </c>
      <c r="E886" s="2" t="s">
        <v>14</v>
      </c>
      <c r="F886" s="2" t="s">
        <v>15</v>
      </c>
      <c r="G886" s="2" t="s">
        <v>2519</v>
      </c>
      <c r="H886" s="2" t="s">
        <v>333</v>
      </c>
      <c r="I886" s="2" t="str">
        <f>IFERROR(__xludf.DUMMYFUNCTION("GOOGLETRANSLATE(C886,""fr"",""en"")"),"I particularly thank the Allianz advisor to Lagny sur Marne for her responsiveness and his professionalism. Responding to my request without being part of its sector. He responded to the expectation of any customer
Very good recruit in your agency
Thank"&amp;" you to this person
Ecr Mme Ducrot")</f>
        <v>I particularly thank the Allianz advisor to Lagny sur Marne for her responsiveness and his professionalism. Responding to my request without being part of its sector. He responded to the expectation of any customer
Very good recruit in your agency
Thank you to this person
Ecr Mme Ducrot</v>
      </c>
    </row>
    <row r="887" ht="15.75" customHeight="1">
      <c r="B887" s="2" t="s">
        <v>2520</v>
      </c>
      <c r="C887" s="2" t="s">
        <v>2521</v>
      </c>
      <c r="D887" s="2" t="s">
        <v>2494</v>
      </c>
      <c r="E887" s="2" t="s">
        <v>14</v>
      </c>
      <c r="F887" s="2" t="s">
        <v>15</v>
      </c>
      <c r="G887" s="2" t="s">
        <v>2522</v>
      </c>
      <c r="H887" s="2" t="s">
        <v>333</v>
      </c>
      <c r="I887" s="2" t="str">
        <f>IFERROR(__xludf.DUMMYFUNCTION("GOOGLETRANSLATE(C887,""fr"",""en"")"),"To be absolutely fleeing: worse insurer of France
5 months that I did not receive the green certificate, I took a fine of 35 euros for non -presentation of this green paper, on the other hand from what is the samples, they do not hesitate
Unreachable cu"&amp;"stomer service as if by chance
Notice to customers: never subscribed to them, paid more expensive but with a serious insurer, you will save life expectancy
Notice to Allianz: Improve your customer service instead of sponsored stadiums and football clubs"&amp;" and stop showing a good image on social networks")</f>
        <v>To be absolutely fleeing: worse insurer of France
5 months that I did not receive the green certificate, I took a fine of 35 euros for non -presentation of this green paper, on the other hand from what is the samples, they do not hesitate
Unreachable customer service as if by chance
Notice to customers: never subscribed to them, paid more expensive but with a serious insurer, you will save life expectancy
Notice to Allianz: Improve your customer service instead of sponsored stadiums and football clubs and stop showing a good image on social networks</v>
      </c>
    </row>
    <row r="888" ht="15.75" customHeight="1">
      <c r="B888" s="2" t="s">
        <v>2523</v>
      </c>
      <c r="C888" s="2" t="s">
        <v>2524</v>
      </c>
      <c r="D888" s="2" t="s">
        <v>2494</v>
      </c>
      <c r="E888" s="2" t="s">
        <v>14</v>
      </c>
      <c r="F888" s="2" t="s">
        <v>15</v>
      </c>
      <c r="G888" s="2" t="s">
        <v>2525</v>
      </c>
      <c r="H888" s="2" t="s">
        <v>333</v>
      </c>
      <c r="I888" s="2" t="str">
        <f>IFERROR(__xludf.DUMMYFUNCTION("GOOGLETRANSLATE(C888,""fr"",""en"")"),"Lick insurer with the expert to take care of the least, make you stand (up to 1h30 at the standard, 1 month without a car) and make you mirroy a complaint service that has no role.")</f>
        <v>Lick insurer with the expert to take care of the least, make you stand (up to 1h30 at the standard, 1 month without a car) and make you mirroy a complaint service that has no role.</v>
      </c>
    </row>
    <row r="889" ht="15.75" customHeight="1">
      <c r="B889" s="2" t="s">
        <v>2526</v>
      </c>
      <c r="C889" s="2" t="s">
        <v>2527</v>
      </c>
      <c r="D889" s="2" t="s">
        <v>2494</v>
      </c>
      <c r="E889" s="2" t="s">
        <v>14</v>
      </c>
      <c r="F889" s="2" t="s">
        <v>15</v>
      </c>
      <c r="G889" s="2" t="s">
        <v>2528</v>
      </c>
      <c r="H889" s="2" t="s">
        <v>333</v>
      </c>
      <c r="I889" s="2" t="str">
        <f>IFERROR(__xludf.DUMMYFUNCTION("GOOGLETRANSLATE(C889,""fr"",""en"")"),"TO FLEE
Since he took over the All Secur contract
Infernal !!!
We do not receive any document
No scale no green card
No contact
Just sets !!")</f>
        <v>TO FLEE
Since he took over the All Secur contract
Infernal !!!
We do not receive any document
No scale no green card
No contact
Just sets !!</v>
      </c>
    </row>
    <row r="890" ht="15.75" customHeight="1">
      <c r="B890" s="2" t="s">
        <v>2529</v>
      </c>
      <c r="C890" s="2" t="s">
        <v>2530</v>
      </c>
      <c r="D890" s="2" t="s">
        <v>2494</v>
      </c>
      <c r="E890" s="2" t="s">
        <v>14</v>
      </c>
      <c r="F890" s="2" t="s">
        <v>15</v>
      </c>
      <c r="G890" s="2" t="s">
        <v>2531</v>
      </c>
      <c r="H890" s="2" t="s">
        <v>333</v>
      </c>
      <c r="I890" s="2" t="str">
        <f>IFERROR(__xludf.DUMMYFUNCTION("GOOGLETRANSLATE(C890,""fr"",""en"")"),"to flee!!!!!!! I had to wait 2 months to have the insurance green card for my car with a temporary insurance paper which finished after 1 month I did not even know if I was assuring customer service unreachable advisor, we wonder if It is really an allian"&amp;"z insurance and the height of everything is that I pay every month 41 euros
And the one sudden I am levy 171 euro for no reason and always the same no customer service who answers or advisor or I had to send 15 email bravo allianz !!!!!")</f>
        <v>to flee!!!!!!! I had to wait 2 months to have the insurance green card for my car with a temporary insurance paper which finished after 1 month I did not even know if I was assuring customer service unreachable advisor, we wonder if It is really an allianz insurance and the height of everything is that I pay every month 41 euros
And the one sudden I am levy 171 euro for no reason and always the same no customer service who answers or advisor or I had to send 15 email bravo allianz !!!!!</v>
      </c>
    </row>
    <row r="891" ht="15.75" customHeight="1">
      <c r="B891" s="2" t="s">
        <v>2532</v>
      </c>
      <c r="C891" s="2" t="s">
        <v>2533</v>
      </c>
      <c r="D891" s="2" t="s">
        <v>2494</v>
      </c>
      <c r="E891" s="2" t="s">
        <v>14</v>
      </c>
      <c r="F891" s="2" t="s">
        <v>15</v>
      </c>
      <c r="G891" s="2" t="s">
        <v>333</v>
      </c>
      <c r="H891" s="2" t="s">
        <v>333</v>
      </c>
      <c r="I891" s="2" t="str">
        <f>IFERROR(__xludf.DUMMYFUNCTION("GOOGLETRANSLATE(C891,""fr"",""en"")"),"The level of incompetence is at its maximum. Short story. I have received a registered letter to terminate my auto contract for too much loss. After verification of the information statement is false, a disaster has been seized twice. The correction is ma"&amp;"de but we must wait until the information goes back in the systems ... so I am waiting but I am no longer insured by Allianz and the other insurers do not want to make sure or at prices ... then the Simpler it is not to go to Allianz, website of the Middl"&amp;"e Ages, a priori information system as rotten, waiting period on the incredible phone, I spent my 4 hours in two days listening to messages waiting. I pass the other administrative problems to you. I changed the bank, woe took me. We exchanged a dozen mai"&amp;"l. After investigation, part of the services were relocated to Bulgaria, you know the problem of savings, the difficulty is that most of them do not speak either French or English…. And at Allianz we speak little of Bulgarian. I have personal and professi"&amp;"onal contracts I treat and live and with an agent, well it's the same everything goes well from the signing of contracts upon receipt of your first payment, after that is the stampede. First European insurer and the fourth in the world, I advise you to go"&amp;" to the others rather in any case not to the first ...")</f>
        <v>The level of incompetence is at its maximum. Short story. I have received a registered letter to terminate my auto contract for too much loss. After verification of the information statement is false, a disaster has been seized twice. The correction is made but we must wait until the information goes back in the systems ... so I am waiting but I am no longer insured by Allianz and the other insurers do not want to make sure or at prices ... then the Simpler it is not to go to Allianz, website of the Middle Ages, a priori information system as rotten, waiting period on the incredible phone, I spent my 4 hours in two days listening to messages waiting. I pass the other administrative problems to you. I changed the bank, woe took me. We exchanged a dozen mail. After investigation, part of the services were relocated to Bulgaria, you know the problem of savings, the difficulty is that most of them do not speak either French or English…. And at Allianz we speak little of Bulgarian. I have personal and professional contracts I treat and live and with an agent, well it's the same everything goes well from the signing of contracts upon receipt of your first payment, after that is the stampede. First European insurer and the fourth in the world, I advise you to go to the others rather in any case not to the first ...</v>
      </c>
    </row>
    <row r="892" ht="15.75" customHeight="1">
      <c r="B892" s="2" t="s">
        <v>2534</v>
      </c>
      <c r="C892" s="2" t="s">
        <v>2535</v>
      </c>
      <c r="D892" s="2" t="s">
        <v>2494</v>
      </c>
      <c r="E892" s="2" t="s">
        <v>14</v>
      </c>
      <c r="F892" s="2" t="s">
        <v>15</v>
      </c>
      <c r="G892" s="2" t="s">
        <v>2536</v>
      </c>
      <c r="H892" s="2" t="s">
        <v>340</v>
      </c>
      <c r="I892" s="2" t="str">
        <f>IFERROR(__xludf.DUMMYFUNCTION("GOOGLETRANSLATE(C892,""fr"",""en"")"),"The customer area does not work (frozen following the merger but it has been going on for 6 months)
More than an hour's waiting on the phone
There are contact email addresses, but on the phone we tell you that you have to use ""h904741@allianz.fr"" (go "&amp;"guess that)
Customer service is aggressive and gives you lesson to ultimately send you a expired certificate.
In short, Allianz is that the name, the rest is to be flee.
")</f>
        <v>The customer area does not work (frozen following the merger but it has been going on for 6 months)
More than an hour's waiting on the phone
There are contact email addresses, but on the phone we tell you that you have to use "h904741@allianz.fr" (go guess that)
Customer service is aggressive and gives you lesson to ultimately send you a expired certificate.
In short, Allianz is that the name, the rest is to be flee.
</v>
      </c>
    </row>
    <row r="893" ht="15.75" customHeight="1">
      <c r="B893" s="2" t="s">
        <v>2537</v>
      </c>
      <c r="C893" s="2" t="s">
        <v>2538</v>
      </c>
      <c r="D893" s="2" t="s">
        <v>2494</v>
      </c>
      <c r="E893" s="2" t="s">
        <v>14</v>
      </c>
      <c r="F893" s="2" t="s">
        <v>15</v>
      </c>
      <c r="G893" s="2" t="s">
        <v>339</v>
      </c>
      <c r="H893" s="2" t="s">
        <v>340</v>
      </c>
      <c r="I893" s="2" t="str">
        <f>IFERROR(__xludf.DUMMYFUNCTION("GOOGLETRANSLATE(C893,""fr"",""en"")"),"TO FLEE !!!! I wanted to ensure my vehicle in the rules, I establish a quote on the phone explaining that it is my brother who will pay the contributions but that it is me who follows the owner of the vehicle and who assures him in my name.
After having "&amp;"paid no less than 121 euros of subscription for only 1 month (high subscription but ""supposed to allow me to be insured for 3 months in advance"" I was told), so I sent all the paper for Finalizing the quote, I was 1 month for that otherwise there was """&amp;"breach of the contract"".
Still having no news, a little before the past month, I call insurance to be sure that the file has been validated. It is then that the person on the phone only realizes that it is not my name and first name that appears on the "&amp;"RIB but that of another person, namely my brother who has the same name as me ( I want to report in passing ...).
I explain for the 2nd time that it is my brother who will pay my car's assurance for me and there the gentleman announces that it is impossi"&amp;"ble because it is compulsory that the person who assures his vehicle is the also holder of the RIB (""where the spouse in rigor""). What has never been indicated to me before when developing the quote by phone, where then when I sent all the supporting do"&amp;"cuments and the insurance that checks the data did not even take the trouble to drop out His phone to inform me that my brother could not be the payer.
As the month is sold, I just lost 121 euros for only 1 month of insurance!
When I called to complain "&amp;"about this negligence and the disinformation they showed, I only had one ""I can do nothing for you it's too late"".
This total lack of professionalism, incompetence and negligence should be denounced and condemnable.
NB: After having contacted other in"&amp;"surances, overwhelming observation ... It is one of the only insurances that do not accept the RIB of a third person when you cannot do it yourself for any reasons ( Financial or other ...) and which only look at you, and especially that insurance should "&amp;"not even have to know the reasons, as long as someone pays for their damn insurance!")</f>
        <v>TO FLEE !!!! I wanted to ensure my vehicle in the rules, I establish a quote on the phone explaining that it is my brother who will pay the contributions but that it is me who follows the owner of the vehicle and who assures him in my name.
After having paid no less than 121 euros of subscription for only 1 month (high subscription but "supposed to allow me to be insured for 3 months in advance" I was told), so I sent all the paper for Finalizing the quote, I was 1 month for that otherwise there was "breach of the contract".
Still having no news, a little before the past month, I call insurance to be sure that the file has been validated. It is then that the person on the phone only realizes that it is not my name and first name that appears on the RIB but that of another person, namely my brother who has the same name as me ( I want to report in passing ...).
I explain for the 2nd time that it is my brother who will pay my car's assurance for me and there the gentleman announces that it is impossible because it is compulsory that the person who assures his vehicle is the also holder of the RIB ("where the spouse in rigor"). What has never been indicated to me before when developing the quote by phone, where then when I sent all the supporting documents and the insurance that checks the data did not even take the trouble to drop out His phone to inform me that my brother could not be the payer.
As the month is sold, I just lost 121 euros for only 1 month of insurance!
When I called to complain about this negligence and the disinformation they showed, I only had one "I can do nothing for you it's too late".
This total lack of professionalism, incompetence and negligence should be denounced and condemnable.
NB: After having contacted other insurances, overwhelming observation ... It is one of the only insurances that do not accept the RIB of a third person when you cannot do it yourself for any reasons ( Financial or other ...) and which only look at you, and especially that insurance should not even have to know the reasons, as long as someone pays for their damn insurance!</v>
      </c>
    </row>
    <row r="894" ht="15.75" customHeight="1">
      <c r="B894" s="2" t="s">
        <v>2539</v>
      </c>
      <c r="C894" s="2" t="s">
        <v>2540</v>
      </c>
      <c r="D894" s="2" t="s">
        <v>2494</v>
      </c>
      <c r="E894" s="2" t="s">
        <v>14</v>
      </c>
      <c r="F894" s="2" t="s">
        <v>15</v>
      </c>
      <c r="G894" s="2" t="s">
        <v>2541</v>
      </c>
      <c r="H894" s="2" t="s">
        <v>340</v>
      </c>
      <c r="I894" s="2" t="str">
        <f>IFERROR(__xludf.DUMMYFUNCTION("GOOGLETRANSLATE(C894,""fr"",""en"")"),"I’ve been at Allsecur for years. The problems started during the merger/reorganization with Allianz.
Chain dysfunctions, unable to attach customer service and referral error in all directions. They end up prooing a migration of the Allsecur contract to A"&amp;"llianz on advantageous conditions that I accept. I have taken it badly ... There is an error in the contract that I cannot have rectified and I have been wandering for months of services in services without solution. Hours of waiting on the phone, resigne"&amp;"d agents who do not know how to resolve the situation, an online space where contractual documents, emails from space without ever response, etc. are missing, etc.
Go your way, it's a nightmare. And I have to wait a few more months to terminate.
Never a"&amp;"gain Allianz.")</f>
        <v>I’ve been at Allsecur for years. The problems started during the merger/reorganization with Allianz.
Chain dysfunctions, unable to attach customer service and referral error in all directions. They end up prooing a migration of the Allsecur contract to Allianz on advantageous conditions that I accept. I have taken it badly ... There is an error in the contract that I cannot have rectified and I have been wandering for months of services in services without solution. Hours of waiting on the phone, resigned agents who do not know how to resolve the situation, an online space where contractual documents, emails from space without ever response, etc. are missing, etc.
Go your way, it's a nightmare. And I have to wait a few more months to terminate.
Never again Allianz.</v>
      </c>
    </row>
    <row r="895" ht="15.75" customHeight="1">
      <c r="B895" s="2" t="s">
        <v>2542</v>
      </c>
      <c r="C895" s="2" t="s">
        <v>2543</v>
      </c>
      <c r="D895" s="2" t="s">
        <v>2494</v>
      </c>
      <c r="E895" s="2" t="s">
        <v>14</v>
      </c>
      <c r="F895" s="2" t="s">
        <v>15</v>
      </c>
      <c r="G895" s="2" t="s">
        <v>2544</v>
      </c>
      <c r="H895" s="2" t="s">
        <v>350</v>
      </c>
      <c r="I895" s="2" t="str">
        <f>IFERROR(__xludf.DUMMYFUNCTION("GOOGLETRANSLATE(C895,""fr"",""en"")"),"Catastrophic 2 months that I have the modification of my information statement following an error on their part
Impossible to have them on the phone
I terminated he took me without reason I fight to reach them on the phone
At Banir be careful is a cata"&amp;"strophic this insurance
There is only the membership service which answers in 2s foutage of Geule")</f>
        <v>Catastrophic 2 months that I have the modification of my information statement following an error on their part
Impossible to have them on the phone
I terminated he took me without reason I fight to reach them on the phone
At Banir be careful is a catastrophic this insurance
There is only the membership service which answers in 2s foutage of Geule</v>
      </c>
    </row>
    <row r="896" ht="15.75" customHeight="1">
      <c r="B896" s="2" t="s">
        <v>2545</v>
      </c>
      <c r="C896" s="2" t="s">
        <v>2546</v>
      </c>
      <c r="D896" s="2" t="s">
        <v>2494</v>
      </c>
      <c r="E896" s="2" t="s">
        <v>14</v>
      </c>
      <c r="F896" s="2" t="s">
        <v>15</v>
      </c>
      <c r="G896" s="2" t="s">
        <v>2547</v>
      </c>
      <c r="H896" s="2" t="s">
        <v>350</v>
      </c>
      <c r="I896" s="2" t="str">
        <f>IFERROR(__xludf.DUMMYFUNCTION("GOOGLETRANSLATE(C896,""fr"",""en"")"),"- Company too expensive compared to competition and even new Allianz contracts. I was aware, but up to two three years ago, my agent was of excellent quality (Langlet at 51100 Reims).
- At each change of vehicle creation of a new contract ... Could it be"&amp;" to bypass the Hamon law ??? (today this is my case) ... It seemed to me that the contract was attached to a subscriber for a dedicated vehicle who could change (case of vehicle owners who do not lead them themselves).
- I have been a customer loyal to m"&amp;"y agent for half a-secle with approximately 50 vehicles in all risks.
- Company too slow at the administrative level, except to say no or bring money:
I have a Sandero Steepway acquired in 09/2020 ... Impossible to obtain the Definitive Contract, follow"&amp;"ing their error of date of license concerning me ... Only the company can
Rectify ... Yet two different dates for the same permit, it should alert them, on the Clio and the Sandero (fortunately I have an email from the agent confirming that I am assured."&amp;"
Please transmit
 ")</f>
        <v>- Company too expensive compared to competition and even new Allianz contracts. I was aware, but up to two three years ago, my agent was of excellent quality (Langlet at 51100 Reims).
- At each change of vehicle creation of a new contract ... Could it be to bypass the Hamon law ??? (today this is my case) ... It seemed to me that the contract was attached to a subscriber for a dedicated vehicle who could change (case of vehicle owners who do not lead them themselves).
- I have been a customer loyal to my agent for half a-secle with approximately 50 vehicles in all risks.
- Company too slow at the administrative level, except to say no or bring money:
I have a Sandero Steepway acquired in 09/2020 ... Impossible to obtain the Definitive Contract, following their error of date of license concerning me ... Only the company can
Rectify ... Yet two different dates for the same permit, it should alert them, on the Clio and the Sandero (fortunately I have an email from the agent confirming that I am assured.
Please transmit
 </v>
      </c>
    </row>
    <row r="897" ht="15.75" customHeight="1">
      <c r="B897" s="2" t="s">
        <v>2548</v>
      </c>
      <c r="C897" s="2" t="s">
        <v>2549</v>
      </c>
      <c r="D897" s="2" t="s">
        <v>2494</v>
      </c>
      <c r="E897" s="2" t="s">
        <v>14</v>
      </c>
      <c r="F897" s="2" t="s">
        <v>15</v>
      </c>
      <c r="G897" s="2" t="s">
        <v>2550</v>
      </c>
      <c r="H897" s="2" t="s">
        <v>350</v>
      </c>
      <c r="I897" s="2" t="str">
        <f>IFERROR(__xludf.DUMMYFUNCTION("GOOGLETRANSLATE(C897,""fr"",""en"")"),"Non -reliable insurance to avoid !!!
No management of claims, having had a claim (vehicle flight) on 03/10/2019 today we are 06/05/2021, 1 year and a half past and I am still not compensated.
It has been more than a month since my file is complete (betw"&amp;"een the expert's PBS who loses the keys to the vehicle and the requests for documents that are impossible to obtain) all this to delay the deadline.
We are still waiting for compensation by a ghost company in payment and present when it is necessary to c"&amp;"ollect insurance premiums ....
Do not hope that this insurer is present in case of misfortune !! Avoid !!")</f>
        <v>Non -reliable insurance to avoid !!!
No management of claims, having had a claim (vehicle flight) on 03/10/2019 today we are 06/05/2021, 1 year and a half past and I am still not compensated.
It has been more than a month since my file is complete (between the expert's PBS who loses the keys to the vehicle and the requests for documents that are impossible to obtain) all this to delay the deadline.
We are still waiting for compensation by a ghost company in payment and present when it is necessary to collect insurance premiums ....
Do not hope that this insurer is present in case of misfortune !! Avoid !!</v>
      </c>
    </row>
    <row r="898" ht="15.75" customHeight="1">
      <c r="B898" s="2" t="s">
        <v>2551</v>
      </c>
      <c r="C898" s="2" t="s">
        <v>2552</v>
      </c>
      <c r="D898" s="2" t="s">
        <v>2494</v>
      </c>
      <c r="E898" s="2" t="s">
        <v>14</v>
      </c>
      <c r="F898" s="2" t="s">
        <v>15</v>
      </c>
      <c r="G898" s="2" t="s">
        <v>2553</v>
      </c>
      <c r="H898" s="2" t="s">
        <v>360</v>
      </c>
      <c r="I898" s="2" t="str">
        <f>IFERROR(__xludf.DUMMYFUNCTION("GOOGLETRANSLATE(C898,""fr"",""en"")"),"Hello, Allianz only good to pay, to repay another case ....
To flee I do not recommend this insurance ....
I will remove all my contacts.")</f>
        <v>Hello, Allianz only good to pay, to repay another case ....
To flee I do not recommend this insurance ....
I will remove all my contacts.</v>
      </c>
    </row>
    <row r="899" ht="15.75" customHeight="1">
      <c r="B899" s="2" t="s">
        <v>2554</v>
      </c>
      <c r="C899" s="2" t="s">
        <v>2555</v>
      </c>
      <c r="D899" s="2" t="s">
        <v>2494</v>
      </c>
      <c r="E899" s="2" t="s">
        <v>14</v>
      </c>
      <c r="F899" s="2" t="s">
        <v>15</v>
      </c>
      <c r="G899" s="2" t="s">
        <v>359</v>
      </c>
      <c r="H899" s="2" t="s">
        <v>360</v>
      </c>
      <c r="I899" s="2" t="str">
        <f>IFERROR(__xludf.DUMMYFUNCTION("GOOGLETRANSLATE(C899,""fr"",""en"")"),"unreachable Allianz sinister service. Rarely respond to the email very rarely. Need to make many recalls. No identity of the people who respond .. in two void words.")</f>
        <v>unreachable Allianz sinister service. Rarely respond to the email very rarely. Need to make many recalls. No identity of the people who respond .. in two void words.</v>
      </c>
    </row>
    <row r="900" ht="15.75" customHeight="1">
      <c r="B900" s="2" t="s">
        <v>2556</v>
      </c>
      <c r="C900" s="2" t="s">
        <v>2557</v>
      </c>
      <c r="D900" s="2" t="s">
        <v>2494</v>
      </c>
      <c r="E900" s="2" t="s">
        <v>14</v>
      </c>
      <c r="F900" s="2" t="s">
        <v>15</v>
      </c>
      <c r="G900" s="2" t="s">
        <v>359</v>
      </c>
      <c r="H900" s="2" t="s">
        <v>360</v>
      </c>
      <c r="I900" s="2" t="str">
        <f>IFERROR(__xludf.DUMMYFUNCTION("GOOGLETRANSLATE(C900,""fr"",""en"")"),"A disaster, run away from fleeing .... 3 days to try to join them. Interminable expectations with infernal music to finish 35 minutes after hanging up and start again for another ordeal. This morning 2h30 on the phone 7 different interlocutors ballad of a"&amp;" person and from one number to another. Not in solution ... I must remind me. I terminate my contract as soon as possible will I have to get my information from them to leave them.")</f>
        <v>A disaster, run away from fleeing .... 3 days to try to join them. Interminable expectations with infernal music to finish 35 minutes after hanging up and start again for another ordeal. This morning 2h30 on the phone 7 different interlocutors ballad of a person and from one number to another. Not in solution ... I must remind me. I terminate my contract as soon as possible will I have to get my information from them to leave them.</v>
      </c>
    </row>
    <row r="901" ht="15.75" customHeight="1">
      <c r="B901" s="2" t="s">
        <v>2558</v>
      </c>
      <c r="C901" s="2" t="s">
        <v>2559</v>
      </c>
      <c r="D901" s="2" t="s">
        <v>2494</v>
      </c>
      <c r="E901" s="2" t="s">
        <v>14</v>
      </c>
      <c r="F901" s="2" t="s">
        <v>15</v>
      </c>
      <c r="G901" s="2" t="s">
        <v>2560</v>
      </c>
      <c r="H901" s="2" t="s">
        <v>360</v>
      </c>
      <c r="I901" s="2" t="str">
        <f>IFERROR(__xludf.DUMMYFUNCTION("GOOGLETRANSLATE(C901,""fr"",""en"")"),"Customer service drifting and does not provide any incompetent services that do not answer questions.
After multiple questions about legal protections, I have no answer and nevertheless declared 3 disputes on the same case concerning me with all the deta"&amp;"ils brought. The first dispute dates from February 10 and no response !!
")</f>
        <v>Customer service drifting and does not provide any incompetent services that do not answer questions.
After multiple questions about legal protections, I have no answer and nevertheless declared 3 disputes on the same case concerning me with all the details brought. The first dispute dates from February 10 and no response !!
</v>
      </c>
    </row>
    <row r="902" ht="15.75" customHeight="1">
      <c r="B902" s="2" t="s">
        <v>2561</v>
      </c>
      <c r="C902" s="2" t="s">
        <v>2562</v>
      </c>
      <c r="D902" s="2" t="s">
        <v>2494</v>
      </c>
      <c r="E902" s="2" t="s">
        <v>14</v>
      </c>
      <c r="F902" s="2" t="s">
        <v>15</v>
      </c>
      <c r="G902" s="2" t="s">
        <v>727</v>
      </c>
      <c r="H902" s="2" t="s">
        <v>364</v>
      </c>
      <c r="I902" s="2" t="str">
        <f>IFERROR(__xludf.DUMMYFUNCTION("GOOGLETRANSLATE(C902,""fr"",""en"")"),"My auto insurance has experienced difficulties in direct debits. It was linked to a merger. I alerted them by filling out papers to do them a service. To thank me, they have struck me with retroactive effect. Lords in both directions of his spelling. Very"&amp;" surprised by the way they treat honest people. What do they do to others?")</f>
        <v>My auto insurance has experienced difficulties in direct debits. It was linked to a merger. I alerted them by filling out papers to do them a service. To thank me, they have struck me with retroactive effect. Lords in both directions of his spelling. Very surprised by the way they treat honest people. What do they do to others?</v>
      </c>
    </row>
    <row r="903" ht="15.75" customHeight="1">
      <c r="B903" s="2" t="s">
        <v>2563</v>
      </c>
      <c r="C903" s="2" t="s">
        <v>2564</v>
      </c>
      <c r="D903" s="2" t="s">
        <v>2494</v>
      </c>
      <c r="E903" s="2" t="s">
        <v>14</v>
      </c>
      <c r="F903" s="2" t="s">
        <v>15</v>
      </c>
      <c r="G903" s="2" t="s">
        <v>739</v>
      </c>
      <c r="H903" s="2" t="s">
        <v>364</v>
      </c>
      <c r="I903" s="2" t="str">
        <f>IFERROR(__xludf.DUMMYFUNCTION("GOOGLETRANSLATE(C903,""fr"",""en"")"),"Zero Star does not exist? Shame
E-Allianz to flee! No contact by phone
All documents were sent on 2 different mail boxes .. no answer .. apart from a return that the mailbox is full
I end up with a contract terminated by this insurance, so today withou"&amp;"t insurance
Litigious sample
A shame to see that! Do not subscribe!")</f>
        <v>Zero Star does not exist? Shame
E-Allianz to flee! No contact by phone
All documents were sent on 2 different mail boxes .. no answer .. apart from a return that the mailbox is full
I end up with a contract terminated by this insurance, so today without insurance
Litigious sample
A shame to see that! Do not subscribe!</v>
      </c>
    </row>
    <row r="904" ht="15.75" customHeight="1">
      <c r="B904" s="2" t="s">
        <v>2565</v>
      </c>
      <c r="C904" s="2" t="s">
        <v>2566</v>
      </c>
      <c r="D904" s="2" t="s">
        <v>2494</v>
      </c>
      <c r="E904" s="2" t="s">
        <v>14</v>
      </c>
      <c r="F904" s="2" t="s">
        <v>15</v>
      </c>
      <c r="G904" s="2" t="s">
        <v>2017</v>
      </c>
      <c r="H904" s="2" t="s">
        <v>371</v>
      </c>
      <c r="I904" s="2" t="str">
        <f>IFERROR(__xludf.DUMMYFUNCTION("GOOGLETRANSLATE(C904,""fr"",""en"")"),"I wanted to change for the price and I can say the bank must remain banks and not insurer and I therefore slipped and that problems to date I can no longer insure my car so I really regret the three Other car stays at home ....... the fourth and doomed to"&amp;" sleep in the garage for my mistake to want to change")</f>
        <v>I wanted to change for the price and I can say the bank must remain banks and not insurer and I therefore slipped and that problems to date I can no longer insure my car so I really regret the three Other car stays at home ....... the fourth and doomed to sleep in the garage for my mistake to want to change</v>
      </c>
    </row>
    <row r="905" ht="15.75" customHeight="1">
      <c r="B905" s="2" t="s">
        <v>2567</v>
      </c>
      <c r="C905" s="2" t="s">
        <v>2568</v>
      </c>
      <c r="D905" s="2" t="s">
        <v>2494</v>
      </c>
      <c r="E905" s="2" t="s">
        <v>14</v>
      </c>
      <c r="F905" s="2" t="s">
        <v>15</v>
      </c>
      <c r="G905" s="2" t="s">
        <v>2017</v>
      </c>
      <c r="H905" s="2" t="s">
        <v>371</v>
      </c>
      <c r="I905" s="2" t="str">
        <f>IFERROR(__xludf.DUMMYFUNCTION("GOOGLETRANSLATE(C905,""fr"",""en"")"),"Not having needed their services, I can only decide for their price which becomes prohibitive if one stays at home. Another insurance that takes the customer for Croesus.")</f>
        <v>Not having needed their services, I can only decide for their price which becomes prohibitive if one stays at home. Another insurance that takes the customer for Croesus.</v>
      </c>
    </row>
    <row r="906" ht="15.75" customHeight="1">
      <c r="B906" s="2" t="s">
        <v>2569</v>
      </c>
      <c r="C906" s="2" t="s">
        <v>2570</v>
      </c>
      <c r="D906" s="2" t="s">
        <v>2494</v>
      </c>
      <c r="E906" s="2" t="s">
        <v>14</v>
      </c>
      <c r="F906" s="2" t="s">
        <v>15</v>
      </c>
      <c r="G906" s="2" t="s">
        <v>2017</v>
      </c>
      <c r="H906" s="2" t="s">
        <v>371</v>
      </c>
      <c r="I906" s="2" t="str">
        <f>IFERROR(__xludf.DUMMYFUNCTION("GOOGLETRANSLATE(C906,""fr"",""en"")"),"hello, 
Very bad insurer, 10 years for assets on the phone, response deadlines by email nonexistent, to flee as soon as possible! Do not engage! Still no answer to my lrar after 2 months")</f>
        <v>hello, 
Very bad insurer, 10 years for assets on the phone, response deadlines by email nonexistent, to flee as soon as possible! Do not engage! Still no answer to my lrar after 2 months</v>
      </c>
    </row>
    <row r="907" ht="15.75" customHeight="1">
      <c r="B907" s="2" t="s">
        <v>2571</v>
      </c>
      <c r="C907" s="2" t="s">
        <v>2572</v>
      </c>
      <c r="D907" s="2" t="s">
        <v>2494</v>
      </c>
      <c r="E907" s="2" t="s">
        <v>14</v>
      </c>
      <c r="F907" s="2" t="s">
        <v>15</v>
      </c>
      <c r="G907" s="2" t="s">
        <v>2573</v>
      </c>
      <c r="H907" s="2" t="s">
        <v>371</v>
      </c>
      <c r="I907" s="2" t="str">
        <f>IFERROR(__xludf.DUMMYFUNCTION("GOOGLETRANSLATE(C907,""fr"",""en"")"),"Insurance not renewed because of the too high price compared to another offer, for identical and even better guarantees for some.
Rediscured price with Allianz before decision.")</f>
        <v>Insurance not renewed because of the too high price compared to another offer, for identical and even better guarantees for some.
Rediscured price with Allianz before decision.</v>
      </c>
    </row>
    <row r="908" ht="15.75" customHeight="1">
      <c r="B908" s="2" t="s">
        <v>2574</v>
      </c>
      <c r="C908" s="2" t="s">
        <v>2575</v>
      </c>
      <c r="D908" s="2" t="s">
        <v>2494</v>
      </c>
      <c r="E908" s="2" t="s">
        <v>14</v>
      </c>
      <c r="F908" s="2" t="s">
        <v>15</v>
      </c>
      <c r="G908" s="2" t="s">
        <v>2576</v>
      </c>
      <c r="H908" s="2" t="s">
        <v>371</v>
      </c>
      <c r="I908" s="2" t="str">
        <f>IFERROR(__xludf.DUMMYFUNCTION("GOOGLETRANSLATE(C908,""fr"",""en"")"),"To flee we have the impression of being at the SFR service, incompetent, after a disaster in November we have still not received compensation ... The advisers on the phone tell you anything. Non -existent we have not received any writing to inform ourselv"&amp;"es of the amount of compensation ... Payment was supposedly validated on December 17 and to date ... Still nothing ... I thought that by paying more expensive We would have a worthy customer service ... Zero head in Toto ... they are lamentable and from t"&amp;"he Cavid worse ... such incompetent ... shabby ... they do not deserve to have customers ... .I will take online insurance at least I will know what to expect .... no service but cheaper")</f>
        <v>To flee we have the impression of being at the SFR service, incompetent, after a disaster in November we have still not received compensation ... The advisers on the phone tell you anything. Non -existent we have not received any writing to inform ourselves of the amount of compensation ... Payment was supposedly validated on December 17 and to date ... Still nothing ... I thought that by paying more expensive We would have a worthy customer service ... Zero head in Toto ... they are lamentable and from the Cavid worse ... such incompetent ... shabby ... they do not deserve to have customers ... .I will take online insurance at least I will know what to expect .... no service but cheaper</v>
      </c>
    </row>
    <row r="909" ht="15.75" customHeight="1">
      <c r="B909" s="2" t="s">
        <v>2577</v>
      </c>
      <c r="C909" s="2" t="s">
        <v>2578</v>
      </c>
      <c r="D909" s="2" t="s">
        <v>2494</v>
      </c>
      <c r="E909" s="2" t="s">
        <v>14</v>
      </c>
      <c r="F909" s="2" t="s">
        <v>15</v>
      </c>
      <c r="G909" s="2" t="s">
        <v>2579</v>
      </c>
      <c r="H909" s="2" t="s">
        <v>17</v>
      </c>
      <c r="I909" s="2" t="str">
        <f>IFERROR(__xludf.DUMMYFUNCTION("GOOGLETRANSLATE(C909,""fr"",""en"")"),"Like any insurer, Allianz practices the prices they want and is not based on real statistics, their prices are therefore prohibitive but in the same vein of others. Likewise, if you have arrived several non -responsible and demonstrated claims as such, yo"&amp;"u are responsible anyway because its claims are indebted to you because there is no more real responsibility between insurers, they arrange between them. As a result, even if you are not responsible, you are still and when you ask for a review of your con"&amp;"tract because no claims responsible for more than ten years, you are shown the old non -responsible files that make They can do nothing for you or at least do not want to do anything for you.")</f>
        <v>Like any insurer, Allianz practices the prices they want and is not based on real statistics, their prices are therefore prohibitive but in the same vein of others. Likewise, if you have arrived several non -responsible and demonstrated claims as such, you are responsible anyway because its claims are indebted to you because there is no more real responsibility between insurers, they arrange between them. As a result, even if you are not responsible, you are still and when you ask for a review of your contract because no claims responsible for more than ten years, you are shown the old non -responsible files that make They can do nothing for you or at least do not want to do anything for you.</v>
      </c>
    </row>
    <row r="910" ht="15.75" customHeight="1">
      <c r="B910" s="2" t="s">
        <v>2580</v>
      </c>
      <c r="C910" s="2" t="s">
        <v>2581</v>
      </c>
      <c r="D910" s="2" t="s">
        <v>2494</v>
      </c>
      <c r="E910" s="2" t="s">
        <v>14</v>
      </c>
      <c r="F910" s="2" t="s">
        <v>15</v>
      </c>
      <c r="G910" s="2" t="s">
        <v>2582</v>
      </c>
      <c r="H910" s="2" t="s">
        <v>17</v>
      </c>
      <c r="I910" s="2" t="str">
        <f>IFERROR(__xludf.DUMMYFUNCTION("GOOGLETRANSLATE(C910,""fr"",""en"")"),"Insurance to be avoided. They do not reimburse. Total shame, phony insurance. To avoid absolutely !! Why the SNCF endorses this company?")</f>
        <v>Insurance to be avoided. They do not reimburse. Total shame, phony insurance. To avoid absolutely !! Why the SNCF endorses this company?</v>
      </c>
    </row>
    <row r="911" ht="15.75" customHeight="1">
      <c r="B911" s="2" t="s">
        <v>2583</v>
      </c>
      <c r="C911" s="2" t="s">
        <v>2584</v>
      </c>
      <c r="D911" s="2" t="s">
        <v>2494</v>
      </c>
      <c r="E911" s="2" t="s">
        <v>14</v>
      </c>
      <c r="F911" s="2" t="s">
        <v>15</v>
      </c>
      <c r="G911" s="2" t="s">
        <v>2582</v>
      </c>
      <c r="H911" s="2" t="s">
        <v>17</v>
      </c>
      <c r="I911" s="2" t="str">
        <f>IFERROR(__xludf.DUMMYFUNCTION("GOOGLETRANSLATE(C911,""fr"",""en"")"),"10 days to receive a situation statement.
8 a.m. to bring together customer service for one hour per day.
150 euros of increase for a door that runs up the rear wing of the vehicle at station next to me.
I do not want to be contacted by this insurer, I"&amp;" will leave it as soon as possible.
Never again
")</f>
        <v>10 days to receive a situation statement.
8 a.m. to bring together customer service for one hour per day.
150 euros of increase for a door that runs up the rear wing of the vehicle at station next to me.
I do not want to be contacted by this insurer, I will leave it as soon as possible.
Never again
</v>
      </c>
    </row>
    <row r="912" ht="15.75" customHeight="1">
      <c r="B912" s="2" t="s">
        <v>2585</v>
      </c>
      <c r="C912" s="2" t="s">
        <v>2586</v>
      </c>
      <c r="D912" s="2" t="s">
        <v>2494</v>
      </c>
      <c r="E912" s="2" t="s">
        <v>14</v>
      </c>
      <c r="F912" s="2" t="s">
        <v>15</v>
      </c>
      <c r="G912" s="2" t="s">
        <v>1260</v>
      </c>
      <c r="H912" s="2" t="s">
        <v>17</v>
      </c>
      <c r="I912" s="2" t="str">
        <f>IFERROR(__xludf.DUMMYFUNCTION("GOOGLETRANSLATE(C912,""fr"",""en"")"),"I had a non -responsible accident with one of the company of the company Ensure by Allianz in all risks, the claim took place on August 16, 2020, the expert rendered his expert report on 01/09/2020, vehicle Repair in garage on 09/16/2020 with paid invoice"&amp;" in an amount of € 2980, invoice send the compensation service on 09/16/2020, we are on January 21, 2021 and I have still not had a refund, J 'I called the compensation service at least 20 times, last call yesterday, and as usual always the same response "&amp;"the manager who takes care of your file is not available ... I leave a message so that he Emergency reminder ...
The slightest things will be reminded of.
Never again I will take out insurance at Allianz, I advise you to do it autan ...")</f>
        <v>I had a non -responsible accident with one of the company of the company Ensure by Allianz in all risks, the claim took place on August 16, 2020, the expert rendered his expert report on 01/09/2020, vehicle Repair in garage on 09/16/2020 with paid invoice in an amount of € 2980, invoice send the compensation service on 09/16/2020, we are on January 21, 2021 and I have still not had a refund, J 'I called the compensation service at least 20 times, last call yesterday, and as usual always the same response the manager who takes care of your file is not available ... I leave a message so that he Emergency reminder ...
The slightest things will be reminded of.
Never again I will take out insurance at Allianz, I advise you to do it autan ...</v>
      </c>
    </row>
    <row r="913" ht="15.75" customHeight="1">
      <c r="B913" s="2" t="s">
        <v>2587</v>
      </c>
      <c r="C913" s="2" t="s">
        <v>2588</v>
      </c>
      <c r="D913" s="2" t="s">
        <v>2494</v>
      </c>
      <c r="E913" s="2" t="s">
        <v>14</v>
      </c>
      <c r="F913" s="2" t="s">
        <v>15</v>
      </c>
      <c r="G913" s="2" t="s">
        <v>2589</v>
      </c>
      <c r="H913" s="2" t="s">
        <v>17</v>
      </c>
      <c r="I913" s="2" t="str">
        <f>IFERROR(__xludf.DUMMYFUNCTION("GOOGLETRANSLATE(C913,""fr"",""en"")"),"Allianz is a very good insurance company. I met my insurance agent for the development of my health contracts, multi -risk home, car, following the increase in my complementary. I was very well informed with modifications to all my contracts with more ext"&amp;"ensive guarantees and very competitive prices. In addition I left with a new contract guaranteeing me ""life accidents"".
In April 2020, I had a small hanging with my car, everything went very well despite ""the codiv"". Keep human contact with our insur"&amp;"ers !!!")</f>
        <v>Allianz is a very good insurance company. I met my insurance agent for the development of my health contracts, multi -risk home, car, following the increase in my complementary. I was very well informed with modifications to all my contracts with more extensive guarantees and very competitive prices. In addition I left with a new contract guaranteeing me "life accidents".
In April 2020, I had a small hanging with my car, everything went very well despite "the codiv". Keep human contact with our insurers !!!</v>
      </c>
    </row>
    <row r="914" ht="15.75" customHeight="1">
      <c r="B914" s="2" t="s">
        <v>2590</v>
      </c>
      <c r="C914" s="2" t="s">
        <v>2591</v>
      </c>
      <c r="D914" s="2" t="s">
        <v>2494</v>
      </c>
      <c r="E914" s="2" t="s">
        <v>14</v>
      </c>
      <c r="F914" s="2" t="s">
        <v>15</v>
      </c>
      <c r="G914" s="2" t="s">
        <v>397</v>
      </c>
      <c r="H914" s="2" t="s">
        <v>17</v>
      </c>
      <c r="I914" s="2" t="str">
        <f>IFERROR(__xludf.DUMMYFUNCTION("GOOGLETRANSLATE(C914,""fr"",""en"")"),"Simply shabby.
After subscription, do not expect anything from their share, not even the reception of your green card (I have been waiting for mine since the end of September 2020, we are in mid-January 2021)
The salespeople are very nice to make yo"&amp;"u subscribe to insurance, but once signed, a question on your contract? Don't wait any answer, I had to send a 20 -mail and I have never been answered, never.")</f>
        <v>Simply shabby.
After subscription, do not expect anything from their share, not even the reception of your green card (I have been waiting for mine since the end of September 2020, we are in mid-January 2021)
The salespeople are very nice to make you subscribe to insurance, but once signed, a question on your contract? Don't wait any answer, I had to send a 20 -mail and I have never been answered, never.</v>
      </c>
    </row>
    <row r="915" ht="15.75" customHeight="1">
      <c r="B915" s="2" t="s">
        <v>2592</v>
      </c>
      <c r="C915" s="2" t="s">
        <v>2593</v>
      </c>
      <c r="D915" s="2" t="s">
        <v>2494</v>
      </c>
      <c r="E915" s="2" t="s">
        <v>14</v>
      </c>
      <c r="F915" s="2" t="s">
        <v>15</v>
      </c>
      <c r="G915" s="2" t="s">
        <v>2594</v>
      </c>
      <c r="H915" s="2" t="s">
        <v>17</v>
      </c>
      <c r="I915" s="2" t="str">
        <f>IFERROR(__xludf.DUMMYFUNCTION("GOOGLETRANSLATE(C915,""fr"",""en"")"),"I do not recommend this insurance at all. You have to be patient to have them on the phone for information on our car contract (25 minutes of waiting). I finally have someone who, not having the answer to my question, puts me on hold. After a new expectat"&amp;"ion of 15 minutes, I finally decided to hang up. Inadmissible !!!
No response to email either.
Maybe Allianz's customer service will remind me of this post, but nothing sure!
")</f>
        <v>I do not recommend this insurance at all. You have to be patient to have them on the phone for information on our car contract (25 minutes of waiting). I finally have someone who, not having the answer to my question, puts me on hold. After a new expectation of 15 minutes, I finally decided to hang up. Inadmissible !!!
No response to email either.
Maybe Allianz's customer service will remind me of this post, but nothing sure!
</v>
      </c>
    </row>
    <row r="916" ht="15.75" customHeight="1">
      <c r="B916" s="2" t="s">
        <v>2595</v>
      </c>
      <c r="C916" s="2" t="s">
        <v>2596</v>
      </c>
      <c r="D916" s="2" t="s">
        <v>2494</v>
      </c>
      <c r="E916" s="2" t="s">
        <v>14</v>
      </c>
      <c r="F916" s="2" t="s">
        <v>15</v>
      </c>
      <c r="G916" s="2" t="s">
        <v>20</v>
      </c>
      <c r="H916" s="2" t="s">
        <v>21</v>
      </c>
      <c r="I916" s="2" t="str">
        <f>IFERROR(__xludf.DUMMYFUNCTION("GOOGLETRANSLATE(C916,""fr"",""en"")"),"This company is a real disaster. Not competent, not polite, not welcoming advisers. At the level of customer service is zero! The advisers are unpleasant and hang up on the nose. I sent a registered letter with acknowledgment of reception, for a terminati"&amp;"on, I never received a return from them. I called and they don't know anything at all, they gave me an email. So I sent an email with all the documents, the email does not even work, an email of automatic refusal was sent to me. So I recalled, and they ha"&amp;"ng up on me. It is unheard of, both in terms of services and in terms of relationship with the customer. I strongly advise against this insurance!")</f>
        <v>This company is a real disaster. Not competent, not polite, not welcoming advisers. At the level of customer service is zero! The advisers are unpleasant and hang up on the nose. I sent a registered letter with acknowledgment of reception, for a termination, I never received a return from them. I called and they don't know anything at all, they gave me an email. So I sent an email with all the documents, the email does not even work, an email of automatic refusal was sent to me. So I recalled, and they hang up on me. It is unheard of, both in terms of services and in terms of relationship with the customer. I strongly advise against this insurance!</v>
      </c>
    </row>
    <row r="917" ht="15.75" customHeight="1">
      <c r="B917" s="2" t="s">
        <v>2597</v>
      </c>
      <c r="C917" s="2" t="s">
        <v>2598</v>
      </c>
      <c r="D917" s="2" t="s">
        <v>2494</v>
      </c>
      <c r="E917" s="2" t="s">
        <v>14</v>
      </c>
      <c r="F917" s="2" t="s">
        <v>15</v>
      </c>
      <c r="G917" s="2" t="s">
        <v>1600</v>
      </c>
      <c r="H917" s="2" t="s">
        <v>21</v>
      </c>
      <c r="I917" s="2" t="str">
        <f>IFERROR(__xludf.DUMMYFUNCTION("GOOGLETRANSLATE(C917,""fr"",""en"")"),"This insurance is a big joke!
Never answer! Impossible to have an advisor. Endless expectation. So I decide to go to an agency. I am told that we can't help me (I wanted to review the cost of my car insurance) because I have subscribed to the internet in"&amp;"surance and not in an agency?! To understand nothing! I insist. Asked me if I am bordering?! Which report ? When I say no, tells me that he cannot access my file. (Above all, there is nothing to do with it!)
In November I receive a document certifying "&amp;"that I did not pay for my insurance. I learn later that it is a national bug on their part. Without explanation, he therefore removes 50 bullets twice.
End is a joke. A sketch.
Fortunately I did not have any problems during my contract! Unreachable!")</f>
        <v>This insurance is a big joke!
Never answer! Impossible to have an advisor. Endless expectation. So I decide to go to an agency. I am told that we can't help me (I wanted to review the cost of my car insurance) because I have subscribed to the internet insurance and not in an agency?! To understand nothing! I insist. Asked me if I am bordering?! Which report ? When I say no, tells me that he cannot access my file. (Above all, there is nothing to do with it!)
In November I receive a document certifying that I did not pay for my insurance. I learn later that it is a national bug on their part. Without explanation, he therefore removes 50 bullets twice.
End is a joke. A sketch.
Fortunately I did not have any problems during my contract! Unreachable!</v>
      </c>
    </row>
    <row r="918" ht="15.75" customHeight="1">
      <c r="B918" s="2" t="s">
        <v>2599</v>
      </c>
      <c r="C918" s="2" t="s">
        <v>2600</v>
      </c>
      <c r="D918" s="2" t="s">
        <v>2494</v>
      </c>
      <c r="E918" s="2" t="s">
        <v>14</v>
      </c>
      <c r="F918" s="2" t="s">
        <v>15</v>
      </c>
      <c r="G918" s="2" t="s">
        <v>1606</v>
      </c>
      <c r="H918" s="2" t="s">
        <v>21</v>
      </c>
      <c r="I918" s="2" t="str">
        <f>IFERROR(__xludf.DUMMYFUNCTION("GOOGLETRANSLATE(C918,""fr"",""en"")"),"I strongly advise against. For 6 months, I have been trying to recover deadlines taken after my termination. The emails I address to customer service remain unanswered and telephone calls (on average 30 minutes each time) do not lead. Lots of energy for n"&amp;"othing. A word of advice: it is sometimes better to pay a little more and have a quality of service.")</f>
        <v>I strongly advise against. For 6 months, I have been trying to recover deadlines taken after my termination. The emails I address to customer service remain unanswered and telephone calls (on average 30 minutes each time) do not lead. Lots of energy for nothing. A word of advice: it is sometimes better to pay a little more and have a quality of service.</v>
      </c>
    </row>
    <row r="919" ht="15.75" customHeight="1">
      <c r="B919" s="2" t="s">
        <v>2601</v>
      </c>
      <c r="C919" s="2" t="s">
        <v>2602</v>
      </c>
      <c r="D919" s="2" t="s">
        <v>2494</v>
      </c>
      <c r="E919" s="2" t="s">
        <v>14</v>
      </c>
      <c r="F919" s="2" t="s">
        <v>15</v>
      </c>
      <c r="G919" s="2" t="s">
        <v>30</v>
      </c>
      <c r="H919" s="2" t="s">
        <v>31</v>
      </c>
      <c r="I919" s="2" t="str">
        <f>IFERROR(__xludf.DUMMYFUNCTION("GOOGLETRANSLATE(C919,""fr"",""en"")"),"Completely overwhelmed service. Prices increases unrelated to the market. Very bad payers in the event of a disaster. This company does not think of customers. There is only one for the shareholder!")</f>
        <v>Completely overwhelmed service. Prices increases unrelated to the market. Very bad payers in the event of a disaster. This company does not think of customers. There is only one for the shareholder!</v>
      </c>
    </row>
    <row r="920" ht="15.75" customHeight="1">
      <c r="B920" s="2" t="s">
        <v>2603</v>
      </c>
      <c r="C920" s="2" t="s">
        <v>2604</v>
      </c>
      <c r="D920" s="2" t="s">
        <v>2494</v>
      </c>
      <c r="E920" s="2" t="s">
        <v>14</v>
      </c>
      <c r="F920" s="2" t="s">
        <v>15</v>
      </c>
      <c r="G920" s="2" t="s">
        <v>2062</v>
      </c>
      <c r="H920" s="2" t="s">
        <v>31</v>
      </c>
      <c r="I920" s="2" t="str">
        <f>IFERROR(__xludf.DUMMYFUNCTION("GOOGLETRANSLATE(C920,""fr"",""en"")"),"Very good insurer, very kind and above all very accommodating. Unfortunately following unpaid my contract must have been terminated. Hoping to come back to Allianz soon.")</f>
        <v>Very good insurer, very kind and above all very accommodating. Unfortunately following unpaid my contract must have been terminated. Hoping to come back to Allianz soon.</v>
      </c>
    </row>
    <row r="921" ht="15.75" customHeight="1">
      <c r="B921" s="2" t="s">
        <v>2605</v>
      </c>
      <c r="C921" s="2" t="s">
        <v>2606</v>
      </c>
      <c r="D921" s="2" t="s">
        <v>2494</v>
      </c>
      <c r="E921" s="2" t="s">
        <v>14</v>
      </c>
      <c r="F921" s="2" t="s">
        <v>15</v>
      </c>
      <c r="G921" s="2" t="s">
        <v>789</v>
      </c>
      <c r="H921" s="2" t="s">
        <v>31</v>
      </c>
      <c r="I921" s="2" t="str">
        <f>IFERROR(__xludf.DUMMYFUNCTION("GOOGLETRANSLATE(C921,""fr"",""en"")"),"Half insurance price of mine but since I signed my contract and that he has taken the first more means of the assets on the phone does not answer the email that I sent them I don't know how to do
help me")</f>
        <v>Half insurance price of mine but since I signed my contract and that he has taken the first more means of the assets on the phone does not answer the email that I sent them I don't know how to do
help me</v>
      </c>
    </row>
    <row r="922" ht="15.75" customHeight="1">
      <c r="B922" s="2" t="s">
        <v>2607</v>
      </c>
      <c r="C922" s="2" t="s">
        <v>2608</v>
      </c>
      <c r="D922" s="2" t="s">
        <v>2494</v>
      </c>
      <c r="E922" s="2" t="s">
        <v>14</v>
      </c>
      <c r="F922" s="2" t="s">
        <v>15</v>
      </c>
      <c r="G922" s="2" t="s">
        <v>419</v>
      </c>
      <c r="H922" s="2" t="s">
        <v>31</v>
      </c>
      <c r="I922" s="2" t="str">
        <f>IFERROR(__xludf.DUMMYFUNCTION("GOOGLETRANSLATE(C922,""fr"",""en"")"),"For the sags no worries lol. Sur the Eallianz site fusion with Calypso assurance everything gets complicated on the phone we tell you 5 minutes of the fastest waiting I have them is ""30mn. Pas of access to your personal space following The merger (their "&amp;"response) 3 call and I have not always my total green card more than 2 h on the phone. Breakdown declaration is 2/11 declared and confirmed by a claypsy email Calypso.fr. 16/ 11 I go to the news by phone (always no access to the personal space grrrr) to s"&amp;"ee the advancement of the file and the one tells me that my disaster is not recorded zero ... zero zero ...")</f>
        <v>For the sags no worries lol. Sur the Eallianz site fusion with Calypso assurance everything gets complicated on the phone we tell you 5 minutes of the fastest waiting I have them is "30mn. Pas of access to your personal space following The merger (their response) 3 call and I have not always my total green card more than 2 h on the phone. Breakdown declaration is 2/11 declared and confirmed by a claypsy email Calypso.fr. 16/ 11 I go to the news by phone (always no access to the personal space grrrr) to see the advancement of the file and the one tells me that my disaster is not recorded zero ... zero zero ...</v>
      </c>
    </row>
    <row r="923" ht="15.75" customHeight="1">
      <c r="B923" s="2" t="s">
        <v>2609</v>
      </c>
      <c r="C923" s="2" t="s">
        <v>2610</v>
      </c>
      <c r="D923" s="2" t="s">
        <v>2494</v>
      </c>
      <c r="E923" s="2" t="s">
        <v>14</v>
      </c>
      <c r="F923" s="2" t="s">
        <v>15</v>
      </c>
      <c r="G923" s="2" t="s">
        <v>2611</v>
      </c>
      <c r="H923" s="2" t="s">
        <v>31</v>
      </c>
      <c r="I923" s="2" t="str">
        <f>IFERROR(__xludf.DUMMYFUNCTION("GOOGLETRANSLATE(C923,""fr"",""en"")"),"Hello everybody,
My case is very simple, I subscribed to car insurance in early September at Allianz (Mercedes A200).
Well, the whole subscription procedure no worries, on the other hand, once finished I am claimed documents that I send immediately.
Th"&amp;"e contract is well displayed in my space all the documents its OK, perfect.
On the other hand I always received recovery emails to tell me that it was always missing a document, well I check, everything seems to me ok. So I call an advisor from Allianz, "&amp;"who confirms to me that everything is ok no worries, the bot that spam I should not take it into account, ok.
Except that the currently, I paid a quarter or € 280, and today the problem is still not solved is I received an email indicating the end of my "&amp;"contract in early November ??
How is it possible for such a long information processing time!
I therefore find myself without auto insurance and impossible to have information on my contract because it is a contract signed by telephone (contract startin"&amp;"g with AF).
Shameful, I do not recommend this insurance, customer service 0 pointed gentlemen !!
")</f>
        <v>Hello everybody,
My case is very simple, I subscribed to car insurance in early September at Allianz (Mercedes A200).
Well, the whole subscription procedure no worries, on the other hand, once finished I am claimed documents that I send immediately.
The contract is well displayed in my space all the documents its OK, perfect.
On the other hand I always received recovery emails to tell me that it was always missing a document, well I check, everything seems to me ok. So I call an advisor from Allianz, who confirms to me that everything is ok no worries, the bot that spam I should not take it into account, ok.
Except that the currently, I paid a quarter or € 280, and today the problem is still not solved is I received an email indicating the end of my contract in early November ??
How is it possible for such a long information processing time!
I therefore find myself without auto insurance and impossible to have information on my contract because it is a contract signed by telephone (contract starting with AF).
Shameful, I do not recommend this insurance, customer service 0 pointed gentlemen !!
</v>
      </c>
    </row>
    <row r="924" ht="15.75" customHeight="1">
      <c r="B924" s="2" t="s">
        <v>2612</v>
      </c>
      <c r="C924" s="2" t="s">
        <v>2613</v>
      </c>
      <c r="D924" s="2" t="s">
        <v>2494</v>
      </c>
      <c r="E924" s="2" t="s">
        <v>14</v>
      </c>
      <c r="F924" s="2" t="s">
        <v>15</v>
      </c>
      <c r="G924" s="2" t="s">
        <v>2614</v>
      </c>
      <c r="H924" s="2" t="s">
        <v>31</v>
      </c>
      <c r="I924" s="2" t="str">
        <f>IFERROR(__xludf.DUMMYFUNCTION("GOOGLETRANSLATE(C924,""fr"",""en"")"),"I had an accident in August, scratch car, not at fault, I was insured all risks, they always owe me € 10,000 so that I can buy a car, we are in November, I find me on foot at the moment, I call every day the service affected to know where we are for the t"&amp;"ransfer, they always say who is in progress, they find things like my nationality, I am Portuguese, so that's why that Take time to make the transfer when I have a French contract, and I live in France with a French bank, they are just horrible and in bad"&amp;" faith, I received a text saying that the transfer was made 1 month ago, but apparently it was accidental, worse than Allianz I don't think it exists to flee !!!!")</f>
        <v>I had an accident in August, scratch car, not at fault, I was insured all risks, they always owe me € 10,000 so that I can buy a car, we are in November, I find me on foot at the moment, I call every day the service affected to know where we are for the transfer, they always say who is in progress, they find things like my nationality, I am Portuguese, so that's why that Take time to make the transfer when I have a French contract, and I live in France with a French bank, they are just horrible and in bad faith, I received a text saying that the transfer was made 1 month ago, but apparently it was accidental, worse than Allianz I don't think it exists to flee !!!!</v>
      </c>
    </row>
    <row r="925" ht="15.75" customHeight="1">
      <c r="B925" s="2" t="s">
        <v>2615</v>
      </c>
      <c r="C925" s="2" t="s">
        <v>2616</v>
      </c>
      <c r="D925" s="2" t="s">
        <v>2494</v>
      </c>
      <c r="E925" s="2" t="s">
        <v>14</v>
      </c>
      <c r="F925" s="2" t="s">
        <v>15</v>
      </c>
      <c r="G925" s="2" t="s">
        <v>1614</v>
      </c>
      <c r="H925" s="2" t="s">
        <v>49</v>
      </c>
      <c r="I925" s="2" t="str">
        <f>IFERROR(__xludf.DUMMYFUNCTION("GOOGLETRANSLATE(C925,""fr"",""en"")"),"I am extremely disappointed because the advisor I had on the phone hid the tacit renewal of the contract!
")</f>
        <v>I am extremely disappointed because the advisor I had on the phone hid the tacit renewal of the contract!
</v>
      </c>
    </row>
    <row r="926" ht="15.75" customHeight="1">
      <c r="B926" s="2" t="s">
        <v>2617</v>
      </c>
      <c r="C926" s="2" t="s">
        <v>2618</v>
      </c>
      <c r="D926" s="2" t="s">
        <v>2494</v>
      </c>
      <c r="E926" s="2" t="s">
        <v>14</v>
      </c>
      <c r="F926" s="2" t="s">
        <v>15</v>
      </c>
      <c r="G926" s="2" t="s">
        <v>1293</v>
      </c>
      <c r="H926" s="2" t="s">
        <v>49</v>
      </c>
      <c r="I926" s="2" t="str">
        <f>IFERROR(__xludf.DUMMYFUNCTION("GOOGLETRANSLATE(C926,""fr"",""en"")"),"Increasingly expensive prices.
Telephone welcome is good.
Now when we compare to other insurances, we realize that many different options.
But hey, a little expensive.")</f>
        <v>Increasingly expensive prices.
Telephone welcome is good.
Now when we compare to other insurances, we realize that many different options.
But hey, a little expensive.</v>
      </c>
    </row>
    <row r="927" ht="15.75" customHeight="1">
      <c r="B927" s="2" t="s">
        <v>2619</v>
      </c>
      <c r="C927" s="2" t="s">
        <v>2620</v>
      </c>
      <c r="D927" s="2" t="s">
        <v>2494</v>
      </c>
      <c r="E927" s="2" t="s">
        <v>14</v>
      </c>
      <c r="F927" s="2" t="s">
        <v>15</v>
      </c>
      <c r="G927" s="2" t="s">
        <v>52</v>
      </c>
      <c r="H927" s="2" t="s">
        <v>49</v>
      </c>
      <c r="I927" s="2" t="str">
        <f>IFERROR(__xludf.DUMMYFUNCTION("GOOGLETRANSLATE(C927,""fr"",""en"")"),"An accident that occurred on 01/25/2020 and the problem is still not resolved on 19/10/2020. To flee just like Assur People which is unable to process the file as it should be. Incompetence at all levels. Nobody never recalls. Impossible to have a frame o"&amp;"n the phone. A disaster.")</f>
        <v>An accident that occurred on 01/25/2020 and the problem is still not resolved on 19/10/2020. To flee just like Assur People which is unable to process the file as it should be. Incompetence at all levels. Nobody never recalls. Impossible to have a frame on the phone. A disaster.</v>
      </c>
    </row>
    <row r="928" ht="15.75" customHeight="1">
      <c r="B928" s="2" t="s">
        <v>2621</v>
      </c>
      <c r="C928" s="2" t="s">
        <v>2622</v>
      </c>
      <c r="D928" s="2" t="s">
        <v>2494</v>
      </c>
      <c r="E928" s="2" t="s">
        <v>14</v>
      </c>
      <c r="F928" s="2" t="s">
        <v>15</v>
      </c>
      <c r="G928" s="2" t="s">
        <v>1617</v>
      </c>
      <c r="H928" s="2" t="s">
        <v>49</v>
      </c>
      <c r="I928" s="2" t="str">
        <f>IFERROR(__xludf.DUMMYFUNCTION("GOOGLETRANSLATE(C928,""fr"",""en"")"),"I have not had claims since I am at Allianz I cannot therefore judge their effectiveness on the other hand I find the prices high compared to the competition. Customer advisers are very sympathetic and efficient available. However, I plan to change if the"&amp;"y do not meet their prices.")</f>
        <v>I have not had claims since I am at Allianz I cannot therefore judge their effectiveness on the other hand I find the prices high compared to the competition. Customer advisers are very sympathetic and efficient available. However, I plan to change if they do not meet their prices.</v>
      </c>
    </row>
    <row r="929" ht="15.75" customHeight="1">
      <c r="B929" s="2" t="s">
        <v>2623</v>
      </c>
      <c r="C929" s="2" t="s">
        <v>2624</v>
      </c>
      <c r="D929" s="2" t="s">
        <v>2494</v>
      </c>
      <c r="E929" s="2" t="s">
        <v>14</v>
      </c>
      <c r="F929" s="2" t="s">
        <v>15</v>
      </c>
      <c r="G929" s="2" t="s">
        <v>2625</v>
      </c>
      <c r="H929" s="2" t="s">
        <v>49</v>
      </c>
      <c r="I929" s="2" t="str">
        <f>IFERROR(__xludf.DUMMYFUNCTION("GOOGLETRANSLATE(C929,""fr"",""en"")"),"30 minutes of waiting for each call.
Very competitive company as long as the only relationship you have with it is to pay the subscription.
Small anecdote: I try to delete a disaster and a penalty that has never had for 2 weeks. Insurance admits to bein"&amp;"g mistaken, but ... does not correct his error. Slag calls, messages and these unbearable expectations on the phone.
I am strongly denominated")</f>
        <v>30 minutes of waiting for each call.
Very competitive company as long as the only relationship you have with it is to pay the subscription.
Small anecdote: I try to delete a disaster and a penalty that has never had for 2 weeks. Insurance admits to being mistaken, but ... does not correct his error. Slag calls, messages and these unbearable expectations on the phone.
I am strongly denominated</v>
      </c>
    </row>
    <row r="930" ht="15.75" customHeight="1">
      <c r="B930" s="2" t="s">
        <v>2626</v>
      </c>
      <c r="C930" s="2" t="s">
        <v>2627</v>
      </c>
      <c r="D930" s="2" t="s">
        <v>2494</v>
      </c>
      <c r="E930" s="2" t="s">
        <v>14</v>
      </c>
      <c r="F930" s="2" t="s">
        <v>15</v>
      </c>
      <c r="G930" s="2" t="s">
        <v>1620</v>
      </c>
      <c r="H930" s="2" t="s">
        <v>49</v>
      </c>
      <c r="I930" s="2" t="str">
        <f>IFERROR(__xludf.DUMMYFUNCTION("GOOGLETRANSLATE(C930,""fr"",""en"")"),"Exorbitant price for young driver like me and have downgraded my poor little rugged car only for 2 shots at the choc pares (but which still rolls impeccably) while I am in total right on the accident, I find it so shameful. People who do not have big mean"&amp;"s to buy a new car, only one solution: trace your path !!!!!!!!!!!")</f>
        <v>Exorbitant price for young driver like me and have downgraded my poor little rugged car only for 2 shots at the choc pares (but which still rolls impeccably) while I am in total right on the accident, I find it so shameful. People who do not have big means to buy a new car, only one solution: trace your path !!!!!!!!!!!</v>
      </c>
    </row>
    <row r="931" ht="15.75" customHeight="1">
      <c r="B931" s="2" t="s">
        <v>2628</v>
      </c>
      <c r="C931" s="2" t="s">
        <v>2629</v>
      </c>
      <c r="D931" s="2" t="s">
        <v>2494</v>
      </c>
      <c r="E931" s="2" t="s">
        <v>14</v>
      </c>
      <c r="F931" s="2" t="s">
        <v>15</v>
      </c>
      <c r="G931" s="2" t="s">
        <v>422</v>
      </c>
      <c r="H931" s="2" t="s">
        <v>49</v>
      </c>
      <c r="I931" s="2" t="str">
        <f>IFERROR(__xludf.DUMMYFUNCTION("GOOGLETRANSLATE(C931,""fr"",""en"")"),"Unattractive price.
Very complicated termination it has been 7 months that the other insurance returns the paper termination but Allianz is deaf ear.
I strongly advise against.")</f>
        <v>Unattractive price.
Very complicated termination it has been 7 months that the other insurance returns the paper termination but Allianz is deaf ear.
I strongly advise against.</v>
      </c>
    </row>
    <row r="932" ht="15.75" customHeight="1">
      <c r="B932" s="2" t="s">
        <v>2630</v>
      </c>
      <c r="C932" s="2" t="s">
        <v>2631</v>
      </c>
      <c r="D932" s="2" t="s">
        <v>2494</v>
      </c>
      <c r="E932" s="2" t="s">
        <v>14</v>
      </c>
      <c r="F932" s="2" t="s">
        <v>15</v>
      </c>
      <c r="G932" s="2" t="s">
        <v>422</v>
      </c>
      <c r="H932" s="2" t="s">
        <v>49</v>
      </c>
      <c r="I932" s="2" t="str">
        <f>IFERROR(__xludf.DUMMYFUNCTION("GOOGLETRANSLATE(C932,""fr"",""en"")"),"My ex - insurance agent let me know following my dissatisfaction that they had a lot of customers and that he gave preference to professionals, moreover, the price of our car insurance was exaggerated and did not take into account our Bonus (0.50), I conc"&amp;"lude that Allianz makes fun of individuals and made us pay the high price that is why I put 1 star but by obligation. This company only thinks Business. In Germany it is the same method.")</f>
        <v>My ex - insurance agent let me know following my dissatisfaction that they had a lot of customers and that he gave preference to professionals, moreover, the price of our car insurance was exaggerated and did not take into account our Bonus (0.50), I conclude that Allianz makes fun of individuals and made us pay the high price that is why I put 1 star but by obligation. This company only thinks Business. In Germany it is the same method.</v>
      </c>
    </row>
    <row r="933" ht="15.75" customHeight="1">
      <c r="B933" s="2" t="s">
        <v>2632</v>
      </c>
      <c r="C933" s="2" t="s">
        <v>2633</v>
      </c>
      <c r="D933" s="2" t="s">
        <v>2494</v>
      </c>
      <c r="E933" s="2" t="s">
        <v>14</v>
      </c>
      <c r="F933" s="2" t="s">
        <v>15</v>
      </c>
      <c r="G933" s="2" t="s">
        <v>1304</v>
      </c>
      <c r="H933" s="2" t="s">
        <v>49</v>
      </c>
      <c r="I933" s="2" t="str">
        <f>IFERROR(__xludf.DUMMYFUNCTION("GOOGLETRANSLATE(C933,""fr"",""en"")"),"Be careful, to take money every me, increase contributions without warning you are the first but on the other hand, taking charge of repairs following damage that .... they do not know how to do !!
It's been 5 months since they send me people from thei"&amp;"r home to see and see and then after 5 months, when they know the history of the disaster very well, a so -called expert calls me to tell me that he classifies the file without follow -up because in the end it is the lessor's insurance to pay ...... 5 mon"&amp;"ths to know that it is the responsibility of the lessor to pay?
No just that you have to change all the parquet you have to pay yes slim so you have to go out a little money for an insured ....
3 years ago, the same, a small water leak in my kitchen"&amp;" damaged some slats of the parquet, then this time, as at my kitchen, plumbing is therefore my charge, quiet what. ..... it's not up to me to pay because it's in my kitchen ......
Voila allianz that's it ..... 0/20")</f>
        <v>Be careful, to take money every me, increase contributions without warning you are the first but on the other hand, taking charge of repairs following damage that .... they do not know how to do !!
It's been 5 months since they send me people from their home to see and see and then after 5 months, when they know the history of the disaster very well, a so -called expert calls me to tell me that he classifies the file without follow -up because in the end it is the lessor's insurance to pay ...... 5 months to know that it is the responsibility of the lessor to pay?
No just that you have to change all the parquet you have to pay yes slim so you have to go out a little money for an insured ....
3 years ago, the same, a small water leak in my kitchen damaged some slats of the parquet, then this time, as at my kitchen, plumbing is therefore my charge, quiet what. ..... it's not up to me to pay because it's in my kitchen ......
Voila allianz that's it ..... 0/20</v>
      </c>
    </row>
    <row r="934" ht="15.75" customHeight="1">
      <c r="B934" s="2" t="s">
        <v>2634</v>
      </c>
      <c r="C934" s="2" t="s">
        <v>2635</v>
      </c>
      <c r="D934" s="2" t="s">
        <v>2494</v>
      </c>
      <c r="E934" s="2" t="s">
        <v>14</v>
      </c>
      <c r="F934" s="2" t="s">
        <v>15</v>
      </c>
      <c r="G934" s="2" t="s">
        <v>49</v>
      </c>
      <c r="H934" s="2" t="s">
        <v>49</v>
      </c>
      <c r="I934" s="2" t="str">
        <f>IFERROR(__xludf.DUMMYFUNCTION("GOOGLETRANSLATE(C934,""fr"",""en"")"),"I was provided by E. Allianz, a subsidiary of the Allianz group, and I have encountered financial problems. Unable to contact them by phone, inadmissible. I was terminated without being able to find an amicable solution. I strongly advise against ...")</f>
        <v>I was provided by E. Allianz, a subsidiary of the Allianz group, and I have encountered financial problems. Unable to contact them by phone, inadmissible. I was terminated without being able to find an amicable solution. I strongly advise against ...</v>
      </c>
    </row>
    <row r="935" ht="15.75" customHeight="1">
      <c r="B935" s="2" t="s">
        <v>2636</v>
      </c>
      <c r="C935" s="2" t="s">
        <v>2637</v>
      </c>
      <c r="D935" s="2" t="s">
        <v>2494</v>
      </c>
      <c r="E935" s="2" t="s">
        <v>14</v>
      </c>
      <c r="F935" s="2" t="s">
        <v>15</v>
      </c>
      <c r="G935" s="2" t="s">
        <v>2638</v>
      </c>
      <c r="H935" s="2" t="s">
        <v>56</v>
      </c>
      <c r="I935" s="2" t="str">
        <f>IFERROR(__xludf.DUMMYFUNCTION("GOOGLETRANSLATE(C935,""fr"",""en"")"),"I find the value for money is very satisfactory. Reactive and professional agency that I strongly recommend to all those around me.
Cordially.")</f>
        <v>I find the value for money is very satisfactory. Reactive and professional agency that I strongly recommend to all those around me.
Cordially.</v>
      </c>
    </row>
    <row r="936" ht="15.75" customHeight="1">
      <c r="B936" s="2" t="s">
        <v>2639</v>
      </c>
      <c r="C936" s="2" t="s">
        <v>2640</v>
      </c>
      <c r="D936" s="2" t="s">
        <v>2494</v>
      </c>
      <c r="E936" s="2" t="s">
        <v>14</v>
      </c>
      <c r="F936" s="2" t="s">
        <v>15</v>
      </c>
      <c r="G936" s="2" t="s">
        <v>65</v>
      </c>
      <c r="H936" s="2" t="s">
        <v>56</v>
      </c>
      <c r="I936" s="2" t="str">
        <f>IFERROR(__xludf.DUMMYFUNCTION("GOOGLETRANSLATE(C936,""fr"",""en"")"),"To avoid at all costs !!! For 1 year I have been waiting to be compensated but Allianz says that the Resplnsabilot is from the police far in fiyard m to strike aurs who leaned the police.sauf qie allianz does nothing But are unable to give me the pursue l"&amp;"etters worse aicun corresponding to the prefecture of police. Shabby !! For an advertisement where they say that they to you. Fake!!!")</f>
        <v>To avoid at all costs !!! For 1 year I have been waiting to be compensated but Allianz says that the Resplnsabilot is from the police far in fiyard m to strike aurs who leaned the police.sauf qie allianz does nothing But are unable to give me the pursue letters worse aicun corresponding to the prefecture of police. Shabby !! For an advertisement where they say that they to you. Fake!!!</v>
      </c>
    </row>
    <row r="937" ht="15.75" customHeight="1">
      <c r="B937" s="2" t="s">
        <v>2641</v>
      </c>
      <c r="C937" s="2" t="s">
        <v>2642</v>
      </c>
      <c r="D937" s="2" t="s">
        <v>2494</v>
      </c>
      <c r="E937" s="2" t="s">
        <v>14</v>
      </c>
      <c r="F937" s="2" t="s">
        <v>15</v>
      </c>
      <c r="G937" s="2" t="s">
        <v>2100</v>
      </c>
      <c r="H937" s="2" t="s">
        <v>56</v>
      </c>
      <c r="I937" s="2" t="str">
        <f>IFERROR(__xludf.DUMMYFUNCTION("GOOGLETRANSLATE(C937,""fr"",""en"")"),"A year that I await a refund for theft of materials, really lamentable in addition they make me understand that I was the thief. I have 3 4 -mutual vehicles a ten -year warranty and qq other contracts with them today I regret they mistreat their customers"&amp;". I have always honored my monthly payments and it is not reciprocal")</f>
        <v>A year that I await a refund for theft of materials, really lamentable in addition they make me understand that I was the thief. I have 3 4 -mutual vehicles a ten -year warranty and qq other contracts with them today I regret they mistreat their customers. I have always honored my monthly payments and it is not reciprocal</v>
      </c>
    </row>
    <row r="938" ht="15.75" customHeight="1">
      <c r="B938" s="2" t="s">
        <v>2643</v>
      </c>
      <c r="C938" s="2" t="s">
        <v>2644</v>
      </c>
      <c r="D938" s="2" t="s">
        <v>2494</v>
      </c>
      <c r="E938" s="2" t="s">
        <v>14</v>
      </c>
      <c r="F938" s="2" t="s">
        <v>15</v>
      </c>
      <c r="G938" s="2" t="s">
        <v>2645</v>
      </c>
      <c r="H938" s="2" t="s">
        <v>56</v>
      </c>
      <c r="I938" s="2" t="str">
        <f>IFERROR(__xludf.DUMMYFUNCTION("GOOGLETRANSLATE(C938,""fr"",""en"")"),"Hello, Allianz my gods what horror has been 6 years old that I am with them I just sold my car and insure another car finally it's what I thought except that in the end I learned that my old vehicle that my old vehicle that my old vehicle that my old vehi"&amp;"cle I sold a month ago is still insured and that my new vehicle is still not ensured for a month that I ride without insurance and that the person of Allianz that I had on the phone said yes c good You are assured when another has just told me that not at"&amp;" all in short ... Yes I could have realized it earlier except that for the assets on the phone it takes a day of vacation but thank you d 'Having was incompetent because I dare not even imagined in the event of an accident how it would have happened in my"&amp;" case brief Allianz it is incompetent, impossibility of the assets on the phone and thank you and goodbye")</f>
        <v>Hello, Allianz my gods what horror has been 6 years old that I am with them I just sold my car and insure another car finally it's what I thought except that in the end I learned that my old vehicle that my old vehicle that my old vehicle that my old vehicle I sold a month ago is still insured and that my new vehicle is still not ensured for a month that I ride without insurance and that the person of Allianz that I had on the phone said yes c good You are assured when another has just told me that not at all in short ... Yes I could have realized it earlier except that for the assets on the phone it takes a day of vacation but thank you d 'Having was incompetent because I dare not even imagined in the event of an accident how it would have happened in my case brief Allianz it is incompetent, impossibility of the assets on the phone and thank you and goodbye</v>
      </c>
    </row>
    <row r="939" ht="15.75" customHeight="1">
      <c r="B939" s="2" t="s">
        <v>2646</v>
      </c>
      <c r="C939" s="2" t="s">
        <v>2647</v>
      </c>
      <c r="D939" s="2" t="s">
        <v>2494</v>
      </c>
      <c r="E939" s="2" t="s">
        <v>14</v>
      </c>
      <c r="F939" s="2" t="s">
        <v>15</v>
      </c>
      <c r="G939" s="2" t="s">
        <v>2648</v>
      </c>
      <c r="H939" s="2" t="s">
        <v>56</v>
      </c>
      <c r="I939" s="2" t="str">
        <f>IFERROR(__xludf.DUMMYFUNCTION("GOOGLETRANSLATE(C939,""fr"",""en"")"),"Allianz insurers are real partner with our company ""Kanopii Immobilier"". They are 100% reliable and proud of their trades. With very good results.
")</f>
        <v>Allianz insurers are real partner with our company "Kanopii Immobilier". They are 100% reliable and proud of their trades. With very good results.
</v>
      </c>
    </row>
    <row r="940" ht="15.75" customHeight="1">
      <c r="B940" s="2" t="s">
        <v>2649</v>
      </c>
      <c r="C940" s="2" t="s">
        <v>2650</v>
      </c>
      <c r="D940" s="2" t="s">
        <v>2494</v>
      </c>
      <c r="E940" s="2" t="s">
        <v>14</v>
      </c>
      <c r="F940" s="2" t="s">
        <v>15</v>
      </c>
      <c r="G940" s="2" t="s">
        <v>2651</v>
      </c>
      <c r="H940" s="2" t="s">
        <v>72</v>
      </c>
      <c r="I940" s="2" t="str">
        <f>IFERROR(__xludf.DUMMYFUNCTION("GOOGLETRANSLATE(C940,""fr"",""en"")"),"Pay you for 30 years without having any problems and 2 incidents in 6 months. 1 broken lighthouse and 6 months after 1 windshield we increase my insurance by € 10 per month and when I called them it is told that it is normal. I only had insurance at home."&amp;" Normal I was forced to sell my house which was insured with them because I found myself DDF and therefore for them it is normal that I pay € 120 more per year OS my insurance was already € 800 part year")</f>
        <v>Pay you for 30 years without having any problems and 2 incidents in 6 months. 1 broken lighthouse and 6 months after 1 windshield we increase my insurance by € 10 per month and when I called them it is told that it is normal. I only had insurance at home. Normal I was forced to sell my house which was insured with them because I found myself DDF and therefore for them it is normal that I pay € 120 more per year OS my insurance was already € 800 part year</v>
      </c>
    </row>
    <row r="941" ht="15.75" customHeight="1">
      <c r="B941" s="2" t="s">
        <v>2652</v>
      </c>
      <c r="C941" s="2" t="s">
        <v>2653</v>
      </c>
      <c r="D941" s="2" t="s">
        <v>2494</v>
      </c>
      <c r="E941" s="2" t="s">
        <v>14</v>
      </c>
      <c r="F941" s="2" t="s">
        <v>15</v>
      </c>
      <c r="G941" s="2" t="s">
        <v>443</v>
      </c>
      <c r="H941" s="2" t="s">
        <v>72</v>
      </c>
      <c r="I941" s="2" t="str">
        <f>IFERROR(__xludf.DUMMYFUNCTION("GOOGLETRANSLATE(C941,""fr"",""en"")"),"I am not satisfied at all.
Many problems with my current insurer
Yet I have been insured for a long time.
I like to find another insurer")</f>
        <v>I am not satisfied at all.
Many problems with my current insurer
Yet I have been insured for a long time.
I like to find another insurer</v>
      </c>
    </row>
    <row r="942" ht="15.75" customHeight="1">
      <c r="B942" s="2" t="s">
        <v>2654</v>
      </c>
      <c r="C942" s="2" t="s">
        <v>2655</v>
      </c>
      <c r="D942" s="2" t="s">
        <v>2494</v>
      </c>
      <c r="E942" s="2" t="s">
        <v>14</v>
      </c>
      <c r="F942" s="2" t="s">
        <v>15</v>
      </c>
      <c r="G942" s="2" t="s">
        <v>2656</v>
      </c>
      <c r="H942" s="2" t="s">
        <v>72</v>
      </c>
      <c r="I942" s="2" t="str">
        <f>IFERROR(__xludf.DUMMYFUNCTION("GOOGLETRANSLATE(C942,""fr"",""en"")"),"Very disappointed.
1 year ago, I was unlucky the same month, I had a hanging by parking so responsible and a person who has toashed me the priority so no responsible and they solved me. Because supposedly I had too much accident
Fortunately, more human "&amp;"insurances exist. And with such competitive prices.
")</f>
        <v>Very disappointed.
1 year ago, I was unlucky the same month, I had a hanging by parking so responsible and a person who has toashed me the priority so no responsible and they solved me. Because supposedly I had too much accident
Fortunately, more human insurances exist. And with such competitive prices.
</v>
      </c>
    </row>
    <row r="943" ht="15.75" customHeight="1">
      <c r="B943" s="2" t="s">
        <v>2657</v>
      </c>
      <c r="C943" s="2" t="s">
        <v>2658</v>
      </c>
      <c r="D943" s="2" t="s">
        <v>2494</v>
      </c>
      <c r="E943" s="2" t="s">
        <v>14</v>
      </c>
      <c r="F943" s="2" t="s">
        <v>15</v>
      </c>
      <c r="G943" s="2" t="s">
        <v>2659</v>
      </c>
      <c r="H943" s="2" t="s">
        <v>99</v>
      </c>
      <c r="I943" s="2" t="str">
        <f>IFERROR(__xludf.DUMMYFUNCTION("GOOGLETRANSLATE(C943,""fr"",""en"")"),"I have been insured at Ensureo for a year, after two clashes with my non -responsible vehicle they decide to end my car contract ??? Non -responsible accidents, zero responsibility, that is to say that I could do nothing to prevent this, I receive a regis"&amp;"tered letter of termination, so now I am crazy will act, I also have a housing contract with them, after a Water damage, even damaged furniture is not compensated because the expert's report mentions that the claim is due to poor maintenance on my part, e"&amp;"xcept that when we take an insurance we should be compensated for the loss of our goods some be the reason I think that damaged furniture should be taken care of, I do not recommend Ensureo, a bad experience for my part, the only positive point of this co"&amp;"mpany is the reception of customer advisers The staff is always very Pleasant and attentive, I still want to highlight this point.")</f>
        <v>I have been insured at Ensureo for a year, after two clashes with my non -responsible vehicle they decide to end my car contract ??? Non -responsible accidents, zero responsibility, that is to say that I could do nothing to prevent this, I receive a registered letter of termination, so now I am crazy will act, I also have a housing contract with them, after a Water damage, even damaged furniture is not compensated because the expert's report mentions that the claim is due to poor maintenance on my part, except that when we take an insurance we should be compensated for the loss of our goods some be the reason I think that damaged furniture should be taken care of, I do not recommend Ensureo, a bad experience for my part, the only positive point of this company is the reception of customer advisers The staff is always very Pleasant and attentive, I still want to highlight this point.</v>
      </c>
    </row>
    <row r="944" ht="15.75" customHeight="1">
      <c r="B944" s="2" t="s">
        <v>2660</v>
      </c>
      <c r="C944" s="2" t="s">
        <v>2661</v>
      </c>
      <c r="D944" s="2" t="s">
        <v>2494</v>
      </c>
      <c r="E944" s="2" t="s">
        <v>14</v>
      </c>
      <c r="F944" s="2" t="s">
        <v>15</v>
      </c>
      <c r="G944" s="2" t="s">
        <v>98</v>
      </c>
      <c r="H944" s="2" t="s">
        <v>99</v>
      </c>
      <c r="I944" s="2" t="str">
        <f>IFERROR(__xludf.DUMMYFUNCTION("GOOGLETRANSLATE(C944,""fr"",""en"")"),"Too bad we are forced to leave a star
When we call we don't even find my file and more we make ourselves laugh at the nose
Fortunately you do it by correspondence because in front of your client in front of your attitude will be different at least in fr"&amp;"ont of me we will see who will laugh today")</f>
        <v>Too bad we are forced to leave a star
When we call we don't even find my file and more we make ourselves laugh at the nose
Fortunately you do it by correspondence because in front of your client in front of your attitude will be different at least in front of me we will see who will laugh today</v>
      </c>
    </row>
    <row r="945" ht="15.75" customHeight="1">
      <c r="B945" s="2" t="s">
        <v>2662</v>
      </c>
      <c r="C945" s="2" t="s">
        <v>2663</v>
      </c>
      <c r="D945" s="2" t="s">
        <v>2494</v>
      </c>
      <c r="E945" s="2" t="s">
        <v>14</v>
      </c>
      <c r="F945" s="2" t="s">
        <v>15</v>
      </c>
      <c r="G945" s="2" t="s">
        <v>2664</v>
      </c>
      <c r="H945" s="2" t="s">
        <v>112</v>
      </c>
      <c r="I945" s="2" t="str">
        <f>IFERROR(__xludf.DUMMYFUNCTION("GOOGLETRANSLATE(C945,""fr"",""en"")"),"For more than a year at Eallianz. I gained 5% bonuses and my insurance to increase, so in one year insurance increased by more than 5%. Inadmissible. Deplorable customer service! Called 3 times and be hung after 20 min waiting ... I do not recommend Ealli"&amp;"anz! RUN AWAY !")</f>
        <v>For more than a year at Eallianz. I gained 5% bonuses and my insurance to increase, so in one year insurance increased by more than 5%. Inadmissible. Deplorable customer service! Called 3 times and be hung after 20 min waiting ... I do not recommend Eallianz! RUN AWAY !</v>
      </c>
    </row>
    <row r="946" ht="15.75" customHeight="1">
      <c r="B946" s="2" t="s">
        <v>2665</v>
      </c>
      <c r="C946" s="2" t="s">
        <v>2666</v>
      </c>
      <c r="D946" s="2" t="s">
        <v>2494</v>
      </c>
      <c r="E946" s="2" t="s">
        <v>14</v>
      </c>
      <c r="F946" s="2" t="s">
        <v>15</v>
      </c>
      <c r="G946" s="2" t="s">
        <v>2667</v>
      </c>
      <c r="H946" s="2" t="s">
        <v>112</v>
      </c>
      <c r="I946" s="2" t="str">
        <f>IFERROR(__xludf.DUMMYFUNCTION("GOOGLETRANSLATE(C946,""fr"",""en"")"),"I subscribed to car insurance with Eallianz that she was mistaken that I did not make! I paid until September they received the documents !! and he sends me certificates for 4 days and 6 times the same in 1 week! Their site is inaccessible !! so I do not "&amp;"advise absolutely but then not at all !! N: 65040404 and in addition he threatens me to keep my money when they have everything they need")</f>
        <v>I subscribed to car insurance with Eallianz that she was mistaken that I did not make! I paid until September they received the documents !! and he sends me certificates for 4 days and 6 times the same in 1 week! Their site is inaccessible !! so I do not advise absolutely but then not at all !! N: 65040404 and in addition he threatens me to keep my money when they have everything they need</v>
      </c>
    </row>
    <row r="947" ht="15.75" customHeight="1">
      <c r="B947" s="2" t="s">
        <v>2668</v>
      </c>
      <c r="C947" s="2" t="s">
        <v>2669</v>
      </c>
      <c r="D947" s="2" t="s">
        <v>2494</v>
      </c>
      <c r="E947" s="2" t="s">
        <v>14</v>
      </c>
      <c r="F947" s="2" t="s">
        <v>15</v>
      </c>
      <c r="G947" s="2" t="s">
        <v>843</v>
      </c>
      <c r="H947" s="2" t="s">
        <v>112</v>
      </c>
      <c r="I947" s="2" t="str">
        <f>IFERROR(__xludf.DUMMYFUNCTION("GOOGLETRANSLATE(C947,""fr"",""en"")"),"Customer service is at the absent subscriber. No one responds.")</f>
        <v>Customer service is at the absent subscriber. No one responds.</v>
      </c>
    </row>
    <row r="948" ht="15.75" customHeight="1">
      <c r="B948" s="2" t="s">
        <v>2670</v>
      </c>
      <c r="C948" s="2" t="s">
        <v>2671</v>
      </c>
      <c r="D948" s="2" t="s">
        <v>2494</v>
      </c>
      <c r="E948" s="2" t="s">
        <v>14</v>
      </c>
      <c r="F948" s="2" t="s">
        <v>15</v>
      </c>
      <c r="G948" s="2" t="s">
        <v>115</v>
      </c>
      <c r="H948" s="2" t="s">
        <v>112</v>
      </c>
      <c r="I948" s="2" t="str">
        <f>IFERROR(__xludf.DUMMYFUNCTION("GOOGLETRANSLATE(C948,""fr"",""en"")"),"To flee very sincerely.
I paid 3 months of insurance and immediately sent the supporting documents by mail and by email to customer service which never responds. Result I received a threatening letter not to be insured because they had not received anyth"&amp;"ing. Then after two months and hours waiting on the phone I am told that I am well and well insured.
In the end received a second letter threatening me again not to be insured. So I called an advisor yesterday and after 52 minutes of waiting I am told th"&amp;"en that I will be reminded today. And strangely no call that day.
So I don't know if I am insured or not.
So dear Allianz if a problem occurs with my vehicle (accident)
It will be necessary to answer for your incompetence before justice because I have "&amp;"kept all the history
To the Enreheur.
")</f>
        <v>To flee very sincerely.
I paid 3 months of insurance and immediately sent the supporting documents by mail and by email to customer service which never responds. Result I received a threatening letter not to be insured because they had not received anything. Then after two months and hours waiting on the phone I am told that I am well and well insured.
In the end received a second letter threatening me again not to be insured. So I called an advisor yesterday and after 52 minutes of waiting I am told then that I will be reminded today. And strangely no call that day.
So I don't know if I am insured or not.
So dear Allianz if a problem occurs with my vehicle (accident)
It will be necessary to answer for your incompetence before justice because I have kept all the history
To the Enreheur.
</v>
      </c>
    </row>
    <row r="949" ht="15.75" customHeight="1">
      <c r="B949" s="2" t="s">
        <v>2672</v>
      </c>
      <c r="C949" s="2" t="s">
        <v>2673</v>
      </c>
      <c r="D949" s="2" t="s">
        <v>2494</v>
      </c>
      <c r="E949" s="2" t="s">
        <v>14</v>
      </c>
      <c r="F949" s="2" t="s">
        <v>15</v>
      </c>
      <c r="G949" s="2" t="s">
        <v>132</v>
      </c>
      <c r="H949" s="2" t="s">
        <v>123</v>
      </c>
      <c r="I949" s="2" t="str">
        <f>IFERROR(__xludf.DUMMYFUNCTION("GOOGLETRANSLATE(C949,""fr"",""en"")"),"I take advantage of having created an account on this site to make my contribution to Allianz insurance, it's not far from 20 years that I am assured at home for all our risks, and for nothing in the world, I would not change insurance ! Reactive, sympath"&amp;"etic, understanding, fast in their interventions, the words lack to say how happy I am to be assured at home!
Insurers that I highly recommend!")</f>
        <v>I take advantage of having created an account on this site to make my contribution to Allianz insurance, it's not far from 20 years that I am assured at home for all our risks, and for nothing in the world, I would not change insurance ! Reactive, sympathetic, understanding, fast in their interventions, the words lack to say how happy I am to be assured at home!
Insurers that I highly recommend!</v>
      </c>
    </row>
    <row r="950" ht="15.75" customHeight="1">
      <c r="B950" s="2" t="s">
        <v>2674</v>
      </c>
      <c r="C950" s="2" t="s">
        <v>2675</v>
      </c>
      <c r="D950" s="2" t="s">
        <v>2494</v>
      </c>
      <c r="E950" s="2" t="s">
        <v>14</v>
      </c>
      <c r="F950" s="2" t="s">
        <v>15</v>
      </c>
      <c r="G950" s="2" t="s">
        <v>2676</v>
      </c>
      <c r="H950" s="2" t="s">
        <v>142</v>
      </c>
      <c r="I950" s="2" t="str">
        <f>IFERROR(__xludf.DUMMYFUNCTION("GOOGLETRANSLATE(C950,""fr"",""en"")"),"I had a claim for 3 months impossible to reimburse me, however, what was made, the expert gave his opinion, the tier has been identified, for several months no vehicle")</f>
        <v>I had a claim for 3 months impossible to reimburse me, however, what was made, the expert gave his opinion, the tier has been identified, for several months no vehicle</v>
      </c>
    </row>
    <row r="951" ht="15.75" customHeight="1">
      <c r="B951" s="2" t="s">
        <v>2677</v>
      </c>
      <c r="C951" s="2" t="s">
        <v>2678</v>
      </c>
      <c r="D951" s="2" t="s">
        <v>2494</v>
      </c>
      <c r="E951" s="2" t="s">
        <v>14</v>
      </c>
      <c r="F951" s="2" t="s">
        <v>15</v>
      </c>
      <c r="G951" s="2" t="s">
        <v>2679</v>
      </c>
      <c r="H951" s="2" t="s">
        <v>142</v>
      </c>
      <c r="I951" s="2" t="str">
        <f>IFERROR(__xludf.DUMMYFUNCTION("GOOGLETRANSLATE(C951,""fr"",""en"")"),"It's been 1 week since I was registered, I still haven't received my car contract, after 5 calls at least 3 hours going on the phone still on you, it's unacceptable, customer service is really zero but no do not even know how to send a document, !!! I str"&amp;"ongly advise against !!! If you like your time !!!")</f>
        <v>It's been 1 week since I was registered, I still haven't received my car contract, after 5 calls at least 3 hours going on the phone still on you, it's unacceptable, customer service is really zero but no do not even know how to send a document, !!! I strongly advise against !!! If you like your time !!!</v>
      </c>
    </row>
    <row r="952" ht="15.75" customHeight="1">
      <c r="B952" s="2" t="s">
        <v>2680</v>
      </c>
      <c r="C952" s="2" t="s">
        <v>2681</v>
      </c>
      <c r="D952" s="2" t="s">
        <v>2494</v>
      </c>
      <c r="E952" s="2" t="s">
        <v>14</v>
      </c>
      <c r="F952" s="2" t="s">
        <v>15</v>
      </c>
      <c r="G952" s="2" t="s">
        <v>2682</v>
      </c>
      <c r="H952" s="2" t="s">
        <v>142</v>
      </c>
      <c r="I952" s="2" t="str">
        <f>IFERROR(__xludf.DUMMYFUNCTION("GOOGLETRANSLATE(C952,""fr"",""en"")"),"It is a very good insurance, I have never had problems with them .. I am very satisfied. All my contracts are with them and really no worries.
They are really at the Top Allianz, .. Mr Sebbane Abdelaziz")</f>
        <v>It is a very good insurance, I have never had problems with them .. I am very satisfied. All my contracts are with them and really no worries.
They are really at the Top Allianz, .. Mr Sebbane Abdelaziz</v>
      </c>
    </row>
    <row r="953" ht="15.75" customHeight="1">
      <c r="B953" s="2" t="s">
        <v>2683</v>
      </c>
      <c r="C953" s="2" t="s">
        <v>2684</v>
      </c>
      <c r="D953" s="2" t="s">
        <v>2494</v>
      </c>
      <c r="E953" s="2" t="s">
        <v>14</v>
      </c>
      <c r="F953" s="2" t="s">
        <v>15</v>
      </c>
      <c r="G953" s="2" t="s">
        <v>148</v>
      </c>
      <c r="H953" s="2" t="s">
        <v>149</v>
      </c>
      <c r="I953" s="2" t="str">
        <f>IFERROR(__xludf.DUMMYFUNCTION("GOOGLETRANSLATE(C953,""fr"",""en"")"),"We feel an obvious lack of communication between the agencies ""on the ground"" and the e-Allianz of which the customer is sympathized!")</f>
        <v>We feel an obvious lack of communication between the agencies "on the ground" and the e-Allianz of which the customer is sympathized!</v>
      </c>
    </row>
    <row r="954" ht="15.75" customHeight="1">
      <c r="B954" s="2" t="s">
        <v>2685</v>
      </c>
      <c r="C954" s="2" t="s">
        <v>2686</v>
      </c>
      <c r="D954" s="2" t="s">
        <v>2494</v>
      </c>
      <c r="E954" s="2" t="s">
        <v>14</v>
      </c>
      <c r="F954" s="2" t="s">
        <v>15</v>
      </c>
      <c r="G954" s="2" t="s">
        <v>2687</v>
      </c>
      <c r="H954" s="2" t="s">
        <v>149</v>
      </c>
      <c r="I954" s="2" t="str">
        <f>IFERROR(__xludf.DUMMYFUNCTION("GOOGLETRANSLATE(C954,""fr"",""en"")"),"Lamentable from lamentable. Incompensible website, I failed to ensure MOPN Audi TT. So I called an advisor and I stayed in a carafe 10 minutes without response. It is of unlimited commercial stupidity: the customer comes, and we refuse it. A advice: F.U.Y"&amp;".E.Z!")</f>
        <v>Lamentable from lamentable. Incompensible website, I failed to ensure MOPN Audi TT. So I called an advisor and I stayed in a carafe 10 minutes without response. It is of unlimited commercial stupidity: the customer comes, and we refuse it. A advice: F.U.Y.E.Z!</v>
      </c>
    </row>
    <row r="955" ht="15.75" customHeight="1">
      <c r="B955" s="2" t="s">
        <v>2688</v>
      </c>
      <c r="C955" s="2" t="s">
        <v>2689</v>
      </c>
      <c r="D955" s="2" t="s">
        <v>2494</v>
      </c>
      <c r="E955" s="2" t="s">
        <v>14</v>
      </c>
      <c r="F955" s="2" t="s">
        <v>15</v>
      </c>
      <c r="G955" s="2" t="s">
        <v>2687</v>
      </c>
      <c r="H955" s="2" t="s">
        <v>149</v>
      </c>
      <c r="I955" s="2" t="str">
        <f>IFERROR(__xludf.DUMMYFUNCTION("GOOGLETRANSLATE(C955,""fr"",""en"")"),"Insurance that awaits you that happens to you a fleeing because very disappointed with this courteous insurance but from the fact that they happen to you a glitch it requires no better increase your contribution even this is not your fault flee.")</f>
        <v>Insurance that awaits you that happens to you a fleeing because very disappointed with this courteous insurance but from the fact that they happen to you a glitch it requires no better increase your contribution even this is not your fault flee.</v>
      </c>
    </row>
    <row r="956" ht="15.75" customHeight="1">
      <c r="B956" s="2" t="s">
        <v>2690</v>
      </c>
      <c r="C956" s="2" t="s">
        <v>2691</v>
      </c>
      <c r="D956" s="2" t="s">
        <v>2494</v>
      </c>
      <c r="E956" s="2" t="s">
        <v>14</v>
      </c>
      <c r="F956" s="2" t="s">
        <v>15</v>
      </c>
      <c r="G956" s="2" t="s">
        <v>2692</v>
      </c>
      <c r="H956" s="2" t="s">
        <v>165</v>
      </c>
      <c r="I956" s="2" t="str">
        <f>IFERROR(__xludf.DUMMYFUNCTION("GOOGLETRANSLATE(C956,""fr"",""en"")"),"If all is well, everything is fine but pray so as not to have problems")</f>
        <v>If all is well, everything is fine but pray so as not to have problems</v>
      </c>
    </row>
    <row r="957" ht="15.75" customHeight="1">
      <c r="B957" s="2" t="s">
        <v>2693</v>
      </c>
      <c r="C957" s="2" t="s">
        <v>2694</v>
      </c>
      <c r="D957" s="2" t="s">
        <v>2494</v>
      </c>
      <c r="E957" s="2" t="s">
        <v>14</v>
      </c>
      <c r="F957" s="2" t="s">
        <v>15</v>
      </c>
      <c r="G957" s="2" t="s">
        <v>2695</v>
      </c>
      <c r="H957" s="2" t="s">
        <v>175</v>
      </c>
      <c r="I957" s="2" t="str">
        <f>IFERROR(__xludf.DUMMYFUNCTION("GOOGLETRANSLATE(C957,""fr"",""en"")"),"I’ve been waiting for progress on a disaster for 6 months, it’s a shame to treat people like that. Impossible to reach, despite my emails, I call on the insurance mediator. I have already terminated while waiting")</f>
        <v>I’ve been waiting for progress on a disaster for 6 months, it’s a shame to treat people like that. Impossible to reach, despite my emails, I call on the insurance mediator. I have already terminated while waiting</v>
      </c>
    </row>
    <row r="958" ht="15.75" customHeight="1">
      <c r="B958" s="2" t="s">
        <v>2696</v>
      </c>
      <c r="C958" s="2" t="s">
        <v>2697</v>
      </c>
      <c r="D958" s="2" t="s">
        <v>2494</v>
      </c>
      <c r="E958" s="2" t="s">
        <v>14</v>
      </c>
      <c r="F958" s="2" t="s">
        <v>15</v>
      </c>
      <c r="G958" s="2" t="s">
        <v>185</v>
      </c>
      <c r="H958" s="2" t="s">
        <v>179</v>
      </c>
      <c r="I958" s="2" t="str">
        <f>IFERROR(__xludf.DUMMYFUNCTION("GOOGLETRANSLATE(C958,""fr"",""en"")"),"I pay too much for auto insurance for the few guarantees that I have")</f>
        <v>I pay too much for auto insurance for the few guarantees that I have</v>
      </c>
    </row>
    <row r="959" ht="15.75" customHeight="1">
      <c r="B959" s="2" t="s">
        <v>2698</v>
      </c>
      <c r="C959" s="2" t="s">
        <v>2699</v>
      </c>
      <c r="D959" s="2" t="s">
        <v>2494</v>
      </c>
      <c r="E959" s="2" t="s">
        <v>14</v>
      </c>
      <c r="F959" s="2" t="s">
        <v>15</v>
      </c>
      <c r="G959" s="2" t="s">
        <v>2199</v>
      </c>
      <c r="H959" s="2" t="s">
        <v>193</v>
      </c>
      <c r="I959" s="2" t="str">
        <f>IFERROR(__xludf.DUMMYFUNCTION("GOOGLETRANSLATE(C959,""fr"",""en"")"),"Concerns the regional delegation of Saint-Denis in Reunion (974): when you call them to denounce a dispute with one of their agency (which applies 2 different rates for the same formula and which does not know how to explain to you why (service At the hea"&amp;"d of the customer), you are greeted by a standardist with the imposed responses ""I understand"" ""I understand"" and who repeats your name every time she opens her mouth, which transfers your call to the requested service (Production Service ) which is n"&amp;"ever reachable, and that your call comes back to the standard where you are invited to leave a message in order to be recalled but that no one will do it, and you remember the next day then on the next day, and it is Side for the same circus! ...")</f>
        <v>Concerns the regional delegation of Saint-Denis in Reunion (974): when you call them to denounce a dispute with one of their agency (which applies 2 different rates for the same formula and which does not know how to explain to you why (service At the head of the customer), you are greeted by a standardist with the imposed responses "I understand" "I understand" and who repeats your name every time she opens her mouth, which transfers your call to the requested service (Production Service ) which is never reachable, and that your call comes back to the standard where you are invited to leave a message in order to be recalled but that no one will do it, and you remember the next day then on the next day, and it is Side for the same circus! ...</v>
      </c>
    </row>
    <row r="960" ht="15.75" customHeight="1">
      <c r="B960" s="2" t="s">
        <v>2700</v>
      </c>
      <c r="C960" s="2" t="s">
        <v>2701</v>
      </c>
      <c r="D960" s="2" t="s">
        <v>2494</v>
      </c>
      <c r="E960" s="2" t="s">
        <v>14</v>
      </c>
      <c r="F960" s="2" t="s">
        <v>15</v>
      </c>
      <c r="G960" s="2" t="s">
        <v>2702</v>
      </c>
      <c r="H960" s="2" t="s">
        <v>193</v>
      </c>
      <c r="I960" s="2" t="str">
        <f>IFERROR(__xludf.DUMMYFUNCTION("GOOGLETRANSLATE(C960,""fr"",""en"")"),"Mitigated opinion")</f>
        <v>Mitigated opinion</v>
      </c>
    </row>
    <row r="961" ht="15.75" customHeight="1">
      <c r="B961" s="2" t="s">
        <v>2703</v>
      </c>
      <c r="C961" s="2" t="s">
        <v>2704</v>
      </c>
      <c r="D961" s="2" t="s">
        <v>2494</v>
      </c>
      <c r="E961" s="2" t="s">
        <v>14</v>
      </c>
      <c r="F961" s="2" t="s">
        <v>15</v>
      </c>
      <c r="G961" s="2" t="s">
        <v>2705</v>
      </c>
      <c r="H961" s="2" t="s">
        <v>193</v>
      </c>
      <c r="I961" s="2" t="str">
        <f>IFERROR(__xludf.DUMMYFUNCTION("GOOGLETRANSLATE(C961,""fr"",""en"")"),"Insurance that added me an additional to a hanging so I'm not even sure I really are wrong. Over 20 euros per month for an impact the size of a two -euro part")</f>
        <v>Insurance that added me an additional to a hanging so I'm not even sure I really are wrong. Over 20 euros per month for an impact the size of a two -euro part</v>
      </c>
    </row>
    <row r="962" ht="15.75" customHeight="1">
      <c r="B962" s="2" t="s">
        <v>2706</v>
      </c>
      <c r="C962" s="2" t="s">
        <v>2707</v>
      </c>
      <c r="D962" s="2" t="s">
        <v>2494</v>
      </c>
      <c r="E962" s="2" t="s">
        <v>14</v>
      </c>
      <c r="F962" s="2" t="s">
        <v>15</v>
      </c>
      <c r="G962" s="2" t="s">
        <v>883</v>
      </c>
      <c r="H962" s="2" t="s">
        <v>197</v>
      </c>
      <c r="I962" s="2" t="str">
        <f>IFERROR(__xludf.DUMMYFUNCTION("GOOGLETRANSLATE(C962,""fr"",""en"")"),"Possessor of a Chevrolet Corvette from 1991, it burned, Allianz to refuse to compensate me without proof of origin of the funds which served for the purchase of the vehicle, 27 years ago ... I had to Use my lawyer to obtain satisfaction")</f>
        <v>Possessor of a Chevrolet Corvette from 1991, it burned, Allianz to refuse to compensate me without proof of origin of the funds which served for the purchase of the vehicle, 27 years ago ... I had to Use my lawyer to obtain satisfaction</v>
      </c>
    </row>
    <row r="963" ht="15.75" customHeight="1">
      <c r="B963" s="2" t="s">
        <v>2708</v>
      </c>
      <c r="C963" s="2" t="s">
        <v>2709</v>
      </c>
      <c r="D963" s="2" t="s">
        <v>2494</v>
      </c>
      <c r="E963" s="2" t="s">
        <v>14</v>
      </c>
      <c r="F963" s="2" t="s">
        <v>15</v>
      </c>
      <c r="G963" s="2" t="s">
        <v>2710</v>
      </c>
      <c r="H963" s="2" t="s">
        <v>197</v>
      </c>
      <c r="I963" s="2" t="str">
        <f>IFERROR(__xludf.DUMMYFUNCTION("GOOGLETRANSLATE(C963,""fr"",""en"")"),"Lying -to -lies to lie insurance I recommended no refund in the event of an accident")</f>
        <v>Lying -to -lies to lie insurance I recommended no refund in the event of an accident</v>
      </c>
    </row>
    <row r="964" ht="15.75" customHeight="1">
      <c r="B964" s="2" t="s">
        <v>2711</v>
      </c>
      <c r="C964" s="2" t="s">
        <v>2712</v>
      </c>
      <c r="D964" s="2" t="s">
        <v>2494</v>
      </c>
      <c r="E964" s="2" t="s">
        <v>14</v>
      </c>
      <c r="F964" s="2" t="s">
        <v>15</v>
      </c>
      <c r="G964" s="2" t="s">
        <v>2713</v>
      </c>
      <c r="H964" s="2" t="s">
        <v>210</v>
      </c>
      <c r="I964" s="2" t="str">
        <f>IFERROR(__xludf.DUMMYFUNCTION("GOOGLETRANSLATE(C964,""fr"",""en"")"),"You should not have even non -responsible claims with bodily injury because at the local level no answer it is a letter box, and at the headquarters no information on the phone even less by email.")</f>
        <v>You should not have even non -responsible claims with bodily injury because at the local level no answer it is a letter box, and at the headquarters no information on the phone even less by email.</v>
      </c>
    </row>
    <row r="965" ht="15.75" customHeight="1">
      <c r="B965" s="2" t="s">
        <v>2714</v>
      </c>
      <c r="C965" s="2" t="s">
        <v>2715</v>
      </c>
      <c r="D965" s="2" t="s">
        <v>2494</v>
      </c>
      <c r="E965" s="2" t="s">
        <v>14</v>
      </c>
      <c r="F965" s="2" t="s">
        <v>15</v>
      </c>
      <c r="G965" s="2" t="s">
        <v>2716</v>
      </c>
      <c r="H965" s="2" t="s">
        <v>217</v>
      </c>
      <c r="I965" s="2" t="str">
        <f>IFERROR(__xludf.DUMMYFUNCTION("GOOGLETRANSLATE(C965,""fr"",""en"")"),"Only the price is attractive, for the rest you will return. You wait 1/2 hour on the phone that we will answer you. So I ended up with a problem that could have had serious consequences; I had a vehicle insured at home, then I gave this vehicle to my son,"&amp;" when my son changed vehicles he put the new on his name and there it is the start of trouble. I receive a registered letter telling me that since there was a change of owner on the registration card my contract would end in 8 days. Dificious to turn arou"&amp;"nd in such time. I made a request to the prefecture to add my name as a co-holder but the formalities can last 1 month, I provide Allianz with the documents of my request to the prefecture but the company does not answer me. 8 days later I receive another"&amp;" recommended informing me that the date mentioned in the first recommended meant the termination of my contract. I call Allianz by telling them that if the terms '' termination for aggravation of risks '' were maintained I will have difficulty securing my"&amp;"self quickly, Allianz did not want to know anything. Fortunately Axa has a portfolio 12 others of my contracts and I was able to add this one without too much problem, but I put myself in the situation of a person who would not have these means, how does "&amp;"she do to Find an insurer with this pattern. I add that in 2 years I had no claim, nor withdrawal or cancellation of permit. I called Allianz to tell them that I will never take a contract with them and I will never resume more.")</f>
        <v>Only the price is attractive, for the rest you will return. You wait 1/2 hour on the phone that we will answer you. So I ended up with a problem that could have had serious consequences; I had a vehicle insured at home, then I gave this vehicle to my son, when my son changed vehicles he put the new on his name and there it is the start of trouble. I receive a registered letter telling me that since there was a change of owner on the registration card my contract would end in 8 days. Dificious to turn around in such time. I made a request to the prefecture to add my name as a co-holder but the formalities can last 1 month, I provide Allianz with the documents of my request to the prefecture but the company does not answer me. 8 days later I receive another recommended informing me that the date mentioned in the first recommended meant the termination of my contract. I call Allianz by telling them that if the terms '' termination for aggravation of risks '' were maintained I will have difficulty securing myself quickly, Allianz did not want to know anything. Fortunately Axa has a portfolio 12 others of my contracts and I was able to add this one without too much problem, but I put myself in the situation of a person who would not have these means, how does she do to Find an insurer with this pattern. I add that in 2 years I had no claim, nor withdrawal or cancellation of permit. I called Allianz to tell them that I will never take a contract with them and I will never resume more.</v>
      </c>
    </row>
    <row r="966" ht="15.75" customHeight="1">
      <c r="B966" s="2" t="s">
        <v>2717</v>
      </c>
      <c r="C966" s="2" t="s">
        <v>2718</v>
      </c>
      <c r="D966" s="2" t="s">
        <v>2494</v>
      </c>
      <c r="E966" s="2" t="s">
        <v>14</v>
      </c>
      <c r="F966" s="2" t="s">
        <v>15</v>
      </c>
      <c r="G966" s="2" t="s">
        <v>2235</v>
      </c>
      <c r="H966" s="2" t="s">
        <v>224</v>
      </c>
      <c r="I966" s="2" t="str">
        <f>IFERROR(__xludf.DUMMYFUNCTION("GOOGLETRANSLATE(C966,""fr"",""en"")"),"Coming for an interesting price for an initial talisman, with 50% bonuses and no claim during the insurance period. Change of vehicle (another Renault Talisman) with new EURO6DTEMP ""unknown"" engine from Eallianz who assures me that this will be settled "&amp;"in the month of pre-assurance "", and warns me on April 29 that my contract opened on the 5th was rejected. .")</f>
        <v>Coming for an interesting price for an initial talisman, with 50% bonuses and no claim during the insurance period. Change of vehicle (another Renault Talisman) with new EURO6DTEMP "unknown" engine from Eallianz who assures me that this will be settled in the month of pre-assurance ", and warns me on April 29 that my contract opened on the 5th was rejected. .</v>
      </c>
    </row>
    <row r="967" ht="15.75" customHeight="1">
      <c r="B967" s="2" t="s">
        <v>2719</v>
      </c>
      <c r="C967" s="2" t="s">
        <v>2720</v>
      </c>
      <c r="D967" s="2" t="s">
        <v>2494</v>
      </c>
      <c r="E967" s="2" t="s">
        <v>14</v>
      </c>
      <c r="F967" s="2" t="s">
        <v>15</v>
      </c>
      <c r="G967" s="2" t="s">
        <v>2721</v>
      </c>
      <c r="H967" s="2" t="s">
        <v>228</v>
      </c>
      <c r="I967" s="2" t="str">
        <f>IFERROR(__xludf.DUMMYFUNCTION("GOOGLETRANSLATE(C967,""fr"",""en"")"),"And yes not better than the others not ways to have the green card stimulates by email no answers and the top of the top impossible to reach them on the phone it hangs up each time after 15 minutes. When you send the attached rooms they don't even take th"&amp;"e time to open them
Very bad times and zero service")</f>
        <v>And yes not better than the others not ways to have the green card stimulates by email no answers and the top of the top impossible to reach them on the phone it hangs up each time after 15 minutes. When you send the attached rooms they don't even take the time to open them
Very bad times and zero service</v>
      </c>
    </row>
    <row r="968" ht="15.75" customHeight="1">
      <c r="B968" s="2" t="s">
        <v>2722</v>
      </c>
      <c r="C968" s="2" t="s">
        <v>2723</v>
      </c>
      <c r="D968" s="2" t="s">
        <v>2494</v>
      </c>
      <c r="E968" s="2" t="s">
        <v>14</v>
      </c>
      <c r="F968" s="2" t="s">
        <v>15</v>
      </c>
      <c r="G968" s="2" t="s">
        <v>2246</v>
      </c>
      <c r="H968" s="2" t="s">
        <v>238</v>
      </c>
      <c r="I968" s="2" t="str">
        <f>IFERROR(__xludf.DUMMYFUNCTION("GOOGLETRANSLATE(C968,""fr"",""en"")"),"Very disappointed, a lot of blah ...")</f>
        <v>Very disappointed, a lot of blah ...</v>
      </c>
    </row>
    <row r="969" ht="15.75" customHeight="1">
      <c r="B969" s="2" t="s">
        <v>2724</v>
      </c>
      <c r="C969" s="2" t="s">
        <v>2725</v>
      </c>
      <c r="D969" s="2" t="s">
        <v>2494</v>
      </c>
      <c r="E969" s="2" t="s">
        <v>14</v>
      </c>
      <c r="F969" s="2" t="s">
        <v>15</v>
      </c>
      <c r="G969" s="2" t="s">
        <v>2726</v>
      </c>
      <c r="H969" s="2" t="s">
        <v>513</v>
      </c>
      <c r="I969" s="2" t="str">
        <f>IFERROR(__xludf.DUMMYFUNCTION("GOOGLETRANSLATE(C969,""fr"",""en"")"),"CABINET EXPERTISE CREATIV litigation agreed by Allianz")</f>
        <v>CABINET EXPERTISE CREATIV litigation agreed by Allianz</v>
      </c>
    </row>
    <row r="970" ht="15.75" customHeight="1">
      <c r="B970" s="2" t="s">
        <v>2727</v>
      </c>
      <c r="C970" s="2" t="s">
        <v>2728</v>
      </c>
      <c r="D970" s="2" t="s">
        <v>2494</v>
      </c>
      <c r="E970" s="2" t="s">
        <v>14</v>
      </c>
      <c r="F970" s="2" t="s">
        <v>15</v>
      </c>
      <c r="G970" s="2" t="s">
        <v>2729</v>
      </c>
      <c r="H970" s="2" t="s">
        <v>513</v>
      </c>
      <c r="I970" s="2" t="str">
        <f>IFERROR(__xludf.DUMMYFUNCTION("GOOGLETRANSLATE(C970,""fr"",""en"")"),"To avoid absolutely !!! Very poorly advised, exorbitant price !!! Allianz is not attentive to its customers we were a loyal customer for at least more than 15 years and after having an accident, we know how to report the reality of this insurance. Ashamed"&amp;" !!! changed quickly !!!")</f>
        <v>To avoid absolutely !!! Very poorly advised, exorbitant price !!! Allianz is not attentive to its customers we were a loyal customer for at least more than 15 years and after having an accident, we know how to report the reality of this insurance. Ashamed !!! changed quickly !!!</v>
      </c>
    </row>
    <row r="971" ht="15.75" customHeight="1">
      <c r="B971" s="2" t="s">
        <v>2730</v>
      </c>
      <c r="C971" s="2" t="s">
        <v>2731</v>
      </c>
      <c r="D971" s="2" t="s">
        <v>2494</v>
      </c>
      <c r="E971" s="2" t="s">
        <v>14</v>
      </c>
      <c r="F971" s="2" t="s">
        <v>15</v>
      </c>
      <c r="G971" s="2" t="s">
        <v>2263</v>
      </c>
      <c r="H971" s="2" t="s">
        <v>517</v>
      </c>
      <c r="I971" s="2" t="str">
        <f>IFERROR(__xludf.DUMMYFUNCTION("GOOGLETRANSLATE(C971,""fr"",""en"")"),"Insurer who terminates my contract for a disaster without third party identified + a break of ice in the same year despite my 36%bonus. I recommend fleeing this insurance.")</f>
        <v>Insurer who terminates my contract for a disaster without third party identified + a break of ice in the same year despite my 36%bonus. I recommend fleeing this insurance.</v>
      </c>
    </row>
    <row r="972" ht="15.75" customHeight="1">
      <c r="B972" s="2" t="s">
        <v>2732</v>
      </c>
      <c r="C972" s="2" t="s">
        <v>2733</v>
      </c>
      <c r="D972" s="2" t="s">
        <v>2494</v>
      </c>
      <c r="E972" s="2" t="s">
        <v>14</v>
      </c>
      <c r="F972" s="2" t="s">
        <v>15</v>
      </c>
      <c r="G972" s="2" t="s">
        <v>516</v>
      </c>
      <c r="H972" s="2" t="s">
        <v>517</v>
      </c>
      <c r="I972" s="2" t="str">
        <f>IFERROR(__xludf.DUMMYFUNCTION("GOOGLETRANSLATE(C972,""fr"",""en"")"),"Following accident no in wrong, I sent the amicable observation to the address written on the green card, and that is a month !!! I am told that it should not be sent to Paris! It is unacceptable !! I strongly advise against this company")</f>
        <v>Following accident no in wrong, I sent the amicable observation to the address written on the green card, and that is a month !!! I am told that it should not be sent to Paris! It is unacceptable !! I strongly advise against this company</v>
      </c>
    </row>
    <row r="973" ht="15.75" customHeight="1">
      <c r="B973" s="2" t="s">
        <v>2734</v>
      </c>
      <c r="C973" s="2" t="s">
        <v>2735</v>
      </c>
      <c r="D973" s="2" t="s">
        <v>2494</v>
      </c>
      <c r="E973" s="2" t="s">
        <v>14</v>
      </c>
      <c r="F973" s="2" t="s">
        <v>15</v>
      </c>
      <c r="G973" s="2" t="s">
        <v>2736</v>
      </c>
      <c r="H973" s="2" t="s">
        <v>517</v>
      </c>
      <c r="I973" s="2" t="str">
        <f>IFERROR(__xludf.DUMMYFUNCTION("GOOGLETRANSLATE(C973,""fr"",""en"")"),"The new connected driving system is zero.
Only takes into account even very low accelerations. I take to work a winding road. With the old version I clearly saw my driving mode influencing the note and the numerous turns made it clear. I always take the "&amp;"same route and whatever the position of my phone is always the acceleration which is poorly rated with a cup note 90 in turn. In addition, the penalty linked to the number of km is very penalizing (a reduction of 18 percent last year I went to 4 this year"&amp;"). Very frankly I seriously think of going to competition which offers 10% in addition to the Max bonus.
The system is restrictive: you have to think about starting it, stop it. If you stop more than 5 minutes it cuts itself on your own. A real reverse s"&amp;"tep compared to the old version. The other should undoubtedly allow too good discount.
By the way when I'm talking about acceleration, I'm not talking about putting my feet on the floor, far from that. Even without accelerating he finds it too much. In a"&amp;"ddition, emergency braking does not disturb more than that. I do not think of serious tests were done on this new application.")</f>
        <v>The new connected driving system is zero.
Only takes into account even very low accelerations. I take to work a winding road. With the old version I clearly saw my driving mode influencing the note and the numerous turns made it clear. I always take the same route and whatever the position of my phone is always the acceleration which is poorly rated with a cup note 90 in turn. In addition, the penalty linked to the number of km is very penalizing (a reduction of 18 percent last year I went to 4 this year). Very frankly I seriously think of going to competition which offers 10% in addition to the Max bonus.
The system is restrictive: you have to think about starting it, stop it. If you stop more than 5 minutes it cuts itself on your own. A real reverse step compared to the old version. The other should undoubtedly allow too good discount.
By the way when I'm talking about acceleration, I'm not talking about putting my feet on the floor, far from that. Even without accelerating he finds it too much. In addition, emergency braking does not disturb more than that. I do not think of serious tests were done on this new application.</v>
      </c>
    </row>
    <row r="974" ht="15.75" customHeight="1">
      <c r="B974" s="2" t="s">
        <v>2737</v>
      </c>
      <c r="C974" s="2" t="s">
        <v>2738</v>
      </c>
      <c r="D974" s="2" t="s">
        <v>2494</v>
      </c>
      <c r="E974" s="2" t="s">
        <v>14</v>
      </c>
      <c r="F974" s="2" t="s">
        <v>15</v>
      </c>
      <c r="G974" s="2" t="s">
        <v>2739</v>
      </c>
      <c r="H974" s="2" t="s">
        <v>517</v>
      </c>
      <c r="I974" s="2" t="str">
        <f>IFERROR(__xludf.DUMMYFUNCTION("GOOGLETRANSLATE(C974,""fr"",""en"")"),"The price is competitive in all risks for a new Ford vehicle, be very careful with guarantees in particular franchises !!! They are very important at Allianz, I bought a Renault and Allianz vehicle refused to assure me!")</f>
        <v>The price is competitive in all risks for a new Ford vehicle, be very careful with guarantees in particular franchises !!! They are very important at Allianz, I bought a Renault and Allianz vehicle refused to assure me!</v>
      </c>
    </row>
    <row r="975" ht="15.75" customHeight="1">
      <c r="B975" s="2" t="s">
        <v>2740</v>
      </c>
      <c r="C975" s="2" t="s">
        <v>2741</v>
      </c>
      <c r="D975" s="2" t="s">
        <v>2494</v>
      </c>
      <c r="E975" s="2" t="s">
        <v>14</v>
      </c>
      <c r="F975" s="2" t="s">
        <v>15</v>
      </c>
      <c r="G975" s="2" t="s">
        <v>2742</v>
      </c>
      <c r="H975" s="2" t="s">
        <v>245</v>
      </c>
      <c r="I975" s="2" t="str">
        <f>IFERROR(__xludf.DUMMYFUNCTION("GOOGLETRANSLATE(C975,""fr"",""en"")"),"Insured for 5 years in any risk and never had a claim, I laugh when I see the ad, we take care of everything from A to Z !!! What Blabla: If has a breakdown on a highway I had to pay 30 euros to redeployment for the transfer to a mechanic (20 km) to allow"&amp;" me to have it repaired.")</f>
        <v>Insured for 5 years in any risk and never had a claim, I laugh when I see the ad, we take care of everything from A to Z !!! What Blabla: If has a breakdown on a highway I had to pay 30 euros to redeployment for the transfer to a mechanic (20 km) to allow me to have it repaired.</v>
      </c>
    </row>
    <row r="976" ht="15.75" customHeight="1">
      <c r="B976" s="2" t="s">
        <v>2743</v>
      </c>
      <c r="C976" s="2" t="s">
        <v>2744</v>
      </c>
      <c r="D976" s="2" t="s">
        <v>2494</v>
      </c>
      <c r="E976" s="2" t="s">
        <v>14</v>
      </c>
      <c r="F976" s="2" t="s">
        <v>15</v>
      </c>
      <c r="G976" s="2" t="s">
        <v>2745</v>
      </c>
      <c r="H976" s="2" t="s">
        <v>245</v>
      </c>
      <c r="I976" s="2" t="str">
        <f>IFERROR(__xludf.DUMMYFUNCTION("GOOGLETRANSLATE(C976,""fr"",""en"")"),"On December 17, I asked for a discount on the amount of my auto insurance premium, which has remained unanswered to date because the competition offers prices of around 60 euros annual. What can allianz offer me ????")</f>
        <v>On December 17, I asked for a discount on the amount of my auto insurance premium, which has remained unanswered to date because the competition offers prices of around 60 euros annual. What can allianz offer me ????</v>
      </c>
    </row>
    <row r="977" ht="15.75" customHeight="1">
      <c r="B977" s="2" t="s">
        <v>2746</v>
      </c>
      <c r="C977" s="2" t="s">
        <v>2747</v>
      </c>
      <c r="D977" s="2" t="s">
        <v>2494</v>
      </c>
      <c r="E977" s="2" t="s">
        <v>14</v>
      </c>
      <c r="F977" s="2" t="s">
        <v>15</v>
      </c>
      <c r="G977" s="2" t="s">
        <v>2748</v>
      </c>
      <c r="H977" s="2" t="s">
        <v>245</v>
      </c>
      <c r="I977" s="2" t="str">
        <f>IFERROR(__xludf.DUMMYFUNCTION("GOOGLETRANSLATE(C977,""fr"",""en"")"),"Following an accident with a wild beast and having had the same thing a few years ago with another cheaper insurance so so -called less good I realize that it is the worst insurance especially at the speed level and for Experts even worse meeting you push"&amp;" you by almost a week he melts as soon as possible he tells me I have to rent a car not serious and paid so zero zero and still zero just good to sell strawberries on the market")</f>
        <v>Following an accident with a wild beast and having had the same thing a few years ago with another cheaper insurance so so -called less good I realize that it is the worst insurance especially at the speed level and for Experts even worse meeting you push you by almost a week he melts as soon as possible he tells me I have to rent a car not serious and paid so zero zero and still zero just good to sell strawberries on the market</v>
      </c>
    </row>
    <row r="978" ht="15.75" customHeight="1">
      <c r="B978" s="2" t="s">
        <v>2749</v>
      </c>
      <c r="C978" s="2" t="s">
        <v>2750</v>
      </c>
      <c r="D978" s="2" t="s">
        <v>2494</v>
      </c>
      <c r="E978" s="2" t="s">
        <v>14</v>
      </c>
      <c r="F978" s="2" t="s">
        <v>15</v>
      </c>
      <c r="G978" s="2" t="s">
        <v>2751</v>
      </c>
      <c r="H978" s="2" t="s">
        <v>524</v>
      </c>
      <c r="I978" s="2" t="str">
        <f>IFERROR(__xludf.DUMMYFUNCTION("GOOGLETRANSLATE(C978,""fr"",""en"")"),"It was after a disaster that I saw their incompetence. Non -responsible accident and the customer service who insisted too much to say that I have 600 euro of frankness and malus when I needed advice.
In addition, everything you say is retained against y"&amp;"ou and score in the file without your opinion.
In short everything so as not to compensate you.")</f>
        <v>It was after a disaster that I saw their incompetence. Non -responsible accident and the customer service who insisted too much to say that I have 600 euro of frankness and malus when I needed advice.
In addition, everything you say is retained against you and score in the file without your opinion.
In short everything so as not to compensate you.</v>
      </c>
    </row>
    <row r="979" ht="15.75" customHeight="1">
      <c r="B979" s="2" t="s">
        <v>2752</v>
      </c>
      <c r="C979" s="2" t="s">
        <v>2753</v>
      </c>
      <c r="D979" s="2" t="s">
        <v>2494</v>
      </c>
      <c r="E979" s="2" t="s">
        <v>14</v>
      </c>
      <c r="F979" s="2" t="s">
        <v>15</v>
      </c>
      <c r="G979" s="2" t="s">
        <v>1437</v>
      </c>
      <c r="H979" s="2" t="s">
        <v>249</v>
      </c>
      <c r="I979" s="2" t="str">
        <f>IFERROR(__xludf.DUMMYFUNCTION("GOOGLETRANSLATE(C979,""fr"",""en"")"),"Incompetent, I declare a car flight that is my work tools, and I am made to go for the right to left each time I call I am inquired that there is a computer problem. I have the impression that I am taken for a pigeon clearly. I am really disappointed, I a"&amp;"m suddenly without work since we do not find my car and I am told each time that it is missing a document or that they did not receive it and when these were well Sent I have the proof on my mailbox. In short insurance to flee, I do not recommend very dis"&amp;"appointed")</f>
        <v>Incompetent, I declare a car flight that is my work tools, and I am made to go for the right to left each time I call I am inquired that there is a computer problem. I have the impression that I am taken for a pigeon clearly. I am really disappointed, I am suddenly without work since we do not find my car and I am told each time that it is missing a document or that they did not receive it and when these were well Sent I have the proof on my mailbox. In short insurance to flee, I do not recommend very disappointed</v>
      </c>
    </row>
    <row r="980" ht="15.75" customHeight="1">
      <c r="B980" s="2" t="s">
        <v>2754</v>
      </c>
      <c r="C980" s="2" t="s">
        <v>2755</v>
      </c>
      <c r="D980" s="2" t="s">
        <v>2494</v>
      </c>
      <c r="E980" s="2" t="s">
        <v>14</v>
      </c>
      <c r="F980" s="2" t="s">
        <v>15</v>
      </c>
      <c r="G980" s="2" t="s">
        <v>2756</v>
      </c>
      <c r="H980" s="2" t="s">
        <v>258</v>
      </c>
      <c r="I980" s="2" t="str">
        <f>IFERROR(__xludf.DUMMYFUNCTION("GOOGLETRANSLATE(C980,""fr"",""en"")"),"Insurance to flee absolutely, suite non -responsible claims with the offense of escape, the advisor told me that it was better that I do the repairs by myself instead of using the franchise and that we would therefore cancel the claim, a My reminder, I am"&amp;" told that it is not possible, that the advisor was wrong, as a result repairs for my apple, incompetences of the service, we are only good.")</f>
        <v>Insurance to flee absolutely, suite non -responsible claims with the offense of escape, the advisor told me that it was better that I do the repairs by myself instead of using the franchise and that we would therefore cancel the claim, a My reminder, I am told that it is not possible, that the advisor was wrong, as a result repairs for my apple, incompetences of the service, we are only good.</v>
      </c>
    </row>
    <row r="981" ht="15.75" customHeight="1">
      <c r="B981" s="2" t="s">
        <v>2757</v>
      </c>
      <c r="C981" s="2" t="s">
        <v>2758</v>
      </c>
      <c r="D981" s="2" t="s">
        <v>2494</v>
      </c>
      <c r="E981" s="2" t="s">
        <v>14</v>
      </c>
      <c r="F981" s="2" t="s">
        <v>15</v>
      </c>
      <c r="G981" s="2" t="s">
        <v>2756</v>
      </c>
      <c r="H981" s="2" t="s">
        <v>258</v>
      </c>
      <c r="I981" s="2" t="str">
        <f>IFERROR(__xludf.DUMMYFUNCTION("GOOGLETRANSLATE(C981,""fr"",""en"")"),"A total dissatisfaction, incompetent staff, a non -responsible disaster on August 02, poor information, quality of deplorable service, I do not recommend this insurance at all")</f>
        <v>A total dissatisfaction, incompetent staff, a non -responsible disaster on August 02, poor information, quality of deplorable service, I do not recommend this insurance at all</v>
      </c>
    </row>
    <row r="982" ht="15.75" customHeight="1">
      <c r="B982" s="2" t="s">
        <v>2759</v>
      </c>
      <c r="C982" s="2" t="s">
        <v>2760</v>
      </c>
      <c r="D982" s="2" t="s">
        <v>2494</v>
      </c>
      <c r="E982" s="2" t="s">
        <v>14</v>
      </c>
      <c r="F982" s="2" t="s">
        <v>15</v>
      </c>
      <c r="G982" s="2" t="s">
        <v>2292</v>
      </c>
      <c r="H982" s="2" t="s">
        <v>258</v>
      </c>
      <c r="I982" s="2" t="str">
        <f>IFERROR(__xludf.DUMMYFUNCTION("GOOGLETRANSLATE(C982,""fr"",""en"")"),"I am assured of all risks, at Allianz
At the end of July 2018 I found my vehicle damaged in a stamped left left door car park
I made a declaration of claim I moved twice to the photo garage then expert is 60km I receive this day a lrar of the expert con"&amp;"testing my poor car insured all risks with frankness 399 euros
Refusal to reimburse me why be assured all risks if you are not reimbursed when you have a disaster and in addition I will have a penalty
Repair at my expense
The triple pain at Allianz
He"&amp;" asks me to make my Allianz legal protection act
 And yes at Allianz
Given my date of birth I am an old retiree and they try to run in a praise
Shameful and deplorable
")</f>
        <v>I am assured of all risks, at Allianz
At the end of July 2018 I found my vehicle damaged in a stamped left left door car park
I made a declaration of claim I moved twice to the photo garage then expert is 60km I receive this day a lrar of the expert contesting my poor car insured all risks with frankness 399 euros
Refusal to reimburse me why be assured all risks if you are not reimbursed when you have a disaster and in addition I will have a penalty
Repair at my expense
The triple pain at Allianz
He asks me to make my Allianz legal protection act
 And yes at Allianz
Given my date of birth I am an old retiree and they try to run in a praise
Shameful and deplorable
</v>
      </c>
    </row>
    <row r="983" ht="15.75" customHeight="1">
      <c r="B983" s="2" t="s">
        <v>2761</v>
      </c>
      <c r="C983" s="2" t="s">
        <v>2762</v>
      </c>
      <c r="D983" s="2" t="s">
        <v>2494</v>
      </c>
      <c r="E983" s="2" t="s">
        <v>14</v>
      </c>
      <c r="F983" s="2" t="s">
        <v>15</v>
      </c>
      <c r="G983" s="2" t="s">
        <v>538</v>
      </c>
      <c r="H983" s="2" t="s">
        <v>258</v>
      </c>
      <c r="I983" s="2" t="str">
        <f>IFERROR(__xludf.DUMMYFUNCTION("GOOGLETRANSLATE(C983,""fr"",""en"")"),"Never again Allianz, I will never go from their home, my family and my friends with it.
My wife has an accident, stopped in the red light, we are returned inside from the back, a cracked bumper, the gentleman does not want to make an observation and fled"&amp;".
After 1 month, allianz's response: 50% responsibility because we each made a statement on our side. Especially since the gentleman indicated in his version:
- Slope street (absolutely not, but hey the incompetent experts of Allianz do not check anyt"&amp;"hing, we could do anything they do with it)
- Was we retreating? WTF? Who goes back to the red light? And who backs up quickly enough to bang and break the bumper at the red light? But apparently the expert Allianz yes, because he proves him right ....
"&amp;"
Result on the phone with Allianz: sir, you know from the moment when the reporting is made separately, 99% of cases is 50% responsible. Whatever what is declared and who is responsible, well done, well done.
You know what to do now when you have a re"&amp;"sponsible accident, do not make any observation, run away and indicate anything, in any case the person in front will be responsible at 50%.
Mash the incompetent and the lack of logic exasperates me ....
")</f>
        <v>Never again Allianz, I will never go from their home, my family and my friends with it.
My wife has an accident, stopped in the red light, we are returned inside from the back, a cracked bumper, the gentleman does not want to make an observation and fled.
After 1 month, allianz's response: 50% responsibility because we each made a statement on our side. Especially since the gentleman indicated in his version:
- Slope street (absolutely not, but hey the incompetent experts of Allianz do not check anything, we could do anything they do with it)
- Was we retreating? WTF? Who goes back to the red light? And who backs up quickly enough to bang and break the bumper at the red light? But apparently the expert Allianz yes, because he proves him right ....
Result on the phone with Allianz: sir, you know from the moment when the reporting is made separately, 99% of cases is 50% responsible. Whatever what is declared and who is responsible, well done, well done.
You know what to do now when you have a responsible accident, do not make any observation, run away and indicate anything, in any case the person in front will be responsible at 50%.
Mash the incompetent and the lack of logic exasperates me ....
</v>
      </c>
    </row>
    <row r="984" ht="15.75" customHeight="1">
      <c r="B984" s="2" t="s">
        <v>2763</v>
      </c>
      <c r="C984" s="2" t="s">
        <v>2764</v>
      </c>
      <c r="D984" s="2" t="s">
        <v>2494</v>
      </c>
      <c r="E984" s="2" t="s">
        <v>14</v>
      </c>
      <c r="F984" s="2" t="s">
        <v>15</v>
      </c>
      <c r="G984" s="2" t="s">
        <v>538</v>
      </c>
      <c r="H984" s="2" t="s">
        <v>258</v>
      </c>
      <c r="I984" s="2" t="str">
        <f>IFERROR(__xludf.DUMMYFUNCTION("GOOGLETRANSLATE(C984,""fr"",""en"")"),"To flee an overpriced insurer, a non-existent assistance service, we are insulted by the assistance service, but where they will seek these people unable to respond. We hang up on the nose, we call you a liar etc")</f>
        <v>To flee an overpriced insurer, a non-existent assistance service, we are insulted by the assistance service, but where they will seek these people unable to respond. We hang up on the nose, we call you a liar etc</v>
      </c>
    </row>
    <row r="985" ht="15.75" customHeight="1">
      <c r="B985" s="2" t="s">
        <v>2765</v>
      </c>
      <c r="C985" s="2" t="s">
        <v>2766</v>
      </c>
      <c r="D985" s="2" t="s">
        <v>2494</v>
      </c>
      <c r="E985" s="2" t="s">
        <v>14</v>
      </c>
      <c r="F985" s="2" t="s">
        <v>15</v>
      </c>
      <c r="G985" s="2" t="s">
        <v>2767</v>
      </c>
      <c r="H985" s="2" t="s">
        <v>262</v>
      </c>
      <c r="I985" s="2" t="str">
        <f>IFERROR(__xludf.DUMMYFUNCTION("GOOGLETRANSLATE(C985,""fr"",""en"")"),"I bought a semi -autonomous vehicle that I had assured at Allianz. The nightmare quickly started. They assure only after midnight like the vampires, to prove that it was a semi -autonomous vehicle I sent them the brochure by highlighting the existence of "&amp;"the device in yellow, the order form and the bill. It took 2 months to solve the problem. Following a change in bank account, the bank which recovers the accounts failed to renew the authorization. On 17 08 a mail leaves. I pay upon receipt, namely 21 08."&amp;" In the meantime on 20 08 a recommended with a formal notice with obligation to settle 6 months in advance. Worse than that is difficult. Run away !")</f>
        <v>I bought a semi -autonomous vehicle that I had assured at Allianz. The nightmare quickly started. They assure only after midnight like the vampires, to prove that it was a semi -autonomous vehicle I sent them the brochure by highlighting the existence of the device in yellow, the order form and the bill. It took 2 months to solve the problem. Following a change in bank account, the bank which recovers the accounts failed to renew the authorization. On 17 08 a mail leaves. I pay upon receipt, namely 21 08. In the meantime on 20 08 a recommended with a formal notice with obligation to settle 6 months in advance. Worse than that is difficult. Run away !</v>
      </c>
    </row>
    <row r="986" ht="15.75" customHeight="1">
      <c r="B986" s="2" t="s">
        <v>2768</v>
      </c>
      <c r="C986" s="2" t="s">
        <v>2769</v>
      </c>
      <c r="D986" s="2" t="s">
        <v>2494</v>
      </c>
      <c r="E986" s="2" t="s">
        <v>14</v>
      </c>
      <c r="F986" s="2" t="s">
        <v>15</v>
      </c>
      <c r="G986" s="2" t="s">
        <v>2770</v>
      </c>
      <c r="H986" s="2" t="s">
        <v>272</v>
      </c>
      <c r="I986" s="2" t="str">
        <f>IFERROR(__xludf.DUMMYFUNCTION("GOOGLETRANSLATE(C986,""fr"",""en"")"),"I experienced the same thing as most of you, after a claim I am told that I had an accident before when the vehicle was nickel, I even sent the photos before the accident. No more answers since. I advise you everyone not to take this insurance. In additio"&amp;"n they want to make worries in our private life when it is not even justified ... I do not know if it is the competence or the procedure that is poorly done ....")</f>
        <v>I experienced the same thing as most of you, after a claim I am told that I had an accident before when the vehicle was nickel, I even sent the photos before the accident. No more answers since. I advise you everyone not to take this insurance. In addition they want to make worries in our private life when it is not even justified ... I do not know if it is the competence or the procedure that is poorly done ....</v>
      </c>
    </row>
    <row r="987" ht="15.75" customHeight="1">
      <c r="B987" s="2" t="s">
        <v>2771</v>
      </c>
      <c r="C987" s="2" t="s">
        <v>2772</v>
      </c>
      <c r="D987" s="2" t="s">
        <v>2494</v>
      </c>
      <c r="E987" s="2" t="s">
        <v>14</v>
      </c>
      <c r="F987" s="2" t="s">
        <v>15</v>
      </c>
      <c r="G987" s="2" t="s">
        <v>991</v>
      </c>
      <c r="H987" s="2" t="s">
        <v>272</v>
      </c>
      <c r="I987" s="2" t="str">
        <f>IFERROR(__xludf.DUMMYFUNCTION("GOOGLETRANSLATE(C987,""fr"",""en"")"),"Do not take auto insurance at Eallianz, they are unreachable as soon as the contract is taken out, the requests even made several times and several tens of minutes spent on the phone as well as the emails are not taken into account unless that Go in their"&amp;" interest, they also hang up on customers after 20 or 30 minutes of waiting. You will not be able to join either directly this or that service everything is mixed and you will have to go systematically through the standard which will redirect you with mor"&amp;"e or less happiness to the one you want if they do not hang up on the nose as I specified more high. You will obviously never have a person who is awarded to your file, you will need to re-explain everything to each line cut or hook independent of your wi"&amp;"ll. This insurance will make you fart your leads and you will be ready to pay for nothing except to avoid unjustified legal proceedings when the letters will never have reached you, the recommended either, but you will have something else to do with your "&amp;"life than Pay a lawyer to prove your good faith in front of them. Welcome to the hell of these dear insurers who do what they want by being covered by laws which legitimize their exceeding of respect for the citizens forced to compensate for their incompe"&amp;"tence and their greed. Inadmissible.")</f>
        <v>Do not take auto insurance at Eallianz, they are unreachable as soon as the contract is taken out, the requests even made several times and several tens of minutes spent on the phone as well as the emails are not taken into account unless that Go in their interest, they also hang up on customers after 20 or 30 minutes of waiting. You will not be able to join either directly this or that service everything is mixed and you will have to go systematically through the standard which will redirect you with more or less happiness to the one you want if they do not hang up on the nose as I specified more high. You will obviously never have a person who is awarded to your file, you will need to re-explain everything to each line cut or hook independent of your will. This insurance will make you fart your leads and you will be ready to pay for nothing except to avoid unjustified legal proceedings when the letters will never have reached you, the recommended either, but you will have something else to do with your life than Pay a lawyer to prove your good faith in front of them. Welcome to the hell of these dear insurers who do what they want by being covered by laws which legitimize their exceeding of respect for the citizens forced to compensate for their incompetence and their greed. Inadmissible.</v>
      </c>
    </row>
    <row r="988" ht="15.75" customHeight="1">
      <c r="B988" s="2" t="s">
        <v>2773</v>
      </c>
      <c r="C988" s="2" t="s">
        <v>2774</v>
      </c>
      <c r="D988" s="2" t="s">
        <v>2494</v>
      </c>
      <c r="E988" s="2" t="s">
        <v>14</v>
      </c>
      <c r="F988" s="2" t="s">
        <v>15</v>
      </c>
      <c r="G988" s="2" t="s">
        <v>2775</v>
      </c>
      <c r="H988" s="2" t="s">
        <v>272</v>
      </c>
      <c r="I988" s="2" t="str">
        <f>IFERROR(__xludf.DUMMYFUNCTION("GOOGLETRANSLATE(C988,""fr"",""en"")"),"very expensive. When you declare a claim, they will say that it is several claims when there is only one. The goal to make you pay more insurance premium ... If unfortunately you have a disaster, having your car repaired becomes a complete delirium, and a"&amp;"t the end of the race it takes several months and dozens of telephone calls. A service to flee!")</f>
        <v>very expensive. When you declare a claim, they will say that it is several claims when there is only one. The goal to make you pay more insurance premium ... If unfortunately you have a disaster, having your car repaired becomes a complete delirium, and at the end of the race it takes several months and dozens of telephone calls. A service to flee!</v>
      </c>
    </row>
    <row r="989" ht="15.75" customHeight="1">
      <c r="B989" s="2" t="s">
        <v>2776</v>
      </c>
      <c r="C989" s="2" t="s">
        <v>2777</v>
      </c>
      <c r="D989" s="2" t="s">
        <v>2494</v>
      </c>
      <c r="E989" s="2" t="s">
        <v>14</v>
      </c>
      <c r="F989" s="2" t="s">
        <v>15</v>
      </c>
      <c r="G989" s="2" t="s">
        <v>1005</v>
      </c>
      <c r="H989" s="2" t="s">
        <v>276</v>
      </c>
      <c r="I989" s="2" t="str">
        <f>IFERROR(__xludf.DUMMYFUNCTION("GOOGLETRANSLATE(C989,""fr"",""en"")"),"Very bad insurance, and incompetent staff, they tell you we will remind you, without ever following! 3 months of waiting to be adjusted with a self -loss!")</f>
        <v>Very bad insurance, and incompetent staff, they tell you we will remind you, without ever following! 3 months of waiting to be adjusted with a self -loss!</v>
      </c>
    </row>
    <row r="990" ht="15.75" customHeight="1">
      <c r="B990" s="2" t="s">
        <v>2778</v>
      </c>
      <c r="C990" s="2" t="s">
        <v>2779</v>
      </c>
      <c r="D990" s="2" t="s">
        <v>2494</v>
      </c>
      <c r="E990" s="2" t="s">
        <v>14</v>
      </c>
      <c r="F990" s="2" t="s">
        <v>15</v>
      </c>
      <c r="G990" s="2" t="s">
        <v>2780</v>
      </c>
      <c r="H990" s="2" t="s">
        <v>1009</v>
      </c>
      <c r="I990" s="2" t="str">
        <f>IFERROR(__xludf.DUMMYFUNCTION("GOOGLETRANSLATE(C990,""fr"",""en"")"),"After 3 unsuccessful termination on their part vis -à -vis my ex insurer, I asked that the termination be done correctly, they redid me a contract but the termination was not made and when I call them, They offer me a new contract ... We do not apologize "&amp;"for these errors, we do not make a commercial gesture and we hang up on the nose when we get angry ...... it's not serious")</f>
        <v>After 3 unsuccessful termination on their part vis -à -vis my ex insurer, I asked that the termination be done correctly, they redid me a contract but the termination was not made and when I call them, They offer me a new contract ... We do not apologize for these errors, we do not make a commercial gesture and we hang up on the nose when we get angry ...... it's not serious</v>
      </c>
    </row>
    <row r="991" ht="15.75" customHeight="1">
      <c r="B991" s="2" t="s">
        <v>2781</v>
      </c>
      <c r="C991" s="2" t="s">
        <v>2782</v>
      </c>
      <c r="D991" s="2" t="s">
        <v>2494</v>
      </c>
      <c r="E991" s="2" t="s">
        <v>14</v>
      </c>
      <c r="F991" s="2" t="s">
        <v>15</v>
      </c>
      <c r="G991" s="2" t="s">
        <v>2780</v>
      </c>
      <c r="H991" s="2" t="s">
        <v>1009</v>
      </c>
      <c r="I991" s="2" t="str">
        <f>IFERROR(__xludf.DUMMYFUNCTION("GOOGLETRANSLATE(C991,""fr"",""en"")"),"Insured for over 20 years at Allianz for our vehicles, our house and for less long our company, I can only recommend this insurance! With moderation, however, I have an extraordinary agent, and I think that is the key to a good insurer: an agency, people "&amp;"who know you and who are available to find solutions with you!")</f>
        <v>Insured for over 20 years at Allianz for our vehicles, our house and for less long our company, I can only recommend this insurance! With moderation, however, I have an extraordinary agent, and I think that is the key to a good insurer: an agency, people who know you and who are available to find solutions with you!</v>
      </c>
    </row>
    <row r="992" ht="15.75" customHeight="1">
      <c r="B992" s="2" t="s">
        <v>2783</v>
      </c>
      <c r="C992" s="2" t="s">
        <v>2784</v>
      </c>
      <c r="D992" s="2" t="s">
        <v>2494</v>
      </c>
      <c r="E992" s="2" t="s">
        <v>14</v>
      </c>
      <c r="F992" s="2" t="s">
        <v>15</v>
      </c>
      <c r="G992" s="2" t="s">
        <v>2785</v>
      </c>
      <c r="H992" s="2" t="s">
        <v>1009</v>
      </c>
      <c r="I992" s="2" t="str">
        <f>IFERROR(__xludf.DUMMYFUNCTION("GOOGLETRANSLATE(C992,""fr"",""en"")"),"During a recent liable loss (the 1st in 20 years, unfortunately in the first year with Allianz, the insurer refused to reimburse part of the work pretending that some parties concerned non -covered accessories! The worst was to have On the phone, a person"&amp;" in the claims management service telling me that indeed I had to be completely compensated, no one I was impossible for me to reach then, veto being visibly put on the file where no discussion was possible! is therefore a very bad service and an unpleasa"&amp;"nt game on the guarantees. Only the broker made a small gesture. Finally, without any prior information, the premium was increased by 11% for the following year. I am looking for Another insurer, even if the price remains interesting. I would not recommen"&amp;"d Allianz following this experience.")</f>
        <v>During a recent liable loss (the 1st in 20 years, unfortunately in the first year with Allianz, the insurer refused to reimburse part of the work pretending that some parties concerned non -covered accessories! The worst was to have On the phone, a person in the claims management service telling me that indeed I had to be completely compensated, no one I was impossible for me to reach then, veto being visibly put on the file where no discussion was possible! is therefore a very bad service and an unpleasant game on the guarantees. Only the broker made a small gesture. Finally, without any prior information, the premium was increased by 11% for the following year. I am looking for Another insurer, even if the price remains interesting. I would not recommend Allianz following this experience.</v>
      </c>
    </row>
    <row r="993" ht="15.75" customHeight="1">
      <c r="B993" s="2" t="s">
        <v>2786</v>
      </c>
      <c r="C993" s="2" t="s">
        <v>2787</v>
      </c>
      <c r="D993" s="2" t="s">
        <v>2494</v>
      </c>
      <c r="E993" s="2" t="s">
        <v>14</v>
      </c>
      <c r="F993" s="2" t="s">
        <v>15</v>
      </c>
      <c r="G993" s="2" t="s">
        <v>2788</v>
      </c>
      <c r="H993" s="2" t="s">
        <v>565</v>
      </c>
      <c r="I993" s="2" t="str">
        <f>IFERROR(__xludf.DUMMYFUNCTION("GOOGLETRANSLATE(C993,""fr"",""en"")"),"With Allianz, you will know if you are insured the day you have an accident.
I thought I was insured any risk, but they refuse to take into account my accident. After 6 months to walk on the phone, I have to pay the repairs myself. The height: in the inf"&amp;"ormation statement, they mentioned my accident, so it will cost me more when I change insurance next month ... Insurance to avoid at all costs, if you want to live quiet!")</f>
        <v>With Allianz, you will know if you are insured the day you have an accident.
I thought I was insured any risk, but they refuse to take into account my accident. After 6 months to walk on the phone, I have to pay the repairs myself. The height: in the information statement, they mentioned my accident, so it will cost me more when I change insurance next month ... Insurance to avoid at all costs, if you want to live quiet!</v>
      </c>
    </row>
    <row r="994" ht="15.75" customHeight="1">
      <c r="B994" s="2" t="s">
        <v>2789</v>
      </c>
      <c r="C994" s="2" t="s">
        <v>2790</v>
      </c>
      <c r="D994" s="2" t="s">
        <v>2494</v>
      </c>
      <c r="E994" s="2" t="s">
        <v>14</v>
      </c>
      <c r="F994" s="2" t="s">
        <v>15</v>
      </c>
      <c r="G994" s="2" t="s">
        <v>2791</v>
      </c>
      <c r="H994" s="2" t="s">
        <v>577</v>
      </c>
      <c r="I994" s="2" t="str">
        <f>IFERROR(__xludf.DUMMYFUNCTION("GOOGLETRANSLATE(C994,""fr"",""en"")"),"Really incompetent advisor.
To have a simple document you have to wait 15 days on the other hand to make a new contract in 5min is to settle. Result I stopped my 2 auto insurance, my home insurance and my life insurance. And I found much better elsewhere"&amp;".")</f>
        <v>Really incompetent advisor.
To have a simple document you have to wait 15 days on the other hand to make a new contract in 5min is to settle. Result I stopped my 2 auto insurance, my home insurance and my life insurance. And I found much better elsewhere.</v>
      </c>
    </row>
    <row r="995" ht="15.75" customHeight="1">
      <c r="B995" s="2" t="s">
        <v>2792</v>
      </c>
      <c r="C995" s="2" t="s">
        <v>2793</v>
      </c>
      <c r="D995" s="2" t="s">
        <v>2494</v>
      </c>
      <c r="E995" s="2" t="s">
        <v>14</v>
      </c>
      <c r="F995" s="2" t="s">
        <v>15</v>
      </c>
      <c r="G995" s="2" t="s">
        <v>2794</v>
      </c>
      <c r="H995" s="2" t="s">
        <v>577</v>
      </c>
      <c r="I995" s="2" t="str">
        <f>IFERROR(__xludf.DUMMYFUNCTION("GOOGLETRANSLATE(C995,""fr"",""en"")"),"A real disaster, to flee ...")</f>
        <v>A real disaster, to flee ...</v>
      </c>
    </row>
    <row r="996" ht="15.75" customHeight="1">
      <c r="B996" s="2" t="s">
        <v>2795</v>
      </c>
      <c r="C996" s="2" t="s">
        <v>2796</v>
      </c>
      <c r="D996" s="2" t="s">
        <v>2494</v>
      </c>
      <c r="E996" s="2" t="s">
        <v>14</v>
      </c>
      <c r="F996" s="2" t="s">
        <v>15</v>
      </c>
      <c r="G996" s="2" t="s">
        <v>2797</v>
      </c>
      <c r="H996" s="2" t="s">
        <v>577</v>
      </c>
      <c r="I996" s="2" t="str">
        <f>IFERROR(__xludf.DUMMYFUNCTION("GOOGLETRANSLATE(C996,""fr"",""en"")"),"This Cie (E Allianz) should be struck off from the ability to exercise. I have never seen that in 40 years of insurance. . An incapacity on all floors. Arbitrary direct debits, absent communication, unanswered emails, recommended letters without foundatio"&amp;"n. It is mind -blowing. As for my claim, it will end in court.")</f>
        <v>This Cie (E Allianz) should be struck off from the ability to exercise. I have never seen that in 40 years of insurance. . An incapacity on all floors. Arbitrary direct debits, absent communication, unanswered emails, recommended letters without foundation. It is mind -blowing. As for my claim, it will end in court.</v>
      </c>
    </row>
    <row r="997" ht="15.75" customHeight="1">
      <c r="B997" s="2" t="s">
        <v>2798</v>
      </c>
      <c r="C997" s="2" t="s">
        <v>2799</v>
      </c>
      <c r="D997" s="2" t="s">
        <v>2494</v>
      </c>
      <c r="E997" s="2" t="s">
        <v>14</v>
      </c>
      <c r="F997" s="2" t="s">
        <v>15</v>
      </c>
      <c r="G997" s="2" t="s">
        <v>2800</v>
      </c>
      <c r="H997" s="2" t="s">
        <v>577</v>
      </c>
      <c r="I997" s="2" t="str">
        <f>IFERROR(__xludf.DUMMYFUNCTION("GOOGLETRANSLATE(C997,""fr"",""en"")"),"Top zero, lamentable customer service. Agency that misuses its clienst and I pass it. Director of the agency does not answer. Without secretary hangs up on the nose. I want to have chosen this brand. Complaint service does nothing but nothing tt.
He took"&amp;" me my money without ever repaying I have been waiting for 1 and a half months. I will lose my health with these people. They do not want to repay the customer and they do those who have not understood. It's a shame.")</f>
        <v>Top zero, lamentable customer service. Agency that misuses its clienst and I pass it. Director of the agency does not answer. Without secretary hangs up on the nose. I want to have chosen this brand. Complaint service does nothing but nothing tt.
He took me my money without ever repaying I have been waiting for 1 and a half months. I will lose my health with these people. They do not want to repay the customer and they do those who have not understood. It's a shame.</v>
      </c>
    </row>
    <row r="998" ht="15.75" customHeight="1">
      <c r="B998" s="2" t="s">
        <v>2801</v>
      </c>
      <c r="C998" s="2" t="s">
        <v>2802</v>
      </c>
      <c r="D998" s="2" t="s">
        <v>2494</v>
      </c>
      <c r="E998" s="2" t="s">
        <v>14</v>
      </c>
      <c r="F998" s="2" t="s">
        <v>15</v>
      </c>
      <c r="G998" s="2" t="s">
        <v>2803</v>
      </c>
      <c r="H998" s="2" t="s">
        <v>286</v>
      </c>
      <c r="I998" s="2" t="str">
        <f>IFERROR(__xludf.DUMMYFUNCTION("GOOGLETRANSLATE(C998,""fr"",""en"")"),"They lost some of my documents sent together last December. I also paid a year for my entire car. The only document they have not lost was my gray card
I have returned my driving license also the original mandate twice.
They then sent me 2 separate gree"&amp;"n cards, etc.
Then requested the mandate for a third time. I still don't know what's going on 10/22/2018")</f>
        <v>They lost some of my documents sent together last December. I also paid a year for my entire car. The only document they have not lost was my gray card
I have returned my driving license also the original mandate twice.
They then sent me 2 separate green cards, etc.
Then requested the mandate for a third time. I still don't know what's going on 10/22/2018</v>
      </c>
    </row>
    <row r="999" ht="15.75" customHeight="1">
      <c r="B999" s="2" t="s">
        <v>2804</v>
      </c>
      <c r="C999" s="2" t="s">
        <v>2805</v>
      </c>
      <c r="D999" s="2" t="s">
        <v>2494</v>
      </c>
      <c r="E999" s="2" t="s">
        <v>14</v>
      </c>
      <c r="F999" s="2" t="s">
        <v>15</v>
      </c>
      <c r="G999" s="2" t="s">
        <v>2806</v>
      </c>
      <c r="H999" s="2" t="s">
        <v>587</v>
      </c>
      <c r="I999" s="2" t="str">
        <f>IFERROR(__xludf.DUMMYFUNCTION("GOOGLETRANSLATE(C999,""fr"",""en"")"),"More than two and a half years of insurance at Allianz.
Guarantees that jump without reason, (franchise at 0 on the Allianz ice cream which disappeared after a repair), followed by non -responsible claims with deplorable identified third party, impossibi"&amp;"lity of having to contact managers after hours of expectations.
Avoid at all costs")</f>
        <v>More than two and a half years of insurance at Allianz.
Guarantees that jump without reason, (franchise at 0 on the Allianz ice cream which disappeared after a repair), followed by non -responsible claims with deplorable identified third party, impossibility of having to contact managers after hours of expectations.
Avoid at all costs</v>
      </c>
    </row>
    <row r="1000" ht="15.75" customHeight="1">
      <c r="B1000" s="2" t="s">
        <v>2807</v>
      </c>
      <c r="C1000" s="2" t="s">
        <v>2808</v>
      </c>
      <c r="D1000" s="2" t="s">
        <v>2494</v>
      </c>
      <c r="E1000" s="2" t="s">
        <v>14</v>
      </c>
      <c r="F1000" s="2" t="s">
        <v>15</v>
      </c>
      <c r="G1000" s="2" t="s">
        <v>2809</v>
      </c>
      <c r="H1000" s="2" t="s">
        <v>587</v>
      </c>
      <c r="I1000" s="2" t="str">
        <f>IFERROR(__xludf.DUMMYFUNCTION("GOOGLETRANSLATE(C1000,""fr"",""en"")"),"Customer/Commercial Service Level 0
When it comes to making a quote, the salespeople remind you in the second that follows to make you proposals worthy of a dream, once the money is taken, begins the galley.
")</f>
        <v>Customer/Commercial Service Level 0
When it comes to making a quote, the salespeople remind you in the second that follows to make you proposals worthy of a dream, once the money is taken, begins the galley.
</v>
      </c>
    </row>
    <row r="1001" ht="15.75" customHeight="1">
      <c r="B1001" s="2" t="s">
        <v>2810</v>
      </c>
      <c r="C1001" s="2" t="s">
        <v>2811</v>
      </c>
      <c r="D1001" s="2" t="s">
        <v>2494</v>
      </c>
      <c r="E1001" s="2" t="s">
        <v>14</v>
      </c>
      <c r="F1001" s="2" t="s">
        <v>15</v>
      </c>
      <c r="G1001" s="2" t="s">
        <v>293</v>
      </c>
      <c r="H1001" s="2" t="s">
        <v>293</v>
      </c>
      <c r="I1001" s="2" t="str">
        <f>IFERROR(__xludf.DUMMYFUNCTION("GOOGLETRANSLATE(C1001,""fr"",""en"")"),"Accident on September 9. Vehicle transported to an approved mechanic Allianz. Refusal by Allianz to take care of the repatriation of the car to the brand's dealer (50 km). Result on November 1, the vehicle is still not repaired because the mechanic does n"&amp;"ot have the parts or his only bodybuilder is on leave. All this in the total indifference of agent Allianz de Brest. Finally high -end rates for low cost service.")</f>
        <v>Accident on September 9. Vehicle transported to an approved mechanic Allianz. Refusal by Allianz to take care of the repatriation of the car to the brand's dealer (50 km). Result on November 1, the vehicle is still not repaired because the mechanic does not have the parts or his only bodybuilder is on leave. All this in the total indifference of agent Allianz de Brest. Finally high -end rates for low cost service.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2022-12-16T15:48:30Z</dcterms:created>
</cp:coreProperties>
</file>